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Team 07 - Daniel Cruz/"/>
    </mc:Choice>
  </mc:AlternateContent>
  <xr:revisionPtr revIDLastSave="3975" documentId="13_ncr:1_{6580BE36-DF0A-4E21-B156-3DF0188A1E2D}" xr6:coauthVersionLast="47" xr6:coauthVersionMax="47" xr10:uidLastSave="{8E012579-0209-44F9-A7C6-F2D01B7A5818}"/>
  <bookViews>
    <workbookView xWindow="-108" yWindow="-108" windowWidth="23256" windowHeight="12456" tabRatio="731" firstSheet="5" activeTab="8" xr2:uid="{00000000-000D-0000-FFFF-FFFF00000000}"/>
  </bookViews>
  <sheets>
    <sheet name="Dashboard" sheetId="66" r:id="rId1"/>
    <sheet name="Key Info" sheetId="85" r:id="rId2"/>
    <sheet name="Industry" sheetId="3" r:id="rId3"/>
    <sheet name="Segments" sheetId="84" r:id="rId4"/>
    <sheet name="Trading Comps" sheetId="87" r:id="rId5"/>
    <sheet name="Peers" sheetId="89" r:id="rId6"/>
    <sheet name="ESG" sheetId="2" r:id="rId7"/>
    <sheet name="WACC" sheetId="6" r:id="rId8"/>
    <sheet name="FCFF" sheetId="78" r:id="rId9"/>
    <sheet name="LBO" sheetId="65" r:id="rId10"/>
    <sheet name="Sensitivity" sheetId="91" r:id="rId11"/>
    <sheet name="IS" sheetId="74" r:id="rId12"/>
    <sheet name="BS" sheetId="76" r:id="rId13"/>
    <sheet name="CF" sheetId="77" r:id="rId14"/>
    <sheet name="Error Check" sheetId="79" r:id="rId15"/>
    <sheet name="Inputs" sheetId="83" r:id="rId16"/>
    <sheet name="Stock Data" sheetId="86" r:id="rId17"/>
  </sheets>
  <definedNames>
    <definedName name="COOLFUCNTION" comment="No description available" localSheetId="12">_xlfn.LAMBDA(_xldudf_BOARDFLARE_EXEC("workbook-settings:coolfucntion"))</definedName>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6">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2" hidden="1">{"'Sheet1'!$A$1:$H$145"}</definedName>
    <definedName name="HTML_Control" localSheetId="13" hidden="1">{"'Sheet1'!$A$1:$H$145"}</definedName>
    <definedName name="HTML_Control" localSheetId="14" hidden="1">{"'Sheet1'!$A$1:$H$145"}</definedName>
    <definedName name="HTML_Control" localSheetId="6" hidden="1">{"'Sheet1'!$A$1:$H$145"}</definedName>
    <definedName name="HTML_Control" localSheetId="8" hidden="1">{"'Sheet1'!$A$1:$H$145"}</definedName>
    <definedName name="HTML_Control" localSheetId="2" hidden="1">{"'Sheet1'!$A$1:$H$145"}</definedName>
    <definedName name="HTML_Control" localSheetId="11" hidden="1">{"'Sheet1'!$A$1:$H$145"}</definedName>
    <definedName name="HTML_Control" localSheetId="9" hidden="1">{"'Sheet1'!$A$1:$H$145"}</definedName>
    <definedName name="HTML_Control" localSheetId="3"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2">#REF!</definedName>
    <definedName name="Sectors" localSheetId="13">#REF!</definedName>
    <definedName name="Sectors" localSheetId="14">#REF!</definedName>
    <definedName name="Sectors" localSheetId="6">#REF!</definedName>
    <definedName name="Sectors" localSheetId="8">#REF!</definedName>
    <definedName name="Sectors" localSheetId="11">#REF!</definedName>
    <definedName name="Sectors" localSheetId="3">#REF!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6" i="78" l="1"/>
  <c r="F106" i="78"/>
  <c r="G106" i="78"/>
  <c r="H106" i="78"/>
  <c r="D106" i="78"/>
  <c r="J106" i="78"/>
  <c r="Y115" i="78"/>
  <c r="X115" i="78"/>
  <c r="T106" i="78"/>
  <c r="S106" i="78"/>
  <c r="R106" i="78"/>
  <c r="Q106" i="78"/>
  <c r="Y107" i="78"/>
  <c r="Y106" i="78"/>
  <c r="X107" i="78"/>
  <c r="V106" i="78"/>
  <c r="AF149" i="78"/>
  <c r="Z149" i="78"/>
  <c r="Z146" i="78"/>
  <c r="Z147" i="78" s="1"/>
  <c r="Z150" i="78" s="1"/>
  <c r="AF147" i="78" l="1"/>
  <c r="AF150" i="78" s="1"/>
  <c r="AF146" i="78"/>
  <c r="W101" i="78" l="1"/>
  <c r="V101" i="78"/>
  <c r="Q101" i="78"/>
  <c r="R101" i="78"/>
  <c r="S101" i="78"/>
  <c r="P101" i="78"/>
  <c r="T101" i="78" s="1"/>
  <c r="K101" i="78"/>
  <c r="L101" i="78"/>
  <c r="M101" i="78"/>
  <c r="J101" i="78"/>
  <c r="N101" i="78" s="1"/>
  <c r="E101" i="78"/>
  <c r="H101" i="78" s="1"/>
  <c r="F101" i="78"/>
  <c r="G101" i="78"/>
  <c r="D101" i="78"/>
  <c r="W100" i="78"/>
  <c r="V100" i="78"/>
  <c r="T100" i="78"/>
  <c r="S100" i="78"/>
  <c r="R100" i="78"/>
  <c r="Q100" i="78"/>
  <c r="P100" i="78"/>
  <c r="N100" i="78"/>
  <c r="O100" i="78"/>
  <c r="M100" i="78"/>
  <c r="L100" i="78"/>
  <c r="K100" i="78"/>
  <c r="J100" i="78"/>
  <c r="H100" i="78"/>
  <c r="I100" i="78"/>
  <c r="D100" i="78"/>
  <c r="E100" i="78"/>
  <c r="F100" i="78"/>
  <c r="G100" i="78"/>
  <c r="Z57" i="87"/>
  <c r="Z56" i="87"/>
  <c r="Z54" i="87"/>
  <c r="Z53" i="87"/>
  <c r="Y146" i="78"/>
  <c r="Z24" i="87"/>
  <c r="Z23" i="87"/>
  <c r="V23" i="87"/>
  <c r="J24" i="87"/>
  <c r="K24" i="87"/>
  <c r="L24" i="87"/>
  <c r="M24" i="87"/>
  <c r="N24" i="87"/>
  <c r="O24" i="87"/>
  <c r="P24" i="87"/>
  <c r="Q24" i="87"/>
  <c r="R24" i="87"/>
  <c r="S24" i="87"/>
  <c r="T24" i="87"/>
  <c r="U24" i="87"/>
  <c r="X24" i="87"/>
  <c r="Y24" i="87"/>
  <c r="J23" i="87"/>
  <c r="K23" i="87"/>
  <c r="L23" i="87"/>
  <c r="M23" i="87"/>
  <c r="N23" i="87"/>
  <c r="O23" i="87"/>
  <c r="P23" i="87"/>
  <c r="Q23" i="87"/>
  <c r="R23" i="87"/>
  <c r="S23" i="87"/>
  <c r="T23" i="87"/>
  <c r="U23" i="87"/>
  <c r="X23" i="87"/>
  <c r="Y23" i="87"/>
  <c r="I24" i="87"/>
  <c r="I23" i="87"/>
  <c r="Z18" i="87"/>
  <c r="Z19" i="87"/>
  <c r="Z20" i="87"/>
  <c r="Z16" i="87"/>
  <c r="Z17" i="87"/>
  <c r="Z15" i="87"/>
  <c r="Z21" i="87"/>
  <c r="W24" i="87" l="1"/>
  <c r="W23" i="87"/>
  <c r="V24" i="87"/>
  <c r="R57" i="87"/>
  <c r="R56" i="87"/>
  <c r="Q53" i="87" l="1"/>
  <c r="Q56" i="87"/>
  <c r="Q57" i="87"/>
  <c r="Q54" i="87"/>
  <c r="P53" i="87"/>
  <c r="P56" i="87"/>
  <c r="P54" i="87"/>
  <c r="P57" i="87"/>
  <c r="O53" i="87"/>
  <c r="O57" i="87"/>
  <c r="O54" i="87"/>
  <c r="O56" i="87"/>
  <c r="N54" i="87"/>
  <c r="N57" i="87"/>
  <c r="N53" i="87"/>
  <c r="N56" i="87"/>
  <c r="M57" i="87"/>
  <c r="M54" i="87"/>
  <c r="M53" i="87"/>
  <c r="M56" i="87"/>
  <c r="L53" i="87"/>
  <c r="L56" i="87"/>
  <c r="L57" i="87"/>
  <c r="L54" i="87"/>
  <c r="K57" i="87"/>
  <c r="K54" i="87"/>
  <c r="K53" i="87"/>
  <c r="K56" i="87"/>
  <c r="J56" i="87"/>
  <c r="J57" i="87"/>
  <c r="J53" i="87"/>
  <c r="J54" i="87"/>
  <c r="I56" i="87"/>
  <c r="I57" i="87"/>
  <c r="I54" i="87"/>
  <c r="I53" i="87"/>
  <c r="S56" i="87"/>
  <c r="S53" i="87"/>
  <c r="S57" i="87"/>
  <c r="S54" i="87"/>
  <c r="B21" i="87"/>
  <c r="T53" i="87" l="1"/>
  <c r="T56" i="87"/>
  <c r="T54" i="87"/>
  <c r="T57" i="87"/>
  <c r="B20" i="87"/>
  <c r="B19" i="87"/>
  <c r="B18" i="87"/>
  <c r="B17" i="87"/>
  <c r="B16" i="87"/>
  <c r="B15" i="87" l="1"/>
  <c r="B7" i="87"/>
  <c r="D31" i="6"/>
  <c r="X57" i="87" l="1"/>
  <c r="X54" i="87"/>
  <c r="X53" i="87"/>
  <c r="X56" i="87"/>
  <c r="W56" i="87"/>
  <c r="W53" i="87"/>
  <c r="W57" i="87"/>
  <c r="W54" i="87"/>
  <c r="V57" i="87"/>
  <c r="V56" i="87"/>
  <c r="V54" i="87"/>
  <c r="V53" i="87"/>
  <c r="AF160" i="78"/>
  <c r="E65" i="76"/>
  <c r="F65" i="76"/>
  <c r="G65" i="76"/>
  <c r="H65" i="76"/>
  <c r="I65" i="76"/>
  <c r="J65" i="76"/>
  <c r="K65" i="76"/>
  <c r="L65" i="76"/>
  <c r="M65" i="76"/>
  <c r="N65" i="76"/>
  <c r="O65" i="76"/>
  <c r="P65" i="76"/>
  <c r="Q65" i="76"/>
  <c r="R65" i="76"/>
  <c r="S65" i="76"/>
  <c r="T65" i="76"/>
  <c r="U65" i="76"/>
  <c r="V65" i="76"/>
  <c r="W65" i="76"/>
  <c r="X65" i="76"/>
  <c r="Y65" i="76"/>
  <c r="Z65" i="76"/>
  <c r="AA65" i="76"/>
  <c r="AB65" i="76"/>
  <c r="AC65" i="76"/>
  <c r="AD65" i="76"/>
  <c r="AE65" i="76"/>
  <c r="AF65" i="76"/>
  <c r="AG65" i="76"/>
  <c r="AH65" i="76"/>
  <c r="AI65" i="76"/>
  <c r="D65" i="76"/>
  <c r="E64" i="76"/>
  <c r="F64" i="76"/>
  <c r="G64" i="76"/>
  <c r="H64" i="76"/>
  <c r="I64" i="76"/>
  <c r="J64" i="76"/>
  <c r="K64" i="76"/>
  <c r="L64" i="76"/>
  <c r="M64" i="76"/>
  <c r="N64" i="76"/>
  <c r="O64" i="76"/>
  <c r="P64" i="76"/>
  <c r="Q64" i="76"/>
  <c r="R64" i="76"/>
  <c r="S64" i="76"/>
  <c r="T64" i="76"/>
  <c r="U64" i="76"/>
  <c r="V64" i="76"/>
  <c r="W64" i="76"/>
  <c r="X64" i="76"/>
  <c r="Y64" i="76"/>
  <c r="Z64" i="76"/>
  <c r="AA64" i="76"/>
  <c r="AB64" i="76"/>
  <c r="AC64" i="76"/>
  <c r="AD64" i="76"/>
  <c r="AE64" i="76"/>
  <c r="AF64" i="76"/>
  <c r="AG64" i="76"/>
  <c r="AH64" i="76"/>
  <c r="AI64" i="76"/>
  <c r="D64" i="76"/>
  <c r="E63" i="76"/>
  <c r="F63" i="76"/>
  <c r="G63" i="76"/>
  <c r="H63" i="76"/>
  <c r="I63" i="76"/>
  <c r="J63" i="76"/>
  <c r="K63" i="76"/>
  <c r="L63" i="76"/>
  <c r="M63" i="76"/>
  <c r="N63" i="76"/>
  <c r="O63" i="76"/>
  <c r="P63" i="76"/>
  <c r="Q63" i="76"/>
  <c r="R63" i="76"/>
  <c r="S63" i="76"/>
  <c r="T63" i="76"/>
  <c r="U63" i="76"/>
  <c r="V63" i="76"/>
  <c r="W63" i="76"/>
  <c r="X63" i="76"/>
  <c r="Y63" i="76"/>
  <c r="Z63" i="76"/>
  <c r="AA63" i="76"/>
  <c r="AB63" i="76"/>
  <c r="AC63" i="76"/>
  <c r="AD63" i="76"/>
  <c r="AE63" i="76"/>
  <c r="AF63" i="76"/>
  <c r="AG63" i="76"/>
  <c r="AH63" i="76"/>
  <c r="AI63" i="76"/>
  <c r="D63" i="76"/>
  <c r="AF62" i="76"/>
  <c r="Z62" i="76"/>
  <c r="T62" i="76"/>
  <c r="AI61" i="76" l="1"/>
  <c r="E61" i="76"/>
  <c r="F61" i="76"/>
  <c r="G61" i="76"/>
  <c r="H61" i="76"/>
  <c r="I61" i="76"/>
  <c r="J61" i="76"/>
  <c r="K61" i="76"/>
  <c r="L61" i="76"/>
  <c r="M61" i="76"/>
  <c r="N61" i="76"/>
  <c r="O61" i="76"/>
  <c r="P61" i="76"/>
  <c r="Q61" i="76"/>
  <c r="R61" i="76"/>
  <c r="S61" i="76"/>
  <c r="T61" i="76"/>
  <c r="U61" i="76"/>
  <c r="V61" i="76"/>
  <c r="W61" i="76"/>
  <c r="X61" i="76"/>
  <c r="Y61" i="76"/>
  <c r="Z61" i="76"/>
  <c r="AA61" i="76"/>
  <c r="AB61" i="76"/>
  <c r="AC61" i="76"/>
  <c r="AD61" i="76"/>
  <c r="AE61" i="76"/>
  <c r="AF61" i="76"/>
  <c r="AG61" i="76"/>
  <c r="AH61" i="76"/>
  <c r="D61" i="76"/>
  <c r="D28" i="6"/>
  <c r="AX31" i="84"/>
  <c r="AX30" i="84"/>
  <c r="AX29" i="84"/>
  <c r="AV31" i="84"/>
  <c r="AV30" i="84"/>
  <c r="AV29" i="84"/>
  <c r="AT31" i="84"/>
  <c r="AT30" i="84"/>
  <c r="AT29" i="84"/>
  <c r="AX37" i="84"/>
  <c r="AX36" i="84"/>
  <c r="AV37" i="84"/>
  <c r="AV36" i="84"/>
  <c r="AT37" i="84"/>
  <c r="AT36" i="84"/>
  <c r="AR37" i="84"/>
  <c r="AR36" i="84"/>
  <c r="AR31" i="84"/>
  <c r="AR30" i="84"/>
  <c r="AR29" i="84"/>
  <c r="AL31" i="84"/>
  <c r="AL30" i="84"/>
  <c r="AL29" i="84"/>
  <c r="AL36" i="84" s="1"/>
  <c r="I31" i="84"/>
  <c r="I30" i="84"/>
  <c r="O31" i="84"/>
  <c r="O30" i="84"/>
  <c r="U31" i="84"/>
  <c r="U30" i="84"/>
  <c r="AA31" i="84"/>
  <c r="AA30" i="84"/>
  <c r="AL37" i="84"/>
  <c r="AG31" i="84"/>
  <c r="AG30" i="84"/>
  <c r="I29" i="84"/>
  <c r="O29" i="84"/>
  <c r="U29" i="84"/>
  <c r="AA29" i="84"/>
  <c r="AG29" i="84"/>
  <c r="AX16" i="84"/>
  <c r="AX15" i="84"/>
  <c r="AX14" i="84"/>
  <c r="AX13" i="84"/>
  <c r="AX12" i="84"/>
  <c r="Z99" i="78"/>
  <c r="F45" i="89"/>
  <c r="C44" i="89"/>
  <c r="C45" i="89"/>
  <c r="D44" i="89"/>
  <c r="I15" i="89"/>
  <c r="D45" i="89"/>
  <c r="J45" i="89"/>
  <c r="I45" i="89"/>
  <c r="E45" i="89"/>
  <c r="AC109" i="78"/>
  <c r="AD109" i="78"/>
  <c r="AE109" i="78"/>
  <c r="AB109" i="78"/>
  <c r="I110" i="78"/>
  <c r="O110" i="78"/>
  <c r="U110" i="78"/>
  <c r="J44" i="89"/>
  <c r="I44" i="89"/>
  <c r="E44" i="89"/>
  <c r="H44" i="89"/>
  <c r="G44" i="89"/>
  <c r="X146" i="78"/>
  <c r="M31" i="78"/>
  <c r="M99" i="78" s="1"/>
  <c r="AM26" i="84"/>
  <c r="AY26" i="84"/>
  <c r="AW26" i="84"/>
  <c r="AU26" i="84"/>
  <c r="AS26" i="84"/>
  <c r="AV21" i="84"/>
  <c r="AV22" i="84"/>
  <c r="AV23" i="84"/>
  <c r="H15" i="89"/>
  <c r="G15" i="89"/>
  <c r="E15" i="89"/>
  <c r="F15" i="89"/>
  <c r="X89" i="78"/>
  <c r="D15" i="89"/>
  <c r="K17" i="6"/>
  <c r="X86" i="78"/>
  <c r="T79" i="78"/>
  <c r="O80" i="78"/>
  <c r="U80" i="78"/>
  <c r="H45" i="89"/>
  <c r="G45" i="89"/>
  <c r="F44" i="89"/>
  <c r="H76" i="78"/>
  <c r="X74" i="78"/>
  <c r="C15" i="89"/>
  <c r="X58" i="78"/>
  <c r="X59" i="78" s="1"/>
  <c r="X46" i="78"/>
  <c r="X31" i="78"/>
  <c r="X44" i="78" s="1"/>
  <c r="AW16" i="84"/>
  <c r="AW14" i="84"/>
  <c r="AW13" i="84"/>
  <c r="AM15" i="84"/>
  <c r="R39" i="3"/>
  <c r="R33" i="3" s="1"/>
  <c r="R46" i="3"/>
  <c r="R36" i="3" s="1"/>
  <c r="R52" i="3"/>
  <c r="R35" i="3" s="1"/>
  <c r="R58" i="3"/>
  <c r="R32" i="3" s="1"/>
  <c r="R64" i="3"/>
  <c r="R34" i="3" s="1"/>
  <c r="F44" i="3"/>
  <c r="F12" i="3" s="1"/>
  <c r="F13" i="3" s="1"/>
  <c r="E44" i="3"/>
  <c r="E12" i="3" s="1"/>
  <c r="E13" i="3" s="1"/>
  <c r="D44" i="3"/>
  <c r="D12" i="3" s="1"/>
  <c r="D13" i="3" s="1"/>
  <c r="G43" i="3"/>
  <c r="H43" i="3" s="1"/>
  <c r="I43" i="3" s="1"/>
  <c r="J43" i="3" s="1"/>
  <c r="K43" i="3" s="1"/>
  <c r="G42" i="3"/>
  <c r="H42" i="3" s="1"/>
  <c r="I42" i="3" s="1"/>
  <c r="J42" i="3" s="1"/>
  <c r="K42" i="3" s="1"/>
  <c r="K44" i="3" s="1"/>
  <c r="F15" i="3"/>
  <c r="E15" i="3"/>
  <c r="D15" i="3"/>
  <c r="F55" i="3"/>
  <c r="G55" i="3" s="1"/>
  <c r="H55" i="3" s="1"/>
  <c r="I55" i="3" s="1"/>
  <c r="J55" i="3" s="1"/>
  <c r="K55" i="3" s="1"/>
  <c r="L55" i="3" s="1"/>
  <c r="G54" i="3"/>
  <c r="H54" i="3" s="1"/>
  <c r="I54" i="3" s="1"/>
  <c r="J54" i="3" s="1"/>
  <c r="K54" i="3" s="1"/>
  <c r="L54" i="3" s="1"/>
  <c r="F54" i="3"/>
  <c r="D53" i="3"/>
  <c r="D56" i="3" s="1"/>
  <c r="G52" i="3"/>
  <c r="H52" i="3" s="1"/>
  <c r="I52" i="3" s="1"/>
  <c r="AI31" i="78"/>
  <c r="AK31" i="78"/>
  <c r="C12" i="89"/>
  <c r="S7" i="83"/>
  <c r="H16" i="85"/>
  <c r="AG32" i="84"/>
  <c r="AG33" i="84"/>
  <c r="AG34" i="84"/>
  <c r="AG35" i="84"/>
  <c r="AA32" i="84"/>
  <c r="AA33" i="84"/>
  <c r="AA34" i="84"/>
  <c r="AA35" i="84"/>
  <c r="U33" i="84"/>
  <c r="U34" i="84"/>
  <c r="U35" i="84"/>
  <c r="U32" i="84"/>
  <c r="O32" i="84"/>
  <c r="O33" i="84"/>
  <c r="O34" i="84"/>
  <c r="O35" i="84"/>
  <c r="I33" i="84"/>
  <c r="I34" i="84"/>
  <c r="I35" i="84"/>
  <c r="I32" i="84"/>
  <c r="H16" i="3"/>
  <c r="I16" i="3" s="1"/>
  <c r="J16" i="3" s="1"/>
  <c r="K16" i="3" s="1"/>
  <c r="AN17" i="84"/>
  <c r="AO17" i="84"/>
  <c r="AP17" i="84"/>
  <c r="AQ17" i="84"/>
  <c r="AR17" i="84"/>
  <c r="AF21" i="78" s="1"/>
  <c r="AF31" i="78" s="1"/>
  <c r="AT17" i="84"/>
  <c r="AH21" i="78" s="1"/>
  <c r="AH31" i="78" s="1"/>
  <c r="AH109" i="78" s="1"/>
  <c r="AV17" i="84"/>
  <c r="AJ21" i="78" s="1"/>
  <c r="AJ31" i="78" s="1"/>
  <c r="AJ109" i="78" s="1"/>
  <c r="AL17" i="84"/>
  <c r="Z21" i="78" s="1"/>
  <c r="Z31" i="78" s="1"/>
  <c r="AN26" i="84"/>
  <c r="AO26" i="84"/>
  <c r="AP26" i="84"/>
  <c r="AQ26" i="84"/>
  <c r="V124" i="78"/>
  <c r="I12" i="89" a="1"/>
  <c r="I12" i="89" s="1"/>
  <c r="H21" i="79"/>
  <c r="X99" i="78" l="1"/>
  <c r="AD32" i="78"/>
  <c r="X109" i="78"/>
  <c r="X35" i="78"/>
  <c r="X71" i="78"/>
  <c r="F13" i="6"/>
  <c r="G44" i="3"/>
  <c r="G12" i="3" s="1"/>
  <c r="G13" i="3" s="1"/>
  <c r="H44" i="3"/>
  <c r="H12" i="3" s="1"/>
  <c r="H13" i="3" s="1"/>
  <c r="I44" i="3"/>
  <c r="I12" i="3" s="1"/>
  <c r="I13" i="3" s="1"/>
  <c r="J44" i="3"/>
  <c r="J12" i="3" s="1"/>
  <c r="J13" i="3" s="1"/>
  <c r="K12" i="3"/>
  <c r="E13" i="6"/>
  <c r="AV20" i="84"/>
  <c r="AV26" i="84" s="1"/>
  <c r="Q16" i="6" s="1"/>
  <c r="AM16" i="84"/>
  <c r="AW12" i="84"/>
  <c r="AW15" i="84"/>
  <c r="AM12" i="84"/>
  <c r="AL20" i="84"/>
  <c r="AM13" i="84"/>
  <c r="AV25" i="84"/>
  <c r="AM14" i="84"/>
  <c r="AV24" i="84"/>
  <c r="AL25" i="84"/>
  <c r="AL24" i="84"/>
  <c r="AX17" i="84"/>
  <c r="AX24" i="84" s="1"/>
  <c r="AL22" i="84"/>
  <c r="AL23" i="84"/>
  <c r="AL21" i="84"/>
  <c r="AR22" i="84"/>
  <c r="AR21" i="84"/>
  <c r="AT25" i="84"/>
  <c r="AT24" i="84"/>
  <c r="AT23" i="84"/>
  <c r="AT22" i="84"/>
  <c r="AU13" i="84"/>
  <c r="AU14" i="84"/>
  <c r="AU15" i="84"/>
  <c r="AU16" i="84"/>
  <c r="AT21" i="84"/>
  <c r="AT26" i="84" s="1"/>
  <c r="AR25" i="84"/>
  <c r="AR24" i="84"/>
  <c r="AR20" i="84"/>
  <c r="AR23" i="84"/>
  <c r="C32" i="84"/>
  <c r="AL32" i="84" s="1"/>
  <c r="C35" i="84"/>
  <c r="AV35" i="84" s="1"/>
  <c r="J17" i="3" s="1"/>
  <c r="AS12" i="84"/>
  <c r="C34" i="84"/>
  <c r="AV34" i="84" s="1"/>
  <c r="AS13" i="84"/>
  <c r="C33" i="84"/>
  <c r="AL33" i="84" s="1"/>
  <c r="AS14" i="84"/>
  <c r="AS15" i="84"/>
  <c r="AS16" i="84"/>
  <c r="AU12" i="84"/>
  <c r="AT20" i="84"/>
  <c r="E53" i="3"/>
  <c r="F53" i="3" s="1"/>
  <c r="G53" i="3" s="1"/>
  <c r="F56" i="3"/>
  <c r="J52" i="3"/>
  <c r="AF32" i="78"/>
  <c r="D12" i="89" a="1"/>
  <c r="D12" i="89" s="1"/>
  <c r="R144" i="83"/>
  <c r="M44" i="3" l="1"/>
  <c r="M12" i="3"/>
  <c r="K13" i="3"/>
  <c r="M13" i="3" s="1"/>
  <c r="E56" i="3"/>
  <c r="AY13" i="84"/>
  <c r="AY16" i="84"/>
  <c r="AX23" i="84"/>
  <c r="AX22" i="84"/>
  <c r="AY12" i="84"/>
  <c r="AX21" i="84"/>
  <c r="AR32" i="84"/>
  <c r="P16" i="6"/>
  <c r="P13" i="6"/>
  <c r="AY14" i="84"/>
  <c r="AY15" i="84"/>
  <c r="AX25" i="84"/>
  <c r="AX20" i="84"/>
  <c r="AL21" i="78"/>
  <c r="P14" i="6"/>
  <c r="P15" i="6"/>
  <c r="AR26" i="84"/>
  <c r="O15" i="6" s="1"/>
  <c r="AX32" i="84"/>
  <c r="AT32" i="84"/>
  <c r="AL26" i="84"/>
  <c r="N17" i="6" s="1"/>
  <c r="AT33" i="84"/>
  <c r="I15" i="3" s="1"/>
  <c r="AX33" i="84"/>
  <c r="AL34" i="84"/>
  <c r="G15" i="3" s="1"/>
  <c r="AX34" i="84"/>
  <c r="AT34" i="84"/>
  <c r="AR34" i="84"/>
  <c r="AV32" i="84"/>
  <c r="AR33" i="84"/>
  <c r="AV33" i="84"/>
  <c r="AX35" i="84"/>
  <c r="K17" i="3" s="1"/>
  <c r="P12" i="6"/>
  <c r="AT35" i="84"/>
  <c r="I17" i="3" s="1"/>
  <c r="P17" i="6"/>
  <c r="AR35" i="84"/>
  <c r="H17" i="3" s="1"/>
  <c r="AL35" i="84"/>
  <c r="G17" i="3" s="1"/>
  <c r="Q17" i="6"/>
  <c r="Q12" i="6"/>
  <c r="Q15" i="6"/>
  <c r="Q14" i="6"/>
  <c r="Q13" i="6"/>
  <c r="K52" i="3"/>
  <c r="G56" i="3"/>
  <c r="H53" i="3"/>
  <c r="Q64" i="83"/>
  <c r="B30" i="83"/>
  <c r="P135" i="83"/>
  <c r="B62" i="83"/>
  <c r="H17" i="84"/>
  <c r="J15" i="83"/>
  <c r="J13" i="83"/>
  <c r="D13" i="6" s="1"/>
  <c r="AX26" i="84" l="1"/>
  <c r="R16" i="6" s="1"/>
  <c r="R12" i="6"/>
  <c r="AL31" i="78"/>
  <c r="AL109" i="78" s="1"/>
  <c r="R13" i="6"/>
  <c r="P18" i="6"/>
  <c r="O17" i="6"/>
  <c r="H15" i="3"/>
  <c r="R17" i="6"/>
  <c r="O14" i="6"/>
  <c r="R15" i="6"/>
  <c r="O13" i="6"/>
  <c r="O12" i="6"/>
  <c r="O16" i="6"/>
  <c r="K15" i="3"/>
  <c r="I16" i="84"/>
  <c r="I15" i="84"/>
  <c r="I14" i="84"/>
  <c r="I13" i="84"/>
  <c r="I12" i="84"/>
  <c r="J15" i="3"/>
  <c r="Q18" i="6"/>
  <c r="H56" i="3"/>
  <c r="I53" i="3"/>
  <c r="L52" i="3"/>
  <c r="R14" i="6" l="1"/>
  <c r="R18" i="6" s="1"/>
  <c r="O18" i="6"/>
  <c r="J53" i="3"/>
  <c r="I56" i="3"/>
  <c r="Y44" i="91" a="1"/>
  <c r="Y44" i="91" s="1"/>
  <c r="X44" i="91" a="1"/>
  <c r="X44" i="91" s="1"/>
  <c r="Y43" i="91" a="1"/>
  <c r="Y43" i="91" s="1"/>
  <c r="X43" i="91" a="1"/>
  <c r="X43" i="91" s="1"/>
  <c r="Y42" i="91" a="1"/>
  <c r="Y42" i="91" s="1"/>
  <c r="X42" i="91" a="1"/>
  <c r="X42" i="91" s="1"/>
  <c r="Y41" i="91" a="1"/>
  <c r="Y41" i="91" s="1"/>
  <c r="X41" i="91" a="1"/>
  <c r="X41" i="91" s="1"/>
  <c r="Y40" i="91" a="1"/>
  <c r="Y40" i="91" s="1"/>
  <c r="X40" i="91" a="1"/>
  <c r="X40" i="91" s="1"/>
  <c r="Y39" i="91" a="1"/>
  <c r="Y39" i="91" s="1"/>
  <c r="X39" i="91" a="1"/>
  <c r="X39" i="91" s="1"/>
  <c r="Y38" i="91" a="1"/>
  <c r="Y38" i="91" s="1"/>
  <c r="X38" i="91" a="1"/>
  <c r="X38" i="91" s="1"/>
  <c r="K53" i="3" l="1"/>
  <c r="J56" i="3"/>
  <c r="Z43" i="91"/>
  <c r="Z40" i="91"/>
  <c r="Z39" i="91"/>
  <c r="Z44" i="91"/>
  <c r="Z42" i="91"/>
  <c r="Z38" i="91"/>
  <c r="Z41" i="91"/>
  <c r="L53" i="3" l="1"/>
  <c r="L56" i="3" s="1"/>
  <c r="K56" i="3"/>
  <c r="M56" i="3" s="1"/>
  <c r="AD28" i="91" a="1"/>
  <c r="AD28" i="91" s="1"/>
  <c r="AT15" i="78" l="1"/>
  <c r="AU15" i="78" s="1"/>
  <c r="AV15" i="78" s="1"/>
  <c r="AW15" i="78" s="1"/>
  <c r="AX15" i="78" s="1"/>
  <c r="AY15" i="78" s="1"/>
  <c r="AZ15" i="78" s="1"/>
  <c r="R161" i="78"/>
  <c r="H21" i="85" l="1"/>
  <c r="H22" i="85"/>
  <c r="AF161" i="78" l="1"/>
  <c r="AL43" i="78"/>
  <c r="AJ43" i="78"/>
  <c r="AH43" i="78"/>
  <c r="AE43" i="78"/>
  <c r="AD43" i="78"/>
  <c r="AC43" i="78"/>
  <c r="AB43" i="78"/>
  <c r="AL34" i="78"/>
  <c r="AJ34" i="78"/>
  <c r="AH34" i="78"/>
  <c r="AE34" i="78"/>
  <c r="AD34" i="78"/>
  <c r="AC34" i="78"/>
  <c r="AB34" i="78"/>
  <c r="AL106" i="78"/>
  <c r="AF34" i="78" l="1"/>
  <c r="AF35" i="78" s="1"/>
  <c r="W112" i="78"/>
  <c r="J115" i="78"/>
  <c r="T115" i="78"/>
  <c r="V112" i="78"/>
  <c r="F112" i="78"/>
  <c r="T112" i="78"/>
  <c r="L112" i="78"/>
  <c r="L115" i="78"/>
  <c r="Q115" i="78"/>
  <c r="J112" i="78"/>
  <c r="D115" i="78"/>
  <c r="E115" i="78"/>
  <c r="M112" i="78"/>
  <c r="R115" i="78"/>
  <c r="D112" i="78"/>
  <c r="N112" i="78"/>
  <c r="M115" i="78"/>
  <c r="P115" i="78"/>
  <c r="W115" i="78"/>
  <c r="F115" i="78"/>
  <c r="V115" i="78"/>
  <c r="E112" i="78"/>
  <c r="H112" i="78"/>
  <c r="S112" i="78"/>
  <c r="Q112" i="78"/>
  <c r="P112" i="78"/>
  <c r="G115" i="78"/>
  <c r="R112" i="78"/>
  <c r="N115" i="78"/>
  <c r="G112" i="78"/>
  <c r="K115" i="78"/>
  <c r="S115" i="78"/>
  <c r="K112" i="78"/>
  <c r="H115" i="78"/>
  <c r="AB106" i="78"/>
  <c r="AC106" i="78"/>
  <c r="AC134" i="78" s="1"/>
  <c r="AD106" i="78"/>
  <c r="AE106" i="78"/>
  <c r="AH106" i="78"/>
  <c r="AJ106" i="78"/>
  <c r="F20" i="85" l="1"/>
  <c r="H30" i="85" l="1"/>
  <c r="H31" i="85"/>
  <c r="H28" i="85" l="1"/>
  <c r="H27" i="85" l="1"/>
  <c r="H25" i="85"/>
  <c r="H26" i="85"/>
  <c r="H23" i="85" l="1"/>
  <c r="J82" i="78" l="1"/>
  <c r="M82" i="78"/>
  <c r="D82" i="78"/>
  <c r="D83" i="78" s="1"/>
  <c r="V82" i="78"/>
  <c r="Q82" i="78"/>
  <c r="E82" i="78"/>
  <c r="K82" i="78"/>
  <c r="P82" i="78"/>
  <c r="W82" i="78"/>
  <c r="F82" i="78"/>
  <c r="L82" i="78"/>
  <c r="G82" i="78"/>
  <c r="S82" i="78"/>
  <c r="R82" i="78"/>
  <c r="D52" i="78" l="1"/>
  <c r="Q133" i="83" l="1"/>
  <c r="R133" i="83" s="1"/>
  <c r="S133" i="83" s="1"/>
  <c r="T133" i="83" s="1"/>
  <c r="U133" i="83" s="1"/>
  <c r="V133" i="83" s="1"/>
  <c r="W133" i="83" s="1"/>
  <c r="Q142" i="83"/>
  <c r="R142" i="83" s="1"/>
  <c r="S142" i="83" s="1"/>
  <c r="T142" i="83" s="1"/>
  <c r="U142" i="83" s="1"/>
  <c r="V142" i="83" s="1"/>
  <c r="W142" i="83" s="1"/>
  <c r="Q151" i="83"/>
  <c r="R151" i="83" s="1"/>
  <c r="S151" i="83" s="1"/>
  <c r="T151" i="83" s="1"/>
  <c r="U151" i="83" s="1"/>
  <c r="V151" i="83" s="1"/>
  <c r="W151" i="83" s="1"/>
  <c r="Q160" i="83"/>
  <c r="R160" i="83" s="1"/>
  <c r="S160" i="83" s="1"/>
  <c r="T160" i="83" s="1"/>
  <c r="U160" i="83" s="1"/>
  <c r="V160" i="83" s="1"/>
  <c r="W160" i="83" s="1"/>
  <c r="I21" i="89" l="1"/>
  <c r="I30" i="89" s="1"/>
  <c r="I39" i="89" s="1"/>
  <c r="I47" i="89" s="1"/>
  <c r="I57" i="89" s="1"/>
  <c r="I65" i="89" s="1"/>
  <c r="I71" i="89" s="1"/>
  <c r="I81" i="89" s="1"/>
  <c r="I86" i="89" s="1"/>
  <c r="J21" i="89"/>
  <c r="J30" i="89" s="1"/>
  <c r="J39" i="89" s="1"/>
  <c r="J47" i="89" s="1"/>
  <c r="J57" i="89" s="1"/>
  <c r="J65" i="89" s="1"/>
  <c r="J71" i="89" s="1"/>
  <c r="J81" i="89" s="1"/>
  <c r="J86" i="89" s="1"/>
  <c r="D21" i="89"/>
  <c r="D30" i="89" s="1"/>
  <c r="D39" i="89" s="1"/>
  <c r="D47" i="89" s="1"/>
  <c r="D57" i="89" s="1"/>
  <c r="D65" i="89" s="1"/>
  <c r="D71" i="89" s="1"/>
  <c r="D81" i="89" s="1"/>
  <c r="D86" i="89" s="1"/>
  <c r="H21" i="89"/>
  <c r="H30" i="89" s="1"/>
  <c r="H39" i="89" s="1"/>
  <c r="H47" i="89" s="1"/>
  <c r="H57" i="89" s="1"/>
  <c r="H65" i="89" s="1"/>
  <c r="H71" i="89" s="1"/>
  <c r="H81" i="89" s="1"/>
  <c r="H86" i="89" s="1"/>
  <c r="G21" i="89"/>
  <c r="G30" i="89" s="1"/>
  <c r="G39" i="89" s="1"/>
  <c r="G47" i="89" s="1"/>
  <c r="G57" i="89" s="1"/>
  <c r="G65" i="89" s="1"/>
  <c r="G71" i="89" s="1"/>
  <c r="G81" i="89" s="1"/>
  <c r="G86" i="89" s="1"/>
  <c r="E21" i="89"/>
  <c r="E30" i="89" s="1"/>
  <c r="E39" i="89" s="1"/>
  <c r="E47" i="89" s="1"/>
  <c r="E57" i="89" s="1"/>
  <c r="E65" i="89" s="1"/>
  <c r="E71" i="89" s="1"/>
  <c r="E81" i="89" s="1"/>
  <c r="E86" i="89" s="1"/>
  <c r="F21" i="89"/>
  <c r="F30" i="89" s="1"/>
  <c r="F39" i="89" s="1"/>
  <c r="F47" i="89" s="1"/>
  <c r="F57" i="89" s="1"/>
  <c r="F65" i="89" s="1"/>
  <c r="F71" i="89" s="1"/>
  <c r="F81" i="89" s="1"/>
  <c r="F86" i="89" s="1"/>
  <c r="H32" i="6" l="1"/>
  <c r="G32" i="6"/>
  <c r="F32" i="6"/>
  <c r="K16" i="6"/>
  <c r="K15" i="6"/>
  <c r="K14" i="6"/>
  <c r="K13" i="6"/>
  <c r="K12" i="6"/>
  <c r="O9" i="6"/>
  <c r="P9" i="6" s="1"/>
  <c r="Q9" i="6" s="1"/>
  <c r="R9" i="6" s="1"/>
  <c r="E31" i="6"/>
  <c r="F31" i="6"/>
  <c r="G31" i="6"/>
  <c r="H31" i="6"/>
  <c r="H13" i="6"/>
  <c r="G13" i="6"/>
  <c r="E9" i="6"/>
  <c r="F9" i="6" s="1"/>
  <c r="G9" i="6" s="1"/>
  <c r="H9" i="6" s="1"/>
  <c r="H33" i="6" l="1"/>
  <c r="D16" i="6"/>
  <c r="G33" i="6"/>
  <c r="F33" i="6"/>
  <c r="C176" i="83" l="1"/>
  <c r="C175" i="83" l="1"/>
  <c r="C174" i="83"/>
  <c r="C173" i="83"/>
  <c r="C172" i="83"/>
  <c r="C171" i="83"/>
  <c r="H169" i="83"/>
  <c r="I169" i="83" s="1"/>
  <c r="J169" i="83" s="1"/>
  <c r="K169" i="83" s="1"/>
  <c r="L169" i="83" s="1"/>
  <c r="M169" i="83" s="1"/>
  <c r="N169" i="83" s="1"/>
  <c r="C167" i="83"/>
  <c r="C166" i="83"/>
  <c r="C165" i="83"/>
  <c r="C164" i="83"/>
  <c r="C163" i="83"/>
  <c r="C162" i="83"/>
  <c r="H160" i="83"/>
  <c r="I160" i="83" s="1"/>
  <c r="J160" i="83" s="1"/>
  <c r="K160" i="83" s="1"/>
  <c r="L160" i="83" s="1"/>
  <c r="M160" i="83" s="1"/>
  <c r="N160" i="83" s="1"/>
  <c r="C158" i="83"/>
  <c r="C157" i="83"/>
  <c r="C156" i="83"/>
  <c r="C155" i="83"/>
  <c r="C154" i="83"/>
  <c r="C153" i="83"/>
  <c r="H151" i="83"/>
  <c r="I151" i="83" s="1"/>
  <c r="J151" i="83" s="1"/>
  <c r="K151" i="83" s="1"/>
  <c r="L151" i="83" s="1"/>
  <c r="M151" i="83" s="1"/>
  <c r="N151" i="83" s="1"/>
  <c r="C149" i="83"/>
  <c r="C148" i="83"/>
  <c r="C147" i="83"/>
  <c r="C146" i="83"/>
  <c r="C145" i="83"/>
  <c r="C144" i="83"/>
  <c r="H142" i="83"/>
  <c r="I142" i="83" s="1"/>
  <c r="J142" i="83" s="1"/>
  <c r="K142" i="83" s="1"/>
  <c r="L142" i="83" s="1"/>
  <c r="M142" i="83" s="1"/>
  <c r="N142" i="83" s="1"/>
  <c r="C140" i="83"/>
  <c r="P149" i="83" l="1"/>
  <c r="P140" i="83"/>
  <c r="P158" i="83"/>
  <c r="P167" i="83"/>
  <c r="C139" i="83"/>
  <c r="P148" i="83" l="1"/>
  <c r="P139" i="83"/>
  <c r="P166" i="83"/>
  <c r="P157" i="83"/>
  <c r="C138" i="83"/>
  <c r="P156" i="83" l="1"/>
  <c r="P147" i="83"/>
  <c r="P165" i="83"/>
  <c r="P138" i="83"/>
  <c r="C137" i="83"/>
  <c r="P164" i="83" l="1"/>
  <c r="P137" i="83"/>
  <c r="P146" i="83"/>
  <c r="P155" i="83"/>
  <c r="C136" i="83"/>
  <c r="P145" i="83" l="1"/>
  <c r="P136" i="83"/>
  <c r="P163" i="83"/>
  <c r="P154" i="83"/>
  <c r="C135" i="83"/>
  <c r="P144" i="83" l="1"/>
  <c r="P153" i="83"/>
  <c r="P162" i="83"/>
  <c r="H133" i="83"/>
  <c r="I133" i="83" l="1"/>
  <c r="Q140" i="83" l="1"/>
  <c r="Q156" i="83"/>
  <c r="Q137" i="83"/>
  <c r="Q154" i="83"/>
  <c r="Q155" i="83"/>
  <c r="Q136" i="83"/>
  <c r="Q147" i="83"/>
  <c r="Q135" i="83"/>
  <c r="Q162" i="83"/>
  <c r="Q144" i="83"/>
  <c r="Q153" i="83"/>
  <c r="Q163" i="83"/>
  <c r="Q158" i="83"/>
  <c r="Q145" i="83"/>
  <c r="Q166" i="83"/>
  <c r="Q164" i="83"/>
  <c r="Q149" i="83"/>
  <c r="Q146" i="83"/>
  <c r="Q157" i="83"/>
  <c r="Q167" i="83"/>
  <c r="Q165" i="83"/>
  <c r="Q139" i="83"/>
  <c r="Q138" i="83"/>
  <c r="Q148" i="83"/>
  <c r="J133" i="83"/>
  <c r="A61" i="83"/>
  <c r="M21" i="3"/>
  <c r="M19" i="3"/>
  <c r="M17" i="3"/>
  <c r="M15" i="3"/>
  <c r="M18" i="3"/>
  <c r="M16" i="3"/>
  <c r="M14" i="3"/>
  <c r="M20" i="3"/>
  <c r="E9" i="3"/>
  <c r="F9" i="3" s="1"/>
  <c r="G9" i="3" s="1"/>
  <c r="H9" i="3" s="1"/>
  <c r="I9" i="3" s="1"/>
  <c r="J9" i="3" s="1"/>
  <c r="K9" i="3" s="1"/>
  <c r="M9" i="3" s="1"/>
  <c r="J7" i="84"/>
  <c r="P7" i="84" s="1"/>
  <c r="V7" i="84" s="1"/>
  <c r="AB7" i="84" s="1"/>
  <c r="AH7" i="84" s="1"/>
  <c r="AN7" i="84" s="1"/>
  <c r="AT7" i="84" s="1"/>
  <c r="AV7" i="84" s="1"/>
  <c r="AX7" i="84" s="1"/>
  <c r="C193" i="66" l="1"/>
  <c r="C192" i="66" s="1"/>
  <c r="R137" i="83"/>
  <c r="R155" i="83"/>
  <c r="R164" i="83"/>
  <c r="R162" i="83"/>
  <c r="R146" i="83"/>
  <c r="R165" i="83"/>
  <c r="R145" i="83"/>
  <c r="R138" i="83"/>
  <c r="R147" i="83"/>
  <c r="R154" i="83"/>
  <c r="R135" i="83"/>
  <c r="R166" i="83"/>
  <c r="R139" i="83"/>
  <c r="R163" i="83"/>
  <c r="R140" i="83"/>
  <c r="R158" i="83"/>
  <c r="R156" i="83"/>
  <c r="R157" i="83"/>
  <c r="R148" i="83"/>
  <c r="R149" i="83"/>
  <c r="R167" i="83"/>
  <c r="R153" i="83"/>
  <c r="R136" i="83"/>
  <c r="N17" i="79"/>
  <c r="AF13" i="79"/>
  <c r="AF17" i="79"/>
  <c r="AL16" i="79"/>
  <c r="AR15" i="79"/>
  <c r="N14" i="79"/>
  <c r="T13" i="79"/>
  <c r="T17" i="79"/>
  <c r="Z16" i="79"/>
  <c r="AF15" i="79"/>
  <c r="AR13" i="79"/>
  <c r="AR17" i="79"/>
  <c r="K133" i="83"/>
  <c r="AF16" i="79"/>
  <c r="H17" i="79"/>
  <c r="N16" i="79"/>
  <c r="T16" i="79"/>
  <c r="N15" i="79"/>
  <c r="T14" i="79"/>
  <c r="Z13" i="79"/>
  <c r="Z17" i="79"/>
  <c r="AL15" i="79"/>
  <c r="Z15" i="79"/>
  <c r="AR16" i="79"/>
  <c r="T15" i="79"/>
  <c r="N13" i="79"/>
  <c r="AL17" i="79"/>
  <c r="AR14" i="79"/>
  <c r="AL13" i="79"/>
  <c r="AL14" i="79"/>
  <c r="AF14" i="79"/>
  <c r="Z14" i="79"/>
  <c r="C194" i="66" l="1"/>
  <c r="C191" i="66"/>
  <c r="S144" i="83"/>
  <c r="S166" i="83"/>
  <c r="S167" i="83"/>
  <c r="S155" i="83"/>
  <c r="S140" i="83"/>
  <c r="S156" i="83"/>
  <c r="S137" i="83"/>
  <c r="S139" i="83"/>
  <c r="S146" i="83"/>
  <c r="S147" i="83"/>
  <c r="S138" i="83"/>
  <c r="S162" i="83"/>
  <c r="S148" i="83"/>
  <c r="S135" i="83"/>
  <c r="S163" i="83"/>
  <c r="S136" i="83"/>
  <c r="S149" i="83"/>
  <c r="S154" i="83"/>
  <c r="S153" i="83"/>
  <c r="S158" i="83"/>
  <c r="S157" i="83"/>
  <c r="S145" i="83"/>
  <c r="S165" i="83"/>
  <c r="S164" i="83"/>
  <c r="L133" i="83"/>
  <c r="C195" i="66" l="1"/>
  <c r="C190" i="66"/>
  <c r="T155" i="83"/>
  <c r="T158" i="83"/>
  <c r="T164" i="83"/>
  <c r="T149" i="83"/>
  <c r="T146" i="83"/>
  <c r="T167" i="83"/>
  <c r="T147" i="83"/>
  <c r="T135" i="83"/>
  <c r="T138" i="83"/>
  <c r="T162" i="83"/>
  <c r="T163" i="83"/>
  <c r="T145" i="83"/>
  <c r="T148" i="83"/>
  <c r="T166" i="83"/>
  <c r="T137" i="83"/>
  <c r="T157" i="83"/>
  <c r="T139" i="83"/>
  <c r="T156" i="83"/>
  <c r="T153" i="83"/>
  <c r="T165" i="83"/>
  <c r="T136" i="83"/>
  <c r="T140" i="83"/>
  <c r="T154" i="83"/>
  <c r="T144" i="83"/>
  <c r="M133" i="83"/>
  <c r="L59" i="65"/>
  <c r="L108" i="65" s="1"/>
  <c r="K59" i="65"/>
  <c r="K102" i="65" s="1"/>
  <c r="J59" i="65"/>
  <c r="J108" i="65" s="1"/>
  <c r="I59" i="65"/>
  <c r="I71" i="65" s="1"/>
  <c r="I120" i="65" s="1"/>
  <c r="H59" i="65"/>
  <c r="H71" i="65" s="1"/>
  <c r="H120" i="65" s="1"/>
  <c r="C196" i="66" l="1"/>
  <c r="C189" i="66"/>
  <c r="U167" i="83"/>
  <c r="U146" i="83"/>
  <c r="U155" i="83"/>
  <c r="U138" i="83"/>
  <c r="U165" i="83"/>
  <c r="U154" i="83"/>
  <c r="U140" i="83"/>
  <c r="U144" i="83"/>
  <c r="U136" i="83"/>
  <c r="U149" i="83"/>
  <c r="U164" i="83"/>
  <c r="U156" i="83"/>
  <c r="U137" i="83"/>
  <c r="U147" i="83"/>
  <c r="U158" i="83"/>
  <c r="U135" i="83"/>
  <c r="U163" i="83"/>
  <c r="U145" i="83"/>
  <c r="U139" i="83"/>
  <c r="U148" i="83"/>
  <c r="U166" i="83"/>
  <c r="U157" i="83"/>
  <c r="U162" i="83"/>
  <c r="U153" i="83"/>
  <c r="N133" i="83"/>
  <c r="H131" i="65"/>
  <c r="I131" i="65"/>
  <c r="J131" i="65"/>
  <c r="K131" i="65"/>
  <c r="L131" i="65"/>
  <c r="J71" i="65"/>
  <c r="J120" i="65" s="1"/>
  <c r="K71" i="65"/>
  <c r="K120" i="65" s="1"/>
  <c r="L71" i="65"/>
  <c r="L120" i="65" s="1"/>
  <c r="H108" i="65"/>
  <c r="J102" i="65"/>
  <c r="K108" i="65"/>
  <c r="J60" i="65"/>
  <c r="L60" i="65"/>
  <c r="L102" i="65"/>
  <c r="I108" i="65"/>
  <c r="I60" i="65"/>
  <c r="K60" i="65"/>
  <c r="H102" i="65"/>
  <c r="I102" i="65"/>
  <c r="C197" i="66" l="1"/>
  <c r="C188" i="66"/>
  <c r="V148" i="83"/>
  <c r="V167" i="83"/>
  <c r="V158" i="83"/>
  <c r="V154" i="83"/>
  <c r="V145" i="83"/>
  <c r="V138" i="83"/>
  <c r="V136" i="83"/>
  <c r="V137" i="83"/>
  <c r="V163" i="83"/>
  <c r="V157" i="83"/>
  <c r="V164" i="83"/>
  <c r="V166" i="83"/>
  <c r="V135" i="83"/>
  <c r="V139" i="83"/>
  <c r="V165" i="83"/>
  <c r="V155" i="83"/>
  <c r="V156" i="83"/>
  <c r="V153" i="83"/>
  <c r="V140" i="83"/>
  <c r="V144" i="83"/>
  <c r="V149" i="83"/>
  <c r="V146" i="83"/>
  <c r="V162" i="83"/>
  <c r="V147" i="83"/>
  <c r="C198" i="66" l="1"/>
  <c r="C187" i="66"/>
  <c r="W138" i="83"/>
  <c r="W146" i="83"/>
  <c r="W163" i="83"/>
  <c r="W139" i="83"/>
  <c r="W137" i="83"/>
  <c r="W164" i="83"/>
  <c r="W155" i="83"/>
  <c r="W166" i="83"/>
  <c r="W145" i="83"/>
  <c r="W135" i="83"/>
  <c r="W136" i="83"/>
  <c r="W140" i="83"/>
  <c r="W148" i="83"/>
  <c r="W162" i="83"/>
  <c r="W144" i="83"/>
  <c r="W147" i="83"/>
  <c r="W153" i="83"/>
  <c r="W156" i="83"/>
  <c r="W158" i="83"/>
  <c r="W157" i="83"/>
  <c r="W165" i="83"/>
  <c r="W149" i="83"/>
  <c r="W167" i="83"/>
  <c r="W154" i="83"/>
  <c r="C199" i="66" l="1"/>
  <c r="C186" i="66"/>
  <c r="C200" i="66" l="1"/>
  <c r="C185" i="66"/>
  <c r="C201" i="66" l="1"/>
  <c r="C184" i="66"/>
  <c r="C202" i="66" l="1"/>
  <c r="C183" i="66"/>
  <c r="C203" i="66" l="1"/>
  <c r="C182" i="66"/>
  <c r="C181" i="66" l="1"/>
  <c r="C204" i="66"/>
  <c r="C205" i="66" l="1"/>
  <c r="C180" i="66"/>
  <c r="Q65" i="83"/>
  <c r="C206" i="66" l="1"/>
  <c r="C179" i="66"/>
  <c r="Q66" i="83"/>
  <c r="E14" i="65"/>
  <c r="B73" i="83"/>
  <c r="F73" i="83"/>
  <c r="G73" i="83" s="1"/>
  <c r="H73" i="83" s="1"/>
  <c r="I73" i="83" s="1"/>
  <c r="J73" i="83" s="1"/>
  <c r="K73" i="83" s="1"/>
  <c r="L73" i="83" s="1"/>
  <c r="M73" i="83" s="1"/>
  <c r="N73" i="83" s="1"/>
  <c r="C207" i="66" l="1"/>
  <c r="C178" i="66"/>
  <c r="Q67" i="83"/>
  <c r="AD17" i="84"/>
  <c r="AD26" i="84"/>
  <c r="AD68" i="79"/>
  <c r="R26" i="84"/>
  <c r="R17" i="84"/>
  <c r="R68" i="79"/>
  <c r="F26" i="84"/>
  <c r="F17" i="84"/>
  <c r="F68" i="79"/>
  <c r="X26" i="84"/>
  <c r="X17" i="84"/>
  <c r="X68" i="79"/>
  <c r="L17" i="84"/>
  <c r="L26" i="84"/>
  <c r="L68" i="79"/>
  <c r="AL146" i="78"/>
  <c r="AJ146" i="78"/>
  <c r="AH146" i="78"/>
  <c r="AE146" i="78"/>
  <c r="AD146" i="78"/>
  <c r="AC146" i="78"/>
  <c r="AB146" i="78"/>
  <c r="B117" i="83"/>
  <c r="B106" i="83"/>
  <c r="B95" i="83"/>
  <c r="B84" i="83"/>
  <c r="E84" i="83"/>
  <c r="E95" i="83" s="1"/>
  <c r="E106" i="83" s="1"/>
  <c r="E117" i="83" s="1"/>
  <c r="F62" i="83"/>
  <c r="C208" i="66" l="1"/>
  <c r="C177" i="66"/>
  <c r="Q68" i="83"/>
  <c r="G62" i="83"/>
  <c r="F84" i="83"/>
  <c r="F95" i="83" s="1"/>
  <c r="F106" i="83" s="1"/>
  <c r="F117" i="83" s="1"/>
  <c r="G84" i="83"/>
  <c r="G95" i="83" s="1"/>
  <c r="C209" i="66" l="1"/>
  <c r="C176" i="66"/>
  <c r="Q69" i="83"/>
  <c r="H84" i="83"/>
  <c r="I84" i="83" s="1"/>
  <c r="J84" i="83" s="1"/>
  <c r="K84" i="83" s="1"/>
  <c r="L84" i="83" s="1"/>
  <c r="M84" i="83" s="1"/>
  <c r="N84" i="83" s="1"/>
  <c r="H62" i="83"/>
  <c r="H95" i="83"/>
  <c r="I95" i="83" s="1"/>
  <c r="J95" i="83" s="1"/>
  <c r="K95" i="83" s="1"/>
  <c r="L95" i="83" s="1"/>
  <c r="M95" i="83" s="1"/>
  <c r="N95" i="83" s="1"/>
  <c r="G106" i="83"/>
  <c r="C210" i="66" l="1"/>
  <c r="C175" i="66"/>
  <c r="Q70" i="83"/>
  <c r="I62" i="83"/>
  <c r="H106" i="83"/>
  <c r="I106" i="83" s="1"/>
  <c r="J106" i="83" s="1"/>
  <c r="K106" i="83" s="1"/>
  <c r="L106" i="83" s="1"/>
  <c r="M106" i="83" s="1"/>
  <c r="N106" i="83" s="1"/>
  <c r="G117" i="83"/>
  <c r="H117" i="83" s="1"/>
  <c r="I117" i="83" s="1"/>
  <c r="J117" i="83" s="1"/>
  <c r="K117" i="83" s="1"/>
  <c r="L117" i="83" s="1"/>
  <c r="M117" i="83" s="1"/>
  <c r="N117" i="83" s="1"/>
  <c r="C211" i="66" l="1"/>
  <c r="C174" i="66"/>
  <c r="J62" i="83"/>
  <c r="C212" i="66" l="1"/>
  <c r="C173" i="66"/>
  <c r="K62" i="83"/>
  <c r="C213" i="66" l="1"/>
  <c r="C172" i="66"/>
  <c r="L62" i="83"/>
  <c r="C214" i="66" l="1"/>
  <c r="C171" i="66"/>
  <c r="M62" i="83"/>
  <c r="C215" i="66" l="1"/>
  <c r="C170" i="66"/>
  <c r="N62" i="83"/>
  <c r="M16" i="83" l="1"/>
  <c r="C169" i="66"/>
  <c r="C216" i="66"/>
  <c r="C217" i="66" l="1"/>
  <c r="C168" i="66"/>
  <c r="C218" i="66" l="1"/>
  <c r="C167" i="66"/>
  <c r="J14" i="83"/>
  <c r="AF124" i="78"/>
  <c r="E32" i="6" s="1"/>
  <c r="E33" i="6" s="1"/>
  <c r="AF83" i="78"/>
  <c r="C219" i="66" l="1"/>
  <c r="C166" i="66"/>
  <c r="AF80" i="78"/>
  <c r="W55" i="78"/>
  <c r="V55" i="78"/>
  <c r="W52" i="78"/>
  <c r="V52" i="78"/>
  <c r="R65" i="78"/>
  <c r="R64" i="78"/>
  <c r="T55" i="78"/>
  <c r="G83" i="65" s="1"/>
  <c r="S55" i="78"/>
  <c r="R55" i="78"/>
  <c r="Q55" i="78"/>
  <c r="P55" i="78"/>
  <c r="T52" i="78"/>
  <c r="G80" i="65" s="1"/>
  <c r="S52" i="78"/>
  <c r="R52" i="78"/>
  <c r="Q52" i="78"/>
  <c r="P52" i="78"/>
  <c r="L65" i="78"/>
  <c r="L64" i="78"/>
  <c r="N55" i="78"/>
  <c r="F83" i="65" s="1"/>
  <c r="M55" i="78"/>
  <c r="L55" i="78"/>
  <c r="K55" i="78"/>
  <c r="J55" i="78"/>
  <c r="N52" i="78"/>
  <c r="F80" i="65" s="1"/>
  <c r="M52" i="78"/>
  <c r="L52" i="78"/>
  <c r="K52" i="78"/>
  <c r="J52" i="78"/>
  <c r="C220" i="66" l="1"/>
  <c r="C165" i="66"/>
  <c r="AX68" i="79"/>
  <c r="AT68" i="79"/>
  <c r="AB70" i="78"/>
  <c r="AB76" i="78"/>
  <c r="AB58" i="78"/>
  <c r="AC70" i="78"/>
  <c r="AC58" i="78"/>
  <c r="AC76" i="78"/>
  <c r="AD76" i="78"/>
  <c r="AD70" i="78"/>
  <c r="AD58" i="78"/>
  <c r="AE58" i="78"/>
  <c r="AE70" i="78"/>
  <c r="AE76" i="78"/>
  <c r="AL32" i="78"/>
  <c r="AZ18" i="78" s="1"/>
  <c r="AJ58" i="78"/>
  <c r="AJ76" i="78"/>
  <c r="AJ70" i="78"/>
  <c r="AL76" i="78"/>
  <c r="AL58" i="78"/>
  <c r="AL70" i="78"/>
  <c r="X76" i="78"/>
  <c r="AH76" i="78"/>
  <c r="AH58" i="78"/>
  <c r="AH70" i="78"/>
  <c r="AJ32" i="78"/>
  <c r="AY18" i="78" s="1"/>
  <c r="H55" i="78"/>
  <c r="E83" i="65" s="1"/>
  <c r="G55" i="78"/>
  <c r="F55" i="78"/>
  <c r="E55" i="78"/>
  <c r="H52" i="78"/>
  <c r="E80" i="65" s="1"/>
  <c r="G52" i="78"/>
  <c r="F52" i="78"/>
  <c r="E52" i="78"/>
  <c r="D55" i="78"/>
  <c r="AD139" i="78"/>
  <c r="AF139" i="78" s="1"/>
  <c r="X139" i="78"/>
  <c r="Z139" i="78" s="1"/>
  <c r="AD118" i="78"/>
  <c r="AF118" i="78" s="1"/>
  <c r="X118" i="78"/>
  <c r="Y118" i="78" s="1"/>
  <c r="R118" i="78"/>
  <c r="Q118" i="78" s="1"/>
  <c r="L118" i="78"/>
  <c r="N118" i="78" s="1"/>
  <c r="F118" i="78"/>
  <c r="E118" i="78" s="1"/>
  <c r="D118" i="78"/>
  <c r="AM24" i="78"/>
  <c r="AD24" i="78"/>
  <c r="AF24" i="78" s="1"/>
  <c r="X24" i="78"/>
  <c r="Y24" i="78" s="1"/>
  <c r="R24" i="78"/>
  <c r="T24" i="78" s="1"/>
  <c r="L24" i="78"/>
  <c r="K24" i="78" s="1"/>
  <c r="D24" i="78"/>
  <c r="F24" i="78"/>
  <c r="J8" i="78"/>
  <c r="P8" i="78" s="1"/>
  <c r="V8" i="78" s="1"/>
  <c r="AB8" i="78" s="1"/>
  <c r="AH8" i="78" s="1"/>
  <c r="AJ8" i="78" s="1"/>
  <c r="AL8" i="78" s="1"/>
  <c r="AL139" i="78" s="1"/>
  <c r="X147" i="78"/>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C221" i="66" l="1"/>
  <c r="C164" i="66"/>
  <c r="AR18" i="79"/>
  <c r="AP171" i="79"/>
  <c r="AP68" i="79"/>
  <c r="AQ68" i="79"/>
  <c r="AV68" i="79"/>
  <c r="AO68" i="79"/>
  <c r="AN68" i="79"/>
  <c r="AJ17" i="84"/>
  <c r="AJ26" i="84"/>
  <c r="AJ68" i="79"/>
  <c r="AK26" i="84"/>
  <c r="AK17" i="84"/>
  <c r="AK68" i="79"/>
  <c r="AK171" i="79"/>
  <c r="AO171" i="79"/>
  <c r="AF76" i="78"/>
  <c r="AL134" i="78"/>
  <c r="AX171" i="79"/>
  <c r="AF70" i="78"/>
  <c r="AJ134" i="78"/>
  <c r="AV171" i="79"/>
  <c r="AE134" i="78"/>
  <c r="AQ171" i="79"/>
  <c r="AF109" i="78"/>
  <c r="AB134" i="78"/>
  <c r="AN171" i="79"/>
  <c r="AB97" i="78"/>
  <c r="AB130" i="78" s="1"/>
  <c r="AT171" i="79"/>
  <c r="AX139" i="79"/>
  <c r="X134" i="78"/>
  <c r="AJ171" i="79"/>
  <c r="AB73" i="78"/>
  <c r="AD37" i="78"/>
  <c r="AB88" i="78"/>
  <c r="AB85" i="78"/>
  <c r="AH134" i="78"/>
  <c r="AD134" i="78"/>
  <c r="AF106" i="78"/>
  <c r="AB37" i="78"/>
  <c r="AJ37" i="78"/>
  <c r="AJ73" i="78"/>
  <c r="AV98" i="79" s="1"/>
  <c r="AJ85" i="78"/>
  <c r="AJ97" i="78"/>
  <c r="AJ130" i="78" s="1"/>
  <c r="AJ88" i="78"/>
  <c r="AE97" i="78"/>
  <c r="AE130" i="78" s="1"/>
  <c r="AE88" i="78"/>
  <c r="AE73" i="78"/>
  <c r="AD97" i="78"/>
  <c r="AD130" i="78" s="1"/>
  <c r="AD88" i="78"/>
  <c r="AE85" i="78"/>
  <c r="AE37" i="78"/>
  <c r="AE40" i="78" s="1"/>
  <c r="AD73" i="78"/>
  <c r="AD103" i="78" s="1"/>
  <c r="AF43" i="78"/>
  <c r="AC97" i="78"/>
  <c r="AC130" i="78" s="1"/>
  <c r="AC88" i="78"/>
  <c r="AD85" i="78"/>
  <c r="AL97" i="78"/>
  <c r="AL130" i="78" s="1"/>
  <c r="AL88" i="78"/>
  <c r="AL37" i="78"/>
  <c r="AL40" i="78" s="1"/>
  <c r="AL85" i="78"/>
  <c r="AL73" i="78"/>
  <c r="X97" i="78"/>
  <c r="AH88" i="78"/>
  <c r="AH97" i="78"/>
  <c r="AH130" i="78" s="1"/>
  <c r="AF58" i="78"/>
  <c r="AH32" i="78"/>
  <c r="AX18" i="78" s="1"/>
  <c r="X37" i="78"/>
  <c r="AJ98" i="79"/>
  <c r="AC37" i="78"/>
  <c r="AC85" i="78"/>
  <c r="AC73" i="78"/>
  <c r="AH37" i="78"/>
  <c r="AH73" i="78"/>
  <c r="AH85" i="78"/>
  <c r="Z24" i="78"/>
  <c r="Z118" i="78"/>
  <c r="AC139" i="78"/>
  <c r="AL24" i="78"/>
  <c r="V139" i="78"/>
  <c r="AH118" i="78"/>
  <c r="W24" i="78"/>
  <c r="AB139" i="78"/>
  <c r="P118" i="78"/>
  <c r="J24" i="78"/>
  <c r="M118" i="78"/>
  <c r="AB118" i="78"/>
  <c r="M24" i="78"/>
  <c r="N24" i="78"/>
  <c r="AB24" i="78"/>
  <c r="G118" i="78"/>
  <c r="T118" i="78"/>
  <c r="AJ118" i="78"/>
  <c r="P24" i="78"/>
  <c r="H118" i="78"/>
  <c r="V118" i="78"/>
  <c r="AL118" i="78"/>
  <c r="AH139" i="78"/>
  <c r="AH24" i="78"/>
  <c r="J118" i="78"/>
  <c r="W118" i="78"/>
  <c r="AJ139" i="78"/>
  <c r="V24" i="78"/>
  <c r="AJ24" i="78"/>
  <c r="K118" i="78"/>
  <c r="AE139" i="78"/>
  <c r="W139" i="78"/>
  <c r="Y139" i="78"/>
  <c r="S118" i="78"/>
  <c r="AC118" i="78"/>
  <c r="AE118" i="78"/>
  <c r="Q24" i="78"/>
  <c r="S24" i="78"/>
  <c r="AC24" i="78"/>
  <c r="AE24" i="78"/>
  <c r="H24" i="78"/>
  <c r="G24" i="78"/>
  <c r="E24" i="78"/>
  <c r="AH147" i="78"/>
  <c r="AJ147" i="78"/>
  <c r="AL147" i="78"/>
  <c r="AD147" i="78"/>
  <c r="AE147" i="78"/>
  <c r="AC147" i="78"/>
  <c r="AB147" i="78"/>
  <c r="Y147" i="78"/>
  <c r="AR139" i="79" l="1"/>
  <c r="AF110" i="78"/>
  <c r="C222" i="66"/>
  <c r="C163" i="66"/>
  <c r="H18" i="6"/>
  <c r="AT139" i="79"/>
  <c r="AR68" i="79"/>
  <c r="AF77" i="78"/>
  <c r="AV139" i="79"/>
  <c r="AL103" i="78"/>
  <c r="AL132" i="78" s="1"/>
  <c r="AF71" i="78"/>
  <c r="AV109" i="79"/>
  <c r="AF59" i="78"/>
  <c r="AJ40" i="78"/>
  <c r="AJ41" i="78" s="1"/>
  <c r="AT131" i="79"/>
  <c r="AT109" i="79"/>
  <c r="AF88" i="78"/>
  <c r="AX138" i="79"/>
  <c r="AL46" i="78"/>
  <c r="AF134" i="78"/>
  <c r="AJ103" i="78"/>
  <c r="AJ104" i="78" s="1"/>
  <c r="AT98" i="79"/>
  <c r="AC103" i="78"/>
  <c r="AO98" i="79"/>
  <c r="AO109" i="79"/>
  <c r="AK98" i="79"/>
  <c r="AP109" i="79"/>
  <c r="AP98" i="79"/>
  <c r="AF85" i="78"/>
  <c r="AF73" i="78"/>
  <c r="AF74" i="78" s="1"/>
  <c r="AE103" i="78"/>
  <c r="AQ98" i="79"/>
  <c r="AN109" i="79"/>
  <c r="AN98" i="79"/>
  <c r="AB40" i="78"/>
  <c r="AB41" i="78" s="1"/>
  <c r="AD40" i="78"/>
  <c r="AR21" i="79"/>
  <c r="AH40" i="78"/>
  <c r="AJ109" i="79"/>
  <c r="AQ71" i="79"/>
  <c r="AF107" i="78"/>
  <c r="AE41" i="78"/>
  <c r="AE46" i="78"/>
  <c r="X130" i="78"/>
  <c r="AF97" i="78"/>
  <c r="AF98" i="78" s="1"/>
  <c r="X40" i="78"/>
  <c r="X47" i="78" s="1"/>
  <c r="AF37" i="78"/>
  <c r="AF38" i="78" s="1"/>
  <c r="AC40" i="78"/>
  <c r="C223" i="66" l="1"/>
  <c r="C162" i="66"/>
  <c r="C161" i="66" s="1"/>
  <c r="C160" i="66" s="1"/>
  <c r="C159" i="66" s="1"/>
  <c r="C158" i="66" s="1"/>
  <c r="C157" i="66" s="1"/>
  <c r="C156" i="66" s="1"/>
  <c r="C155" i="66" s="1"/>
  <c r="C154" i="66" s="1"/>
  <c r="J17" i="83"/>
  <c r="J16" i="83"/>
  <c r="D97" i="79"/>
  <c r="F18" i="6"/>
  <c r="E18" i="6"/>
  <c r="AV131" i="79"/>
  <c r="AL41" i="78"/>
  <c r="AL104" i="78"/>
  <c r="AR109" i="79"/>
  <c r="AF89" i="78"/>
  <c r="AR131" i="79"/>
  <c r="AV134" i="79"/>
  <c r="AQ109" i="79"/>
  <c r="AK109" i="79"/>
  <c r="AF86" i="78"/>
  <c r="AV128" i="79"/>
  <c r="AR128" i="79"/>
  <c r="AJ46" i="78"/>
  <c r="AV71" i="79"/>
  <c r="AT128" i="79"/>
  <c r="AR30" i="79"/>
  <c r="AX71" i="79"/>
  <c r="AV132" i="79"/>
  <c r="AR138" i="79"/>
  <c r="AR171" i="79"/>
  <c r="AT138" i="79"/>
  <c r="AV138" i="79"/>
  <c r="AT133" i="79"/>
  <c r="AL109" i="79"/>
  <c r="AR98" i="79"/>
  <c r="AH103" i="78"/>
  <c r="AH132" i="78" s="1"/>
  <c r="AH46" i="78"/>
  <c r="AH41" i="78"/>
  <c r="AP71" i="79"/>
  <c r="AD41" i="78"/>
  <c r="AD46" i="78"/>
  <c r="AO71" i="79"/>
  <c r="AR27" i="79"/>
  <c r="AK71" i="79"/>
  <c r="AJ71" i="79"/>
  <c r="AB46" i="78"/>
  <c r="AC104" i="78"/>
  <c r="AC132" i="78"/>
  <c r="AF130" i="78"/>
  <c r="AD104" i="78"/>
  <c r="AD132" i="78"/>
  <c r="AE104" i="78"/>
  <c r="AE132" i="78"/>
  <c r="AJ132" i="78"/>
  <c r="X41" i="78"/>
  <c r="AC46" i="78"/>
  <c r="AC41" i="78"/>
  <c r="AF40" i="78"/>
  <c r="D98" i="79"/>
  <c r="C224" i="66" l="1"/>
  <c r="G18" i="6"/>
  <c r="AH104" i="78"/>
  <c r="AR134" i="79"/>
  <c r="AT134" i="79"/>
  <c r="AV133" i="79"/>
  <c r="AR133" i="79"/>
  <c r="AT132" i="79"/>
  <c r="AR132" i="79"/>
  <c r="AF41" i="78"/>
  <c r="AR24" i="79"/>
  <c r="AF46" i="78"/>
  <c r="AR22" i="79"/>
  <c r="AN71" i="79"/>
  <c r="AT71" i="79"/>
  <c r="C225" i="66" l="1"/>
  <c r="E68" i="79"/>
  <c r="G68" i="79"/>
  <c r="G17" i="84"/>
  <c r="G26" i="84"/>
  <c r="E17" i="84"/>
  <c r="E26" i="84"/>
  <c r="H68" i="79"/>
  <c r="H26" i="84"/>
  <c r="H80" i="79"/>
  <c r="H87" i="79"/>
  <c r="AR29" i="79"/>
  <c r="AR23" i="79"/>
  <c r="AF47" i="78"/>
  <c r="AR71" i="79"/>
  <c r="R73" i="78"/>
  <c r="R70" i="78"/>
  <c r="H77" i="79"/>
  <c r="H71" i="79"/>
  <c r="H86" i="79"/>
  <c r="H83" i="79"/>
  <c r="H74" i="79"/>
  <c r="AD97" i="79"/>
  <c r="I21" i="84" l="1"/>
  <c r="I22" i="84"/>
  <c r="I23" i="84"/>
  <c r="I24" i="84"/>
  <c r="I25" i="84"/>
  <c r="I20" i="84"/>
  <c r="C226" i="66"/>
  <c r="H125" i="79"/>
  <c r="C227" i="66" l="1"/>
  <c r="N125" i="79"/>
  <c r="C228" i="66" l="1"/>
  <c r="S94" i="78"/>
  <c r="Q94" i="78"/>
  <c r="R94" i="78"/>
  <c r="P94" i="78"/>
  <c r="M94" i="78"/>
  <c r="K94" i="78"/>
  <c r="W94" i="78"/>
  <c r="V94" i="78"/>
  <c r="L94" i="78"/>
  <c r="J94" i="78"/>
  <c r="E94" i="78"/>
  <c r="E128" i="78" s="1"/>
  <c r="F94" i="78"/>
  <c r="F128" i="78" s="1"/>
  <c r="G94" i="78"/>
  <c r="G128" i="78" s="1"/>
  <c r="D94" i="78"/>
  <c r="D128" i="78" s="1"/>
  <c r="AL125" i="79"/>
  <c r="T125" i="79"/>
  <c r="N127" i="79"/>
  <c r="AF125" i="79"/>
  <c r="H127" i="79"/>
  <c r="Z125" i="79"/>
  <c r="H128" i="79"/>
  <c r="N128" i="79"/>
  <c r="C229" i="66" l="1"/>
  <c r="AL128" i="79"/>
  <c r="L97" i="78"/>
  <c r="L130" i="78" s="1"/>
  <c r="P97" i="78"/>
  <c r="P130" i="78" s="1"/>
  <c r="K97" i="78"/>
  <c r="K130" i="78" s="1"/>
  <c r="J97" i="78"/>
  <c r="J130" i="78" s="1"/>
  <c r="Q97" i="78"/>
  <c r="Q130" i="78" s="1"/>
  <c r="S97" i="78"/>
  <c r="S130" i="78" s="1"/>
  <c r="M97" i="78"/>
  <c r="M130" i="78" s="1"/>
  <c r="W97" i="78"/>
  <c r="W130" i="78" s="1"/>
  <c r="R97" i="78"/>
  <c r="R130" i="78" s="1"/>
  <c r="V97" i="78"/>
  <c r="J128" i="78"/>
  <c r="L128" i="78"/>
  <c r="K128" i="78"/>
  <c r="M128" i="78"/>
  <c r="P128" i="78"/>
  <c r="AF127" i="79"/>
  <c r="T94" i="78"/>
  <c r="G125" i="65" s="1"/>
  <c r="R128" i="78"/>
  <c r="V128" i="78"/>
  <c r="Q128" i="78"/>
  <c r="Z127" i="79"/>
  <c r="N94" i="78"/>
  <c r="F125" i="65" s="1"/>
  <c r="W128" i="78"/>
  <c r="S128" i="78"/>
  <c r="G97" i="78"/>
  <c r="G130" i="78" s="1"/>
  <c r="E97" i="78"/>
  <c r="E130" i="78" s="1"/>
  <c r="F97" i="78"/>
  <c r="F130" i="78" s="1"/>
  <c r="D97" i="78"/>
  <c r="D130" i="78" s="1"/>
  <c r="T127" i="79"/>
  <c r="H94" i="78"/>
  <c r="E125" i="65" s="1"/>
  <c r="H129" i="79"/>
  <c r="N129" i="79"/>
  <c r="C230" i="66" l="1"/>
  <c r="D22" i="6"/>
  <c r="N128" i="78"/>
  <c r="V130" i="78"/>
  <c r="Z128" i="79"/>
  <c r="N97" i="78"/>
  <c r="N130" i="78" s="1"/>
  <c r="AF128" i="79"/>
  <c r="T97" i="78"/>
  <c r="T130" i="78" s="1"/>
  <c r="T128" i="78"/>
  <c r="H128" i="78"/>
  <c r="T128" i="79"/>
  <c r="H97" i="78"/>
  <c r="AL129" i="79"/>
  <c r="AF129" i="79"/>
  <c r="Z129" i="79"/>
  <c r="T129" i="79"/>
  <c r="H131" i="79"/>
  <c r="N131" i="79"/>
  <c r="C231" i="66" l="1"/>
  <c r="H130" i="78"/>
  <c r="H132" i="79"/>
  <c r="N132" i="79"/>
  <c r="C232" i="66" l="1"/>
  <c r="AF131" i="79"/>
  <c r="Z131" i="79"/>
  <c r="T131" i="79"/>
  <c r="AF132" i="79"/>
  <c r="Z132" i="79"/>
  <c r="T132" i="79"/>
  <c r="H133" i="79"/>
  <c r="N133" i="79"/>
  <c r="C233" i="66" l="1"/>
  <c r="V103" i="78"/>
  <c r="Q103" i="78"/>
  <c r="Q132" i="78" s="1"/>
  <c r="P103" i="78"/>
  <c r="P132" i="78" s="1"/>
  <c r="J103" i="78"/>
  <c r="J132" i="78" s="1"/>
  <c r="M103" i="78"/>
  <c r="M132" i="78" s="1"/>
  <c r="L103" i="78"/>
  <c r="L132" i="78" s="1"/>
  <c r="S103" i="78"/>
  <c r="S132" i="78" s="1"/>
  <c r="K103" i="78"/>
  <c r="K132" i="78" s="1"/>
  <c r="R103" i="78"/>
  <c r="R132" i="78" s="1"/>
  <c r="W103" i="78"/>
  <c r="W132" i="78" s="1"/>
  <c r="J168" i="79"/>
  <c r="K168" i="79"/>
  <c r="G103" i="78"/>
  <c r="M168" i="79"/>
  <c r="F103" i="78"/>
  <c r="L168" i="79"/>
  <c r="E103" i="78"/>
  <c r="D103" i="78"/>
  <c r="F168" i="79"/>
  <c r="E168" i="79"/>
  <c r="D168" i="79"/>
  <c r="G168" i="79"/>
  <c r="AF134" i="79"/>
  <c r="T134" i="79"/>
  <c r="Z133" i="79"/>
  <c r="H134" i="79"/>
  <c r="Z134" i="79"/>
  <c r="N134" i="79"/>
  <c r="T133" i="79"/>
  <c r="C234" i="66" l="1"/>
  <c r="S109" i="78"/>
  <c r="Q109" i="78"/>
  <c r="P109" i="78"/>
  <c r="W109" i="78"/>
  <c r="M106" i="78"/>
  <c r="M80" i="78" s="1"/>
  <c r="V109" i="78"/>
  <c r="K106" i="78"/>
  <c r="K109" i="78"/>
  <c r="M109" i="78"/>
  <c r="M110" i="78" s="1"/>
  <c r="L106" i="78"/>
  <c r="L109" i="78"/>
  <c r="R109" i="78"/>
  <c r="J109" i="78"/>
  <c r="AF133" i="79"/>
  <c r="T103" i="78"/>
  <c r="N103" i="78"/>
  <c r="V132" i="78"/>
  <c r="D132" i="78"/>
  <c r="E132" i="78"/>
  <c r="F132" i="78"/>
  <c r="G132" i="78"/>
  <c r="H103" i="78"/>
  <c r="E128" i="65" s="1"/>
  <c r="D109" i="78"/>
  <c r="X168" i="79"/>
  <c r="AE168" i="79"/>
  <c r="P168" i="79"/>
  <c r="AD168" i="79"/>
  <c r="E109" i="78"/>
  <c r="AH168" i="79"/>
  <c r="Y168" i="79"/>
  <c r="S168" i="79"/>
  <c r="G109" i="78"/>
  <c r="V168" i="79"/>
  <c r="AB168" i="79"/>
  <c r="R168" i="79"/>
  <c r="AI168" i="79"/>
  <c r="AC168" i="79"/>
  <c r="W168" i="79"/>
  <c r="Q168" i="79"/>
  <c r="F109"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Z143" i="79"/>
  <c r="H139" i="79"/>
  <c r="H144" i="79"/>
  <c r="Z144" i="79"/>
  <c r="T140" i="79"/>
  <c r="G171" i="79"/>
  <c r="F171" i="79"/>
  <c r="E171" i="79"/>
  <c r="D171" i="79"/>
  <c r="C235" i="66" l="1"/>
  <c r="N132" i="78"/>
  <c r="F128" i="65"/>
  <c r="T132" i="78"/>
  <c r="G128" i="65"/>
  <c r="W134" i="78"/>
  <c r="S134" i="78"/>
  <c r="R134" i="78"/>
  <c r="P134" i="78"/>
  <c r="M134" i="78"/>
  <c r="L134" i="78"/>
  <c r="Z139" i="79"/>
  <c r="N109" i="78"/>
  <c r="AF139" i="79"/>
  <c r="T109" i="78"/>
  <c r="K134" i="78"/>
  <c r="V134" i="78"/>
  <c r="Z138" i="79"/>
  <c r="N106" i="78"/>
  <c r="J134" i="78"/>
  <c r="Q134" i="78"/>
  <c r="AF138" i="79"/>
  <c r="H132" i="78"/>
  <c r="D134" i="78"/>
  <c r="G134" i="78"/>
  <c r="F134" i="78"/>
  <c r="E134" i="78"/>
  <c r="T139" i="79"/>
  <c r="H109" i="78"/>
  <c r="T138" i="79"/>
  <c r="T135" i="79"/>
  <c r="T168" i="79"/>
  <c r="AF135" i="79"/>
  <c r="AF168" i="79"/>
  <c r="Z135" i="79"/>
  <c r="Z168" i="79"/>
  <c r="H146" i="79"/>
  <c r="H145" i="79"/>
  <c r="M171" i="79"/>
  <c r="L171" i="79"/>
  <c r="K171" i="79"/>
  <c r="J171" i="79"/>
  <c r="E131" i="65" l="1"/>
  <c r="AL139" i="79"/>
  <c r="C236" i="66"/>
  <c r="G131" i="65"/>
  <c r="F131" i="65"/>
  <c r="AL171" i="79"/>
  <c r="AL138" i="79"/>
  <c r="N134" i="78"/>
  <c r="T134" i="78"/>
  <c r="H134" i="78"/>
  <c r="N146" i="79"/>
  <c r="H171" i="79"/>
  <c r="N145" i="79"/>
  <c r="S171" i="79"/>
  <c r="R171" i="79"/>
  <c r="Q171" i="79"/>
  <c r="P171" i="79"/>
  <c r="C237" i="66" l="1"/>
  <c r="N171" i="79"/>
  <c r="T146" i="79"/>
  <c r="Y171" i="79"/>
  <c r="X171" i="79"/>
  <c r="W171" i="79"/>
  <c r="V171" i="79"/>
  <c r="T145" i="79"/>
  <c r="C238" i="66" l="1"/>
  <c r="T171" i="79"/>
  <c r="Z146" i="79"/>
  <c r="Z145" i="79"/>
  <c r="AE171" i="79"/>
  <c r="AD171" i="79"/>
  <c r="AC171" i="79"/>
  <c r="AB171" i="79"/>
  <c r="C239" i="66" l="1"/>
  <c r="Z171" i="79"/>
  <c r="AF146" i="79"/>
  <c r="AL146" i="79"/>
  <c r="AF145" i="79"/>
  <c r="AI171" i="79"/>
  <c r="AL145" i="79"/>
  <c r="C240" i="66" l="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H155" i="79"/>
  <c r="H154" i="79"/>
  <c r="M174" i="79"/>
  <c r="L174" i="79"/>
  <c r="K174" i="79"/>
  <c r="J174" i="79"/>
  <c r="C242" i="66" l="1"/>
  <c r="N155" i="79"/>
  <c r="H174" i="79"/>
  <c r="N154" i="79"/>
  <c r="S174" i="79"/>
  <c r="R174" i="79"/>
  <c r="Q174" i="79"/>
  <c r="P174" i="79"/>
  <c r="C243" i="66" l="1"/>
  <c r="N174" i="79"/>
  <c r="T155" i="79"/>
  <c r="T154" i="79"/>
  <c r="Y174" i="79"/>
  <c r="X174" i="79"/>
  <c r="W174" i="79"/>
  <c r="V174" i="79"/>
  <c r="C244" i="66" l="1"/>
  <c r="T174" i="79"/>
  <c r="Z155" i="79"/>
  <c r="Z154" i="79"/>
  <c r="AE174" i="79"/>
  <c r="AD174" i="79"/>
  <c r="AC174" i="79"/>
  <c r="AB174" i="79"/>
  <c r="C245" i="66" l="1"/>
  <c r="Z174" i="79"/>
  <c r="AF155" i="79"/>
  <c r="AL155" i="79"/>
  <c r="AF154" i="79"/>
  <c r="AI174" i="79"/>
  <c r="AL154" i="79"/>
  <c r="C246" i="66" l="1"/>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Z159" i="79"/>
  <c r="Z176" i="79"/>
  <c r="Z177" i="79"/>
  <c r="AF159" i="79"/>
  <c r="AF176" i="79"/>
  <c r="AF177" i="79"/>
  <c r="N159" i="79"/>
  <c r="N176" i="79"/>
  <c r="N177" i="79"/>
  <c r="T159" i="79"/>
  <c r="T176" i="79"/>
  <c r="T177" i="79"/>
  <c r="J97" i="79"/>
  <c r="K97" i="79"/>
  <c r="M97" i="79"/>
  <c r="L97" i="79"/>
  <c r="H159" i="79"/>
  <c r="H176" i="79"/>
  <c r="N97" i="79"/>
  <c r="C248" i="66" l="1"/>
  <c r="Q97" i="79"/>
  <c r="P97" i="79"/>
  <c r="R97" i="79"/>
  <c r="S97" i="79"/>
  <c r="T97" i="79"/>
  <c r="C249" i="66" l="1"/>
  <c r="X97" i="79"/>
  <c r="Y97" i="79"/>
  <c r="W97" i="79"/>
  <c r="V97" i="79"/>
  <c r="Z97" i="79"/>
  <c r="C250" i="66" l="1"/>
  <c r="AB97" i="79"/>
  <c r="AE97" i="79"/>
  <c r="AC97" i="79"/>
  <c r="AF97" i="79"/>
  <c r="C251" i="66" l="1"/>
  <c r="P73" i="78"/>
  <c r="V73" i="78"/>
  <c r="W73" i="78"/>
  <c r="AL132" i="79" s="1"/>
  <c r="J70" i="78"/>
  <c r="L70" i="78"/>
  <c r="Q70" i="78"/>
  <c r="K73" i="78"/>
  <c r="M73" i="78"/>
  <c r="W70" i="78"/>
  <c r="S70" i="78"/>
  <c r="J73" i="78"/>
  <c r="L73" i="78"/>
  <c r="S73" i="78"/>
  <c r="M70" i="78"/>
  <c r="P70" i="78"/>
  <c r="V70" i="78"/>
  <c r="Q73" i="78"/>
  <c r="K70" i="78"/>
  <c r="D70" i="78"/>
  <c r="D73" i="78"/>
  <c r="F70" i="78"/>
  <c r="E70" i="78"/>
  <c r="G73" i="78"/>
  <c r="G70" i="78"/>
  <c r="E73" i="78"/>
  <c r="F73" i="78"/>
  <c r="AH97" i="79"/>
  <c r="AI97" i="79"/>
  <c r="H70" i="78"/>
  <c r="E102" i="65" s="1"/>
  <c r="T70" i="78"/>
  <c r="G102" i="65" s="1"/>
  <c r="N70" i="78"/>
  <c r="F102" i="65" s="1"/>
  <c r="N73" i="78"/>
  <c r="F105" i="65" s="1"/>
  <c r="T73" i="78"/>
  <c r="G105" i="65" s="1"/>
  <c r="H73" i="78"/>
  <c r="E105" i="65" s="1"/>
  <c r="F98" i="79"/>
  <c r="E98" i="79"/>
  <c r="C252" i="66" l="1"/>
  <c r="AL131" i="79"/>
  <c r="H98" i="79"/>
  <c r="G98" i="79"/>
  <c r="L98" i="79"/>
  <c r="K98" i="79"/>
  <c r="J98" i="79"/>
  <c r="C253" i="66" l="1"/>
  <c r="N98" i="79"/>
  <c r="M98" i="79"/>
  <c r="C254" i="66" l="1"/>
  <c r="R98" i="79"/>
  <c r="F76" i="78"/>
  <c r="Q98" i="79"/>
  <c r="E76" i="78"/>
  <c r="E108" i="65"/>
  <c r="G76" i="78"/>
  <c r="P98" i="79"/>
  <c r="D76" i="78"/>
  <c r="S98" i="79"/>
  <c r="C255" i="66" l="1"/>
  <c r="V98" i="79"/>
  <c r="J76" i="78"/>
  <c r="W98" i="79"/>
  <c r="K76" i="78"/>
  <c r="X98" i="79"/>
  <c r="L76" i="78"/>
  <c r="N76" i="78"/>
  <c r="F108" i="65" s="1"/>
  <c r="M76" i="78"/>
  <c r="T98" i="79"/>
  <c r="Y98" i="79"/>
  <c r="C256" i="66" l="1"/>
  <c r="Z98" i="79"/>
  <c r="T76" i="78"/>
  <c r="G108" i="65" s="1"/>
  <c r="S76" i="78"/>
  <c r="AB98" i="79"/>
  <c r="P76" i="78"/>
  <c r="AD98" i="79"/>
  <c r="R76" i="78"/>
  <c r="AC98" i="79"/>
  <c r="Q76" i="78"/>
  <c r="AE98" i="79"/>
  <c r="C257" i="66" l="1"/>
  <c r="AF98" i="79"/>
  <c r="V83" i="78"/>
  <c r="J83" i="78"/>
  <c r="W83" i="78"/>
  <c r="Q83" i="78"/>
  <c r="R83" i="78"/>
  <c r="R79" i="78"/>
  <c r="R53" i="78" s="1"/>
  <c r="P83" i="78"/>
  <c r="K79" i="78"/>
  <c r="K53" i="78" s="1"/>
  <c r="S83" i="78"/>
  <c r="K83" i="78"/>
  <c r="L79" i="78"/>
  <c r="L53" i="78" s="1"/>
  <c r="W79" i="78"/>
  <c r="P79" i="78"/>
  <c r="P53" i="78" s="1"/>
  <c r="V79" i="78"/>
  <c r="V53" i="78" s="1"/>
  <c r="M83" i="78"/>
  <c r="M79" i="78"/>
  <c r="M53" i="78" s="1"/>
  <c r="J79" i="78"/>
  <c r="J53" i="78" s="1"/>
  <c r="S79" i="78"/>
  <c r="S53" i="78" s="1"/>
  <c r="L83" i="78"/>
  <c r="Q79" i="78"/>
  <c r="Q53" i="78" s="1"/>
  <c r="AH98" i="79"/>
  <c r="V76" i="78"/>
  <c r="AI98" i="79"/>
  <c r="W76" i="78"/>
  <c r="F79" i="78"/>
  <c r="F53" i="78" s="1"/>
  <c r="E79" i="78"/>
  <c r="E53" i="78" s="1"/>
  <c r="D79" i="78"/>
  <c r="D53" i="78" s="1"/>
  <c r="G79" i="78"/>
  <c r="G53"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9" i="78"/>
  <c r="E111" i="65" s="1"/>
  <c r="E81" i="65" s="1"/>
  <c r="N82" i="78"/>
  <c r="H82" i="78"/>
  <c r="T82" i="78"/>
  <c r="N79" i="78"/>
  <c r="F103" i="79"/>
  <c r="E103" i="79"/>
  <c r="D103" i="79"/>
  <c r="C258" i="66" l="1"/>
  <c r="Z83" i="78"/>
  <c r="E56" i="78"/>
  <c r="E83" i="78"/>
  <c r="F114" i="65"/>
  <c r="F84" i="65" s="1"/>
  <c r="N83" i="78"/>
  <c r="F115" i="65" s="1"/>
  <c r="G56" i="78"/>
  <c r="G83" i="78"/>
  <c r="E114" i="65"/>
  <c r="E84" i="65" s="1"/>
  <c r="H83" i="78"/>
  <c r="E115" i="65" s="1"/>
  <c r="D56" i="78"/>
  <c r="F56" i="78"/>
  <c r="F83" i="78"/>
  <c r="G114" i="65"/>
  <c r="H83" i="65" s="1"/>
  <c r="T83" i="78"/>
  <c r="G115" i="65" s="1"/>
  <c r="N53" i="78"/>
  <c r="F81" i="65" s="1"/>
  <c r="F111" i="65"/>
  <c r="T53" i="78"/>
  <c r="G81" i="65" s="1"/>
  <c r="G111" i="65"/>
  <c r="H80" i="65" s="1"/>
  <c r="H53" i="78"/>
  <c r="L56" i="78"/>
  <c r="L95" i="78"/>
  <c r="T56" i="78"/>
  <c r="T95" i="78"/>
  <c r="G126" i="65" s="1"/>
  <c r="X52" i="78"/>
  <c r="W53" i="78"/>
  <c r="P56" i="78"/>
  <c r="P95" i="78"/>
  <c r="Q56" i="78"/>
  <c r="Q95" i="78"/>
  <c r="M56" i="78"/>
  <c r="M95" i="78"/>
  <c r="N56" i="78"/>
  <c r="N95" i="78"/>
  <c r="F126" i="65" s="1"/>
  <c r="K56" i="78"/>
  <c r="K95" i="78"/>
  <c r="S56" i="78"/>
  <c r="S95" i="78"/>
  <c r="R56" i="78"/>
  <c r="R95" i="78"/>
  <c r="X55" i="78"/>
  <c r="X82" i="78" s="1"/>
  <c r="W56" i="78"/>
  <c r="W95" i="78"/>
  <c r="J56" i="78"/>
  <c r="J95" i="78"/>
  <c r="V56" i="78"/>
  <c r="V95" i="78"/>
  <c r="G95" i="78"/>
  <c r="F95" i="78"/>
  <c r="D95" i="78"/>
  <c r="N102" i="79"/>
  <c r="E95" i="78"/>
  <c r="H56" i="78"/>
  <c r="H95" i="78"/>
  <c r="E126" i="65" s="1"/>
  <c r="AF102" i="79"/>
  <c r="G103" i="79"/>
  <c r="H102" i="79"/>
  <c r="H101" i="79"/>
  <c r="H103" i="79"/>
  <c r="T102" i="79"/>
  <c r="N101" i="79"/>
  <c r="Z101" i="79"/>
  <c r="Z102" i="79"/>
  <c r="T101" i="79"/>
  <c r="AF101" i="79"/>
  <c r="L103" i="79"/>
  <c r="K103" i="79"/>
  <c r="J103" i="79"/>
  <c r="AJ102" i="79" l="1"/>
  <c r="X94" i="78"/>
  <c r="C259" i="66"/>
  <c r="G84" i="65"/>
  <c r="H77" i="65"/>
  <c r="Y55" i="78"/>
  <c r="X49" i="78"/>
  <c r="X61" i="78" s="1"/>
  <c r="N103" i="79"/>
  <c r="M103" i="79"/>
  <c r="R103" i="79"/>
  <c r="Q103" i="79"/>
  <c r="P103" i="79"/>
  <c r="C260" i="66" l="1"/>
  <c r="Z55" i="78"/>
  <c r="X128" i="78"/>
  <c r="AJ77" i="79"/>
  <c r="T103" i="79"/>
  <c r="S103" i="79"/>
  <c r="X103" i="79"/>
  <c r="W103" i="79"/>
  <c r="V103" i="79"/>
  <c r="C261" i="66" l="1"/>
  <c r="AL102" i="79"/>
  <c r="AJ74" i="79"/>
  <c r="X62" i="78"/>
  <c r="X122" i="78"/>
  <c r="Z103" i="79"/>
  <c r="Y103" i="79"/>
  <c r="AD103" i="79"/>
  <c r="AC103" i="79"/>
  <c r="AB103" i="79"/>
  <c r="C262" i="66" l="1"/>
  <c r="AN102" i="79"/>
  <c r="AF103" i="79"/>
  <c r="AE103" i="79"/>
  <c r="AI103" i="79"/>
  <c r="AH103" i="79"/>
  <c r="C263" i="66" l="1"/>
  <c r="AO102" i="79"/>
  <c r="Q85" i="78"/>
  <c r="K85" i="78"/>
  <c r="L85" i="78"/>
  <c r="V85" i="78"/>
  <c r="J85" i="78"/>
  <c r="M85" i="78"/>
  <c r="W85" i="78"/>
  <c r="S85" i="78"/>
  <c r="R85" i="78"/>
  <c r="P85" i="78"/>
  <c r="F85" i="78"/>
  <c r="D85" i="78"/>
  <c r="G85" i="78"/>
  <c r="E8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5" i="78"/>
  <c r="G117" i="65" s="1"/>
  <c r="N85" i="78"/>
  <c r="F117" i="65" s="1"/>
  <c r="T104" i="79"/>
  <c r="H85" i="78"/>
  <c r="E117" i="65" s="1"/>
  <c r="N104" i="79"/>
  <c r="F109" i="79"/>
  <c r="E109" i="79"/>
  <c r="D109" i="79"/>
  <c r="C264" i="66" l="1"/>
  <c r="AL133" i="79"/>
  <c r="G109" i="79"/>
  <c r="H109" i="79"/>
  <c r="L109" i="79"/>
  <c r="K109" i="79"/>
  <c r="J109" i="79"/>
  <c r="C265" i="66" l="1"/>
  <c r="AP102" i="79"/>
  <c r="N109" i="79"/>
  <c r="M109" i="79"/>
  <c r="C266" i="66" l="1"/>
  <c r="Q109" i="79"/>
  <c r="E88" i="78"/>
  <c r="R109" i="79"/>
  <c r="F88" i="78"/>
  <c r="H88" i="78"/>
  <c r="E120" i="65" s="1"/>
  <c r="G88" i="78"/>
  <c r="P109" i="79"/>
  <c r="D88" i="78"/>
  <c r="S109" i="79"/>
  <c r="C267" i="66" l="1"/>
  <c r="AQ102" i="79"/>
  <c r="X109" i="79"/>
  <c r="L88" i="78"/>
  <c r="V109" i="79"/>
  <c r="J88" i="78"/>
  <c r="N88" i="78"/>
  <c r="F120" i="65" s="1"/>
  <c r="M88" i="78"/>
  <c r="W109" i="79"/>
  <c r="K88" i="78"/>
  <c r="T109" i="79"/>
  <c r="Y109" i="79"/>
  <c r="C268" i="66" l="1"/>
  <c r="AR102" i="79"/>
  <c r="Z109" i="79"/>
  <c r="AB109" i="79"/>
  <c r="P88" i="78"/>
  <c r="AC109" i="79"/>
  <c r="Q88" i="78"/>
  <c r="AD109" i="79"/>
  <c r="R88" i="78"/>
  <c r="T88" i="78"/>
  <c r="G120" i="65" s="1"/>
  <c r="S88" i="78"/>
  <c r="AE109" i="79"/>
  <c r="C269" i="66" l="1"/>
  <c r="AF109" i="79"/>
  <c r="AT102" i="79"/>
  <c r="AF164" i="78"/>
  <c r="Z164" i="78"/>
  <c r="AL164" i="78"/>
  <c r="AI109" i="79"/>
  <c r="W88" i="78"/>
  <c r="AH109" i="79"/>
  <c r="V88" i="78"/>
  <c r="F112" i="79"/>
  <c r="E112" i="79"/>
  <c r="D112" i="79"/>
  <c r="C28" i="6" l="1"/>
  <c r="C270" i="66"/>
  <c r="AV102" i="79"/>
  <c r="H112" i="79"/>
  <c r="G112" i="79"/>
  <c r="L112" i="79"/>
  <c r="K112" i="79"/>
  <c r="J112" i="79"/>
  <c r="C271" i="66" l="1"/>
  <c r="N112" i="79"/>
  <c r="AJ176" i="79"/>
  <c r="AL134" i="79"/>
  <c r="AJ168" i="79"/>
  <c r="M112" i="79"/>
  <c r="R112" i="79"/>
  <c r="Q112" i="79"/>
  <c r="P112" i="79"/>
  <c r="C272" i="66" l="1"/>
  <c r="T112" i="79"/>
  <c r="S112" i="79"/>
  <c r="X112" i="79"/>
  <c r="W112" i="79"/>
  <c r="V112" i="79"/>
  <c r="C273" i="66" l="1"/>
  <c r="Z112" i="79"/>
  <c r="Y112" i="79"/>
  <c r="AD112" i="79"/>
  <c r="AC112" i="79"/>
  <c r="AB112" i="79"/>
  <c r="C274" i="66" l="1"/>
  <c r="AF112" i="79"/>
  <c r="AE112" i="79"/>
  <c r="AI112" i="79"/>
  <c r="AH112" i="79"/>
  <c r="C275" i="66" l="1"/>
  <c r="AL166" i="78"/>
  <c r="AF166" i="78"/>
  <c r="Z166"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G116" i="79"/>
  <c r="H116" i="79"/>
  <c r="L116" i="79"/>
  <c r="K116" i="79"/>
  <c r="J116" i="79"/>
  <c r="C277" i="66" l="1"/>
  <c r="N116" i="79"/>
  <c r="M116" i="79"/>
  <c r="R116" i="79"/>
  <c r="Q116" i="79"/>
  <c r="P116" i="79"/>
  <c r="C278" i="66" l="1"/>
  <c r="T116" i="79"/>
  <c r="S116" i="79"/>
  <c r="X116" i="79"/>
  <c r="W116" i="79"/>
  <c r="V116" i="79"/>
  <c r="C279" i="66" l="1"/>
  <c r="Z116" i="79"/>
  <c r="Y116" i="79"/>
  <c r="AD116" i="79"/>
  <c r="AC116" i="79"/>
  <c r="AB116" i="79"/>
  <c r="C43" i="6"/>
  <c r="C44" i="6" s="1"/>
  <c r="C280" i="66" l="1"/>
  <c r="AF116" i="79"/>
  <c r="AE116" i="79"/>
  <c r="AI116" i="79"/>
  <c r="AH116" i="79"/>
  <c r="C281" i="66" l="1"/>
  <c r="F31" i="78"/>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F32" i="78" l="1"/>
  <c r="F99" i="78"/>
  <c r="F110" i="78"/>
  <c r="F80" i="78"/>
  <c r="C282" i="66"/>
  <c r="P65" i="78"/>
  <c r="K64" i="78"/>
  <c r="N65" i="78"/>
  <c r="N37" i="78"/>
  <c r="F65" i="65" s="1"/>
  <c r="N64" i="78"/>
  <c r="V17" i="84"/>
  <c r="Q64" i="78"/>
  <c r="Y17" i="84"/>
  <c r="K65" i="78"/>
  <c r="Q65" i="78"/>
  <c r="W64" i="78"/>
  <c r="Q68" i="79"/>
  <c r="W65" i="78"/>
  <c r="X65" i="78" s="1"/>
  <c r="Y65" i="78" s="1"/>
  <c r="T64" i="78"/>
  <c r="N49" i="78"/>
  <c r="N50" i="78" s="1"/>
  <c r="P17" i="84"/>
  <c r="P26" i="84"/>
  <c r="AI26" i="84"/>
  <c r="M17" i="84"/>
  <c r="F97" i="65"/>
  <c r="AE17" i="84"/>
  <c r="G94" i="65"/>
  <c r="F91" i="65"/>
  <c r="S26" i="84"/>
  <c r="N34" i="78"/>
  <c r="F62" i="65" s="1"/>
  <c r="S65" i="78"/>
  <c r="N43" i="78"/>
  <c r="F71" i="65" s="1"/>
  <c r="Z26" i="84"/>
  <c r="W26" i="84"/>
  <c r="F89" i="65"/>
  <c r="D30" i="6"/>
  <c r="AC68" i="79"/>
  <c r="P64" i="78"/>
  <c r="S64" i="78"/>
  <c r="N17" i="84"/>
  <c r="N40" i="78"/>
  <c r="F68" i="65" s="1"/>
  <c r="K68" i="79"/>
  <c r="M65" i="78"/>
  <c r="M64" i="78"/>
  <c r="N46" i="78"/>
  <c r="N61" i="78"/>
  <c r="AB26" i="84"/>
  <c r="S17" i="84"/>
  <c r="D31" i="78"/>
  <c r="G31" i="78"/>
  <c r="AB17" i="84"/>
  <c r="S68" i="79"/>
  <c r="AB68" i="79"/>
  <c r="T104" i="78"/>
  <c r="G129" i="65" s="1"/>
  <c r="K26" i="84"/>
  <c r="K17" i="84"/>
  <c r="P68" i="79"/>
  <c r="Z68" i="79"/>
  <c r="N87" i="79"/>
  <c r="Y68" i="79"/>
  <c r="N31" i="78"/>
  <c r="Z17" i="84"/>
  <c r="Y26" i="84"/>
  <c r="Q26" i="84"/>
  <c r="E31" i="78"/>
  <c r="Q17" i="84"/>
  <c r="W68" i="79"/>
  <c r="W17" i="84"/>
  <c r="H104" i="78"/>
  <c r="E129" i="65" s="1"/>
  <c r="Z86" i="79"/>
  <c r="Z87" i="79"/>
  <c r="Z77" i="79"/>
  <c r="Z74" i="79"/>
  <c r="N74" i="79"/>
  <c r="N77" i="79"/>
  <c r="V26" i="84"/>
  <c r="N83" i="79"/>
  <c r="N124" i="78"/>
  <c r="N86" i="79"/>
  <c r="Z71" i="79"/>
  <c r="F94" i="65"/>
  <c r="Z83" i="79"/>
  <c r="V68" i="79"/>
  <c r="Z18" i="79"/>
  <c r="AC17" i="84"/>
  <c r="AC26" i="84"/>
  <c r="N68" i="79"/>
  <c r="N71" i="79"/>
  <c r="N58" i="78"/>
  <c r="N26" i="84"/>
  <c r="Z80" i="79"/>
  <c r="M68" i="79"/>
  <c r="N80" i="79"/>
  <c r="AE68" i="79"/>
  <c r="M26" i="84"/>
  <c r="AE26" i="84"/>
  <c r="AI68" i="79"/>
  <c r="AI17" i="84"/>
  <c r="G97" i="65"/>
  <c r="E97" i="65"/>
  <c r="T65" i="78"/>
  <c r="H40" i="78"/>
  <c r="E68" i="65" s="1"/>
  <c r="G89" i="65"/>
  <c r="D17" i="84"/>
  <c r="T37" i="78"/>
  <c r="G65" i="65" s="1"/>
  <c r="E89" i="65"/>
  <c r="E94" i="65"/>
  <c r="T34" i="78"/>
  <c r="G62" i="65" s="1"/>
  <c r="D24" i="6"/>
  <c r="D25" i="6" s="1"/>
  <c r="E91" i="65"/>
  <c r="H49" i="78"/>
  <c r="H50" i="78" s="1"/>
  <c r="H37" i="78"/>
  <c r="E65" i="65" s="1"/>
  <c r="T26" i="84"/>
  <c r="H18" i="79"/>
  <c r="T17" i="84"/>
  <c r="D68" i="79"/>
  <c r="D26" i="84"/>
  <c r="H58" i="78"/>
  <c r="T58" i="78"/>
  <c r="T68" i="79"/>
  <c r="AF26" i="84"/>
  <c r="T18" i="79"/>
  <c r="AF18" i="79"/>
  <c r="AF68" i="79"/>
  <c r="H124" i="78"/>
  <c r="T80" i="79"/>
  <c r="AF17" i="84"/>
  <c r="AF80" i="79"/>
  <c r="T124" i="78"/>
  <c r="G91" i="65"/>
  <c r="J26" i="84"/>
  <c r="N18" i="79"/>
  <c r="J17" i="84"/>
  <c r="J68" i="79"/>
  <c r="AH17" i="84"/>
  <c r="AH26" i="84"/>
  <c r="AH68" i="79"/>
  <c r="J65" i="78"/>
  <c r="V65" i="78"/>
  <c r="J64" i="78"/>
  <c r="V64" i="78"/>
  <c r="T61" i="78"/>
  <c r="T40" i="78"/>
  <c r="G68" i="65" s="1"/>
  <c r="K31" i="78"/>
  <c r="J31" i="78"/>
  <c r="L31" i="78"/>
  <c r="T31" i="78"/>
  <c r="T49" i="78"/>
  <c r="T43" i="78"/>
  <c r="G71" i="65" s="1"/>
  <c r="T46" i="78"/>
  <c r="N104" i="78"/>
  <c r="F129" i="65" s="1"/>
  <c r="F71" i="78"/>
  <c r="F107" i="78"/>
  <c r="F77" i="78"/>
  <c r="AF77" i="79"/>
  <c r="H34" i="78"/>
  <c r="H64" i="78"/>
  <c r="AF87" i="79"/>
  <c r="AF86" i="79"/>
  <c r="H43" i="78"/>
  <c r="AF83" i="79"/>
  <c r="H46" i="78"/>
  <c r="H65" i="78"/>
  <c r="H31" i="78"/>
  <c r="T77" i="79"/>
  <c r="H61" i="78"/>
  <c r="T71" i="79"/>
  <c r="T74" i="79"/>
  <c r="AF71" i="79"/>
  <c r="T87" i="79"/>
  <c r="T86" i="79"/>
  <c r="T83" i="79"/>
  <c r="AF74" i="79"/>
  <c r="K99" i="78" l="1"/>
  <c r="K110" i="78"/>
  <c r="K80" i="78"/>
  <c r="F59" i="65"/>
  <c r="N99" i="78"/>
  <c r="N80" i="78"/>
  <c r="F112" i="65" s="1"/>
  <c r="N110" i="78"/>
  <c r="L99" i="78"/>
  <c r="L80" i="78"/>
  <c r="L110" i="78"/>
  <c r="G71" i="78"/>
  <c r="G99" i="78"/>
  <c r="G110" i="78"/>
  <c r="G80" i="78"/>
  <c r="E59" i="65"/>
  <c r="E60" i="65" s="1"/>
  <c r="H99" i="78"/>
  <c r="H80" i="78"/>
  <c r="E112" i="65" s="1"/>
  <c r="H110" i="78"/>
  <c r="G59" i="65"/>
  <c r="T99" i="78"/>
  <c r="T110" i="78"/>
  <c r="T80" i="78"/>
  <c r="G112" i="65" s="1"/>
  <c r="J99" i="78"/>
  <c r="J80" i="78"/>
  <c r="J110" i="78"/>
  <c r="E71" i="78"/>
  <c r="E99" i="78"/>
  <c r="E80" i="78"/>
  <c r="E110" i="78"/>
  <c r="D71" i="78"/>
  <c r="D99" i="78"/>
  <c r="D110" i="78"/>
  <c r="D80" i="78"/>
  <c r="U25" i="84"/>
  <c r="U24" i="84"/>
  <c r="U23" i="84"/>
  <c r="U22" i="84"/>
  <c r="U21" i="84"/>
  <c r="U20" i="84"/>
  <c r="O25" i="84"/>
  <c r="O24" i="84"/>
  <c r="O23" i="84"/>
  <c r="O22" i="84"/>
  <c r="O21" i="84"/>
  <c r="O20" i="84"/>
  <c r="N21" i="78"/>
  <c r="AA16" i="84"/>
  <c r="AA15" i="84"/>
  <c r="AA14" i="84"/>
  <c r="AA13" i="84"/>
  <c r="AA12" i="84"/>
  <c r="O16" i="84"/>
  <c r="O15" i="84"/>
  <c r="O14" i="84"/>
  <c r="O13" i="84"/>
  <c r="O12" i="84"/>
  <c r="T21" i="78"/>
  <c r="AG16" i="84"/>
  <c r="AG15" i="84"/>
  <c r="AG14" i="84"/>
  <c r="AG13" i="84"/>
  <c r="AG12" i="84"/>
  <c r="AG25" i="84"/>
  <c r="AG24" i="84"/>
  <c r="AG23" i="84"/>
  <c r="AG22" i="84"/>
  <c r="AG21" i="84"/>
  <c r="AG20" i="84"/>
  <c r="AA23" i="84"/>
  <c r="AA22" i="84"/>
  <c r="AA21" i="84"/>
  <c r="AA20" i="84"/>
  <c r="AA25" i="84"/>
  <c r="AA24" i="84"/>
  <c r="F66" i="65"/>
  <c r="U15" i="84"/>
  <c r="U14" i="84"/>
  <c r="U13" i="84"/>
  <c r="U12" i="84"/>
  <c r="H21" i="78"/>
  <c r="U16" i="84"/>
  <c r="N86" i="78"/>
  <c r="F118" i="65" s="1"/>
  <c r="T47" i="78"/>
  <c r="E74" i="65"/>
  <c r="E75" i="65" s="1"/>
  <c r="H47" i="78"/>
  <c r="G86" i="65"/>
  <c r="G87" i="65" s="1"/>
  <c r="AU16" i="78"/>
  <c r="F86" i="65"/>
  <c r="F87" i="65" s="1"/>
  <c r="AT16" i="78"/>
  <c r="E86" i="65"/>
  <c r="AS16" i="78"/>
  <c r="F74" i="65"/>
  <c r="F75" i="65" s="1"/>
  <c r="N47" i="78"/>
  <c r="C283" i="66"/>
  <c r="F63" i="65"/>
  <c r="D104" i="78"/>
  <c r="D107" i="78"/>
  <c r="N38" i="78"/>
  <c r="G95" i="65"/>
  <c r="N122" i="78"/>
  <c r="N126" i="78" s="1"/>
  <c r="G104" i="78"/>
  <c r="F95" i="65"/>
  <c r="F77" i="65"/>
  <c r="F78" i="65" s="1"/>
  <c r="D32" i="78"/>
  <c r="D77" i="78"/>
  <c r="G77" i="78"/>
  <c r="N74" i="78"/>
  <c r="F106" i="65" s="1"/>
  <c r="AJ87" i="79"/>
  <c r="N98" i="78"/>
  <c r="N89" i="78"/>
  <c r="F121" i="65" s="1"/>
  <c r="G107" i="78"/>
  <c r="G32" i="78"/>
  <c r="F104" i="78"/>
  <c r="E32" i="78"/>
  <c r="E107" i="78"/>
  <c r="E104" i="78"/>
  <c r="E77" i="78"/>
  <c r="N107" i="78"/>
  <c r="F132" i="65" s="1"/>
  <c r="N77" i="78"/>
  <c r="F109" i="65" s="1"/>
  <c r="F92" i="65"/>
  <c r="N71" i="78"/>
  <c r="F103" i="65" s="1"/>
  <c r="F72" i="65"/>
  <c r="N62" i="78"/>
  <c r="N44" i="78"/>
  <c r="N59" i="78"/>
  <c r="N41" i="78"/>
  <c r="F98" i="65"/>
  <c r="F69" i="65"/>
  <c r="N35" i="78"/>
  <c r="E24" i="6"/>
  <c r="F24" i="6" s="1"/>
  <c r="T86" i="78"/>
  <c r="G118" i="65" s="1"/>
  <c r="T74" i="78"/>
  <c r="G106" i="65" s="1"/>
  <c r="E77" i="65"/>
  <c r="E78" i="65" s="1"/>
  <c r="E95" i="65"/>
  <c r="G66" i="65"/>
  <c r="T38" i="78"/>
  <c r="G60" i="65"/>
  <c r="H60" i="65"/>
  <c r="H86" i="78"/>
  <c r="E118" i="65" s="1"/>
  <c r="E62" i="65"/>
  <c r="G98" i="65"/>
  <c r="G69" i="65"/>
  <c r="G63" i="65"/>
  <c r="G92" i="65"/>
  <c r="H89" i="78"/>
  <c r="E121" i="65" s="1"/>
  <c r="E71" i="65"/>
  <c r="G74" i="65"/>
  <c r="G75" i="65" s="1"/>
  <c r="G72" i="65"/>
  <c r="T50" i="78"/>
  <c r="G77" i="65"/>
  <c r="G78" i="65" s="1"/>
  <c r="Z65" i="78"/>
  <c r="AL87" i="79" s="1"/>
  <c r="AB65" i="78"/>
  <c r="AK87" i="79"/>
  <c r="T59" i="78"/>
  <c r="Q31" i="78"/>
  <c r="S31" i="78"/>
  <c r="P31" i="78"/>
  <c r="R31" i="78"/>
  <c r="X32" i="78"/>
  <c r="T89" i="78"/>
  <c r="G121" i="65" s="1"/>
  <c r="T44" i="78"/>
  <c r="T98" i="78"/>
  <c r="M32" i="78"/>
  <c r="M71" i="78"/>
  <c r="M107" i="78"/>
  <c r="M104" i="78"/>
  <c r="M77" i="78"/>
  <c r="T107" i="78"/>
  <c r="G132" i="65" s="1"/>
  <c r="T71" i="78"/>
  <c r="G103" i="65" s="1"/>
  <c r="T32" i="78"/>
  <c r="AU18" i="78" s="1"/>
  <c r="T77" i="78"/>
  <c r="G109" i="65" s="1"/>
  <c r="J32" i="78"/>
  <c r="J104" i="78"/>
  <c r="J107" i="78"/>
  <c r="J71" i="78"/>
  <c r="J77" i="78"/>
  <c r="K32" i="78"/>
  <c r="K77" i="78"/>
  <c r="K107" i="78"/>
  <c r="K104" i="78"/>
  <c r="K71" i="78"/>
  <c r="L32" i="78"/>
  <c r="L71" i="78"/>
  <c r="L104" i="78"/>
  <c r="L77" i="78"/>
  <c r="L107" i="78"/>
  <c r="T35" i="78"/>
  <c r="T41" i="78"/>
  <c r="T122" i="78"/>
  <c r="T126" i="78" s="1"/>
  <c r="T62" i="78"/>
  <c r="H107" i="78"/>
  <c r="E132" i="65" s="1"/>
  <c r="N32" i="78"/>
  <c r="AT18" i="78" s="1"/>
  <c r="H74" i="78"/>
  <c r="E106" i="65" s="1"/>
  <c r="H38" i="78"/>
  <c r="H98" i="78"/>
  <c r="H71" i="78"/>
  <c r="E103" i="65" s="1"/>
  <c r="H77" i="78"/>
  <c r="E109" i="65" s="1"/>
  <c r="H44" i="78"/>
  <c r="H59" i="78"/>
  <c r="H122" i="78"/>
  <c r="H126" i="78" s="1"/>
  <c r="H62" i="78"/>
  <c r="H32" i="78"/>
  <c r="AS18" i="78" s="1"/>
  <c r="H41" i="78"/>
  <c r="H35" i="78"/>
  <c r="E69" i="65" l="1"/>
  <c r="E87" i="65"/>
  <c r="S99" i="78"/>
  <c r="S80" i="78"/>
  <c r="S110" i="78"/>
  <c r="Q99" i="78"/>
  <c r="Q110" i="78"/>
  <c r="Q80" i="78"/>
  <c r="E92" i="65"/>
  <c r="R99" i="78"/>
  <c r="R80" i="78"/>
  <c r="R110" i="78"/>
  <c r="E72" i="65"/>
  <c r="P99" i="78"/>
  <c r="P110" i="78"/>
  <c r="P80" i="78"/>
  <c r="F60" i="65"/>
  <c r="E98" i="65"/>
  <c r="H136" i="78"/>
  <c r="AS17" i="78" s="1"/>
  <c r="H113" i="78"/>
  <c r="T136" i="78"/>
  <c r="AU17" i="78" s="1"/>
  <c r="T113" i="78"/>
  <c r="N136" i="78"/>
  <c r="AT17" i="78" s="1"/>
  <c r="N113" i="78"/>
  <c r="C284" i="66"/>
  <c r="E35" i="6"/>
  <c r="E14" i="6" s="1"/>
  <c r="G24" i="6"/>
  <c r="F35" i="6"/>
  <c r="F14" i="6" s="1"/>
  <c r="E11" i="65"/>
  <c r="E63" i="65"/>
  <c r="E66" i="65"/>
  <c r="AC65" i="78"/>
  <c r="W31" i="78"/>
  <c r="AC32" i="78"/>
  <c r="V31" i="78"/>
  <c r="AB32" i="78"/>
  <c r="R32" i="78"/>
  <c r="R77" i="78"/>
  <c r="R107" i="78"/>
  <c r="R104" i="78"/>
  <c r="R71" i="78"/>
  <c r="S32" i="78"/>
  <c r="S107" i="78"/>
  <c r="S71" i="78"/>
  <c r="S77" i="78"/>
  <c r="S104" i="78"/>
  <c r="P32" i="78"/>
  <c r="P77" i="78"/>
  <c r="P71" i="78"/>
  <c r="P104" i="78"/>
  <c r="P107" i="78"/>
  <c r="Q32" i="78"/>
  <c r="Q104" i="78"/>
  <c r="Q71" i="78"/>
  <c r="Q107" i="78"/>
  <c r="Q77" i="78"/>
  <c r="V99" i="78" l="1"/>
  <c r="Y31" i="78"/>
  <c r="V110" i="78"/>
  <c r="V80" i="78"/>
  <c r="W99" i="78"/>
  <c r="W32" i="78"/>
  <c r="W80" i="78"/>
  <c r="W110" i="78"/>
  <c r="C285" i="66"/>
  <c r="H24" i="6"/>
  <c r="H35" i="6" s="1"/>
  <c r="G35" i="6"/>
  <c r="X100" i="78"/>
  <c r="AD65" i="78"/>
  <c r="AO87" i="79"/>
  <c r="AN87" i="79"/>
  <c r="V32" i="78"/>
  <c r="V104" i="78"/>
  <c r="V107" i="78"/>
  <c r="V77" i="78"/>
  <c r="V71" i="78"/>
  <c r="W104" i="78"/>
  <c r="W71" i="78"/>
  <c r="W107" i="78"/>
  <c r="W77" i="78"/>
  <c r="Z80" i="78" l="1"/>
  <c r="AE32" i="78"/>
  <c r="Y109" i="78"/>
  <c r="Z109" i="78" s="1"/>
  <c r="Z110" i="78" s="1"/>
  <c r="Y34" i="78"/>
  <c r="Y43" i="78"/>
  <c r="Y70" i="78"/>
  <c r="Z70" i="78" s="1"/>
  <c r="Z71" i="78" s="1"/>
  <c r="Y76" i="78"/>
  <c r="Z76" i="78" s="1"/>
  <c r="Z77" i="78" s="1"/>
  <c r="Y58" i="78"/>
  <c r="Y32" i="78"/>
  <c r="C286" i="66"/>
  <c r="AE65" i="78"/>
  <c r="X101" i="78"/>
  <c r="AW18" i="78"/>
  <c r="Z32" i="78"/>
  <c r="AV18" i="78" s="1"/>
  <c r="D34" i="78"/>
  <c r="D86" i="78" s="1"/>
  <c r="G34" i="78"/>
  <c r="F34" i="78"/>
  <c r="F86" i="78" s="1"/>
  <c r="E34" i="78"/>
  <c r="E86" i="78" s="1"/>
  <c r="T21" i="79"/>
  <c r="N21" i="79"/>
  <c r="Y37" i="78" l="1"/>
  <c r="Y40" i="78" s="1"/>
  <c r="Y73" i="78"/>
  <c r="Z73" i="78" s="1"/>
  <c r="AL98" i="79" s="1"/>
  <c r="Y134" i="78"/>
  <c r="Z106" i="78"/>
  <c r="Y88" i="78"/>
  <c r="Z88" i="78" s="1"/>
  <c r="Y97" i="78"/>
  <c r="G86" i="78"/>
  <c r="G35" i="78"/>
  <c r="C287" i="66"/>
  <c r="AL68" i="79"/>
  <c r="AL18" i="79"/>
  <c r="F74" i="78"/>
  <c r="AP87" i="79"/>
  <c r="AF65" i="78"/>
  <c r="AQ87" i="79"/>
  <c r="E35" i="78"/>
  <c r="G74" i="78"/>
  <c r="E74" i="78"/>
  <c r="F35" i="78"/>
  <c r="X64" i="78"/>
  <c r="W34" i="78"/>
  <c r="Q34" i="78"/>
  <c r="W37" i="78"/>
  <c r="L34" i="78"/>
  <c r="K37" i="78"/>
  <c r="M34" i="78"/>
  <c r="J34" i="78"/>
  <c r="R37" i="78"/>
  <c r="J37" i="78"/>
  <c r="R34" i="78"/>
  <c r="K34" i="78"/>
  <c r="V37" i="78"/>
  <c r="P37" i="78"/>
  <c r="S34" i="78"/>
  <c r="L37" i="78"/>
  <c r="P34" i="78"/>
  <c r="M37" i="78"/>
  <c r="V34" i="78"/>
  <c r="Z34" i="78" s="1"/>
  <c r="Z35" i="78" s="1"/>
  <c r="S37" i="78"/>
  <c r="Q37" i="78"/>
  <c r="D74" i="78"/>
  <c r="D35" i="78"/>
  <c r="E37" i="78"/>
  <c r="E38" i="78" s="1"/>
  <c r="G40" i="78"/>
  <c r="G41" i="78" s="1"/>
  <c r="D37" i="78"/>
  <c r="D38" i="78" s="1"/>
  <c r="F40" i="78"/>
  <c r="F41" i="78" s="1"/>
  <c r="F37" i="78"/>
  <c r="F38" i="78" s="1"/>
  <c r="D40" i="78"/>
  <c r="D41" i="78" s="1"/>
  <c r="E40" i="78"/>
  <c r="E41" i="78" s="1"/>
  <c r="G37" i="78"/>
  <c r="G38" i="78" s="1"/>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Y46" i="78" l="1"/>
  <c r="Y82" i="78" s="1"/>
  <c r="Y41" i="78"/>
  <c r="Y130" i="78"/>
  <c r="Z97" i="78"/>
  <c r="Z130" i="78" s="1"/>
  <c r="Z107" i="78"/>
  <c r="Z134" i="78"/>
  <c r="C288" i="66"/>
  <c r="N16" i="6"/>
  <c r="N15" i="6"/>
  <c r="N14" i="6"/>
  <c r="N13" i="6"/>
  <c r="N12" i="6"/>
  <c r="N18" i="6" s="1"/>
  <c r="AJ86" i="79"/>
  <c r="Y100" i="78"/>
  <c r="J38" i="78"/>
  <c r="L38" i="78"/>
  <c r="AH65" i="78"/>
  <c r="AR60" i="79"/>
  <c r="W38" i="78"/>
  <c r="M38" i="78"/>
  <c r="Q38" i="78"/>
  <c r="S38" i="78"/>
  <c r="V40" i="78"/>
  <c r="W40" i="78"/>
  <c r="W41" i="78" s="1"/>
  <c r="Q40" i="78"/>
  <c r="Q41" i="78" s="1"/>
  <c r="P40" i="78"/>
  <c r="P41" i="78" s="1"/>
  <c r="K40" i="78"/>
  <c r="K41" i="78" s="1"/>
  <c r="M40" i="78"/>
  <c r="M41" i="78" s="1"/>
  <c r="S40" i="78"/>
  <c r="S41" i="78" s="1"/>
  <c r="J40" i="78"/>
  <c r="J41" i="78" s="1"/>
  <c r="R40" i="78"/>
  <c r="R41" i="78" s="1"/>
  <c r="L40" i="78"/>
  <c r="L41" i="78" s="1"/>
  <c r="V86" i="78"/>
  <c r="V74" i="78"/>
  <c r="V35" i="78"/>
  <c r="P86" i="78"/>
  <c r="P35" i="78"/>
  <c r="P74" i="78"/>
  <c r="P38" i="78"/>
  <c r="V38" i="78"/>
  <c r="Z37" i="78"/>
  <c r="Z38" i="78" s="1"/>
  <c r="R35" i="78"/>
  <c r="R74" i="78"/>
  <c r="R86" i="78"/>
  <c r="R38" i="78"/>
  <c r="J86" i="78"/>
  <c r="J74" i="78"/>
  <c r="J35" i="78"/>
  <c r="M74" i="78"/>
  <c r="M86" i="78"/>
  <c r="M35" i="78"/>
  <c r="K38" i="78"/>
  <c r="L74" i="78"/>
  <c r="L86" i="78"/>
  <c r="L35" i="78"/>
  <c r="K86" i="78"/>
  <c r="K35" i="78"/>
  <c r="K74" i="78"/>
  <c r="Q86" i="78"/>
  <c r="Q35" i="78"/>
  <c r="Q74" i="78"/>
  <c r="S74" i="78"/>
  <c r="S86" i="78"/>
  <c r="S35" i="78"/>
  <c r="W35" i="78"/>
  <c r="W86" i="78"/>
  <c r="W74" i="78"/>
  <c r="D43" i="78"/>
  <c r="D44" i="78" s="1"/>
  <c r="E43" i="78"/>
  <c r="E44" i="78" s="1"/>
  <c r="F43" i="78"/>
  <c r="F44" i="78" s="1"/>
  <c r="G43" i="78"/>
  <c r="G44" i="78" s="1"/>
  <c r="H27" i="79"/>
  <c r="AI71" i="79"/>
  <c r="AH71" i="79"/>
  <c r="AE71" i="79"/>
  <c r="AD71" i="79"/>
  <c r="AC71" i="79"/>
  <c r="AF24" i="79"/>
  <c r="AB71" i="79"/>
  <c r="Y71" i="79"/>
  <c r="X71" i="79"/>
  <c r="W71" i="79"/>
  <c r="Z24" i="79"/>
  <c r="V71" i="79"/>
  <c r="N27" i="79"/>
  <c r="T27" i="79"/>
  <c r="AK102" i="79" l="1"/>
  <c r="AB55" i="78"/>
  <c r="AB82" i="78" s="1"/>
  <c r="AC55" i="78" s="1"/>
  <c r="AC82" i="78" s="1"/>
  <c r="Z82" i="78"/>
  <c r="Z56" i="78" s="1"/>
  <c r="C289" i="66"/>
  <c r="D18" i="6"/>
  <c r="AJ65" i="78"/>
  <c r="AL21" i="79"/>
  <c r="AR87" i="79"/>
  <c r="E98" i="78"/>
  <c r="E89" i="78"/>
  <c r="F98" i="78"/>
  <c r="F89" i="78"/>
  <c r="D98" i="78"/>
  <c r="D89" i="78"/>
  <c r="G98" i="78"/>
  <c r="G89" i="78"/>
  <c r="Y101" i="78"/>
  <c r="Z100" i="78"/>
  <c r="J49" i="78"/>
  <c r="J50" i="78" s="1"/>
  <c r="Q43" i="78"/>
  <c r="K49" i="78"/>
  <c r="K50" i="78" s="1"/>
  <c r="K43" i="78"/>
  <c r="J43" i="78"/>
  <c r="M43" i="78"/>
  <c r="V49" i="78"/>
  <c r="W49" i="78"/>
  <c r="W50" i="78" s="1"/>
  <c r="Q49" i="78"/>
  <c r="Q50" i="78" s="1"/>
  <c r="S49" i="78"/>
  <c r="S50" i="78" s="1"/>
  <c r="M49" i="78"/>
  <c r="M50" i="78" s="1"/>
  <c r="P49" i="78"/>
  <c r="P50" i="78" s="1"/>
  <c r="L43" i="78"/>
  <c r="W43" i="78"/>
  <c r="R49" i="78"/>
  <c r="R50" i="78" s="1"/>
  <c r="V43" i="78"/>
  <c r="S43" i="78"/>
  <c r="R43" i="78"/>
  <c r="L49" i="78"/>
  <c r="L50" i="78" s="1"/>
  <c r="P43" i="78"/>
  <c r="Z74" i="78"/>
  <c r="V41" i="78"/>
  <c r="Z40" i="78"/>
  <c r="E46" i="78"/>
  <c r="E47" i="78" s="1"/>
  <c r="G49" i="78"/>
  <c r="G50" i="78" s="1"/>
  <c r="F49" i="78"/>
  <c r="F50" i="78" s="1"/>
  <c r="D49" i="78"/>
  <c r="D50" i="78" s="1"/>
  <c r="G46" i="78"/>
  <c r="G47" i="78" s="1"/>
  <c r="E49" i="78"/>
  <c r="E50" i="78" s="1"/>
  <c r="F46" i="78"/>
  <c r="F47" i="78" s="1"/>
  <c r="D46" i="78"/>
  <c r="D47" i="78" s="1"/>
  <c r="T29" i="79"/>
  <c r="N29" i="79"/>
  <c r="H29" i="79"/>
  <c r="T28" i="79"/>
  <c r="N28" i="79"/>
  <c r="AF28" i="79"/>
  <c r="Z28" i="79"/>
  <c r="AF27" i="79"/>
  <c r="Z27" i="79"/>
  <c r="H28" i="79"/>
  <c r="AD55" i="78" l="1"/>
  <c r="AD82" i="78" s="1"/>
  <c r="C290" i="66"/>
  <c r="Z41" i="78"/>
  <c r="AL23" i="79"/>
  <c r="AT87" i="79"/>
  <c r="AL65" i="78"/>
  <c r="AX87" i="79" s="1"/>
  <c r="AV87" i="79"/>
  <c r="Z101" i="78"/>
  <c r="Y64" i="78"/>
  <c r="W46" i="78"/>
  <c r="W47" i="78" s="1"/>
  <c r="R46" i="78"/>
  <c r="R47" i="78" s="1"/>
  <c r="M46" i="78"/>
  <c r="M47" i="78" s="1"/>
  <c r="Q46" i="78"/>
  <c r="Q47" i="78" s="1"/>
  <c r="L46" i="78"/>
  <c r="L47" i="78" s="1"/>
  <c r="P46" i="78"/>
  <c r="P47" i="78" s="1"/>
  <c r="S46" i="78"/>
  <c r="S47" i="78" s="1"/>
  <c r="V46" i="78"/>
  <c r="V47" i="78" s="1"/>
  <c r="J46" i="78"/>
  <c r="J47" i="78" s="1"/>
  <c r="K46" i="78"/>
  <c r="K47" i="78" s="1"/>
  <c r="S98" i="78"/>
  <c r="S44" i="78"/>
  <c r="S89" i="78"/>
  <c r="V44" i="78"/>
  <c r="V89" i="78"/>
  <c r="V98" i="78"/>
  <c r="Z43" i="78"/>
  <c r="Z44" i="78" s="1"/>
  <c r="W89" i="78"/>
  <c r="W44" i="78"/>
  <c r="W98" i="78"/>
  <c r="M89" i="78"/>
  <c r="M44" i="78"/>
  <c r="M98" i="78"/>
  <c r="J44" i="78"/>
  <c r="J89" i="78"/>
  <c r="J98" i="78"/>
  <c r="K98" i="78"/>
  <c r="K44" i="78"/>
  <c r="K89" i="78"/>
  <c r="L89" i="78"/>
  <c r="L44" i="78"/>
  <c r="L98" i="78"/>
  <c r="V50" i="78"/>
  <c r="Q44" i="78"/>
  <c r="Q98" i="78"/>
  <c r="Q89" i="78"/>
  <c r="P89" i="78"/>
  <c r="P98" i="78"/>
  <c r="P44" i="78"/>
  <c r="R89" i="78"/>
  <c r="R44" i="78"/>
  <c r="R98" i="78"/>
  <c r="H31" i="79"/>
  <c r="AF29" i="79"/>
  <c r="Z29" i="79"/>
  <c r="AE55" i="78" l="1"/>
  <c r="AE82" i="78" s="1"/>
  <c r="AF82" i="78" s="1"/>
  <c r="AH55" i="78" s="1"/>
  <c r="AH82" i="78" s="1"/>
  <c r="AJ55" i="78" s="1"/>
  <c r="AJ82" i="78" s="1"/>
  <c r="AL55" i="78" s="1"/>
  <c r="AL82" i="78" s="1"/>
  <c r="C291" i="66"/>
  <c r="AK86" i="79"/>
  <c r="AB100" i="78"/>
  <c r="Z98" i="78"/>
  <c r="AL27" i="79"/>
  <c r="AL24" i="79"/>
  <c r="AL71" i="79"/>
  <c r="Z64" i="78"/>
  <c r="AL86" i="79" s="1"/>
  <c r="Z46" i="78"/>
  <c r="Z89" i="78"/>
  <c r="H30" i="79"/>
  <c r="N31" i="79"/>
  <c r="N30" i="79"/>
  <c r="AF55" i="78" l="1"/>
  <c r="AF56" i="78" s="1"/>
  <c r="C292" i="66"/>
  <c r="Z47" i="78"/>
  <c r="AL29" i="79"/>
  <c r="AB101" i="78"/>
  <c r="T31" i="79"/>
  <c r="C293" i="66" l="1"/>
  <c r="AB64" i="78"/>
  <c r="T30" i="79"/>
  <c r="Z31" i="79"/>
  <c r="C294" i="66" l="1"/>
  <c r="AN86" i="79"/>
  <c r="AC100" i="78"/>
  <c r="Z30" i="79"/>
  <c r="AF31" i="79"/>
  <c r="C295" i="66" l="1"/>
  <c r="AC101" i="78"/>
  <c r="AF30" i="79"/>
  <c r="C296" i="66" l="1"/>
  <c r="AC64" i="78"/>
  <c r="M61" i="78"/>
  <c r="L61" i="78"/>
  <c r="Q61" i="78"/>
  <c r="P58" i="78"/>
  <c r="P59" i="78" s="1"/>
  <c r="Q58" i="78"/>
  <c r="Q59" i="78" s="1"/>
  <c r="V61" i="78"/>
  <c r="V122" i="78" s="1"/>
  <c r="R61" i="78"/>
  <c r="R58" i="78"/>
  <c r="R59" i="78" s="1"/>
  <c r="S58" i="78"/>
  <c r="S59" i="78" s="1"/>
  <c r="M58" i="78"/>
  <c r="M59" i="78" s="1"/>
  <c r="P61" i="78"/>
  <c r="J61" i="78"/>
  <c r="L58" i="78"/>
  <c r="L59" i="78" s="1"/>
  <c r="W61" i="78"/>
  <c r="W122" i="78" s="1"/>
  <c r="J58" i="78"/>
  <c r="J59" i="78" s="1"/>
  <c r="K61" i="78"/>
  <c r="S61" i="78"/>
  <c r="K58" i="78"/>
  <c r="K59" i="78" s="1"/>
  <c r="W58" i="78"/>
  <c r="W59" i="78" s="1"/>
  <c r="V58" i="78"/>
  <c r="D58" i="78"/>
  <c r="D59" i="78" s="1"/>
  <c r="F61" i="78"/>
  <c r="F122" i="78" s="1"/>
  <c r="G58" i="78"/>
  <c r="G59" i="78" s="1"/>
  <c r="E61" i="78"/>
  <c r="E122" i="78" s="1"/>
  <c r="F58" i="78"/>
  <c r="F59" i="78" s="1"/>
  <c r="E58" i="78"/>
  <c r="E59" i="78" s="1"/>
  <c r="D61" i="78"/>
  <c r="D122" i="78" s="1"/>
  <c r="G61" i="78"/>
  <c r="G62"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C297" i="66" l="1"/>
  <c r="F62" i="78"/>
  <c r="AO86" i="79"/>
  <c r="E62" i="78"/>
  <c r="AD100" i="78"/>
  <c r="W62" i="78"/>
  <c r="P122" i="78"/>
  <c r="P62" i="78"/>
  <c r="R122" i="78"/>
  <c r="R62" i="78"/>
  <c r="V62" i="78"/>
  <c r="K122" i="78"/>
  <c r="K62" i="78"/>
  <c r="J122" i="78"/>
  <c r="J62" i="78"/>
  <c r="Q122" i="78"/>
  <c r="Q62" i="78"/>
  <c r="L122" i="78"/>
  <c r="L62" i="78"/>
  <c r="S122" i="78"/>
  <c r="S62" i="78"/>
  <c r="V59" i="78"/>
  <c r="Z58" i="78"/>
  <c r="M122" i="78"/>
  <c r="M62" i="78"/>
  <c r="G122" i="78"/>
  <c r="D62" i="78"/>
  <c r="H40" i="79"/>
  <c r="N41" i="79"/>
  <c r="N40" i="79"/>
  <c r="C298" i="66" l="1"/>
  <c r="Z59" i="78"/>
  <c r="AL30" i="79"/>
  <c r="AD101" i="78"/>
  <c r="T41" i="79"/>
  <c r="T40" i="79"/>
  <c r="C299" i="66" l="1"/>
  <c r="AD64" i="78"/>
  <c r="Z41" i="79"/>
  <c r="C300" i="66" l="1"/>
  <c r="AP86" i="79"/>
  <c r="AE100" i="78"/>
  <c r="Z40" i="79"/>
  <c r="AF41" i="79"/>
  <c r="C301" i="66" l="1"/>
  <c r="AE101" i="78"/>
  <c r="AF100" i="78"/>
  <c r="AF40" i="79"/>
  <c r="AL41" i="79"/>
  <c r="AL40" i="79"/>
  <c r="C302" i="66" l="1"/>
  <c r="AE64" i="78"/>
  <c r="AH100" i="78" s="1"/>
  <c r="AF101" i="78"/>
  <c r="J124" i="78"/>
  <c r="J126" i="78" s="1"/>
  <c r="P124" i="78"/>
  <c r="P126" i="78" s="1"/>
  <c r="R124" i="78"/>
  <c r="R126" i="78" s="1"/>
  <c r="L124" i="78"/>
  <c r="L126" i="78" s="1"/>
  <c r="M124" i="78"/>
  <c r="M126" i="78" s="1"/>
  <c r="W124" i="78"/>
  <c r="W126" i="78" s="1"/>
  <c r="Q124" i="78"/>
  <c r="Q126" i="78" s="1"/>
  <c r="S124" i="78"/>
  <c r="S126" i="78" s="1"/>
  <c r="K124" i="78"/>
  <c r="K126" i="78" s="1"/>
  <c r="E124" i="78"/>
  <c r="E126" i="78" s="1"/>
  <c r="F124" i="78"/>
  <c r="F126" i="78" s="1"/>
  <c r="G124" i="78"/>
  <c r="G126" i="78" s="1"/>
  <c r="D124" i="78"/>
  <c r="D126"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G136" i="78" l="1"/>
  <c r="G113" i="78"/>
  <c r="E136" i="78"/>
  <c r="E113" i="78"/>
  <c r="R136" i="78"/>
  <c r="R113" i="78"/>
  <c r="D136" i="78"/>
  <c r="D113" i="78"/>
  <c r="K136" i="78"/>
  <c r="K113" i="78"/>
  <c r="L136" i="78"/>
  <c r="L113" i="78"/>
  <c r="S136" i="78"/>
  <c r="S113" i="78"/>
  <c r="Q136" i="78"/>
  <c r="Q113" i="78"/>
  <c r="M136" i="78"/>
  <c r="M113" i="78"/>
  <c r="J136" i="78"/>
  <c r="J113" i="78"/>
  <c r="F136" i="78"/>
  <c r="F113" i="78"/>
  <c r="W136" i="78"/>
  <c r="W113" i="78"/>
  <c r="P136" i="78"/>
  <c r="P113" i="78"/>
  <c r="C303" i="66"/>
  <c r="AQ86" i="79"/>
  <c r="V126" i="78"/>
  <c r="AH101" i="78"/>
  <c r="AH64" i="78" s="1"/>
  <c r="AF64" i="78"/>
  <c r="H46" i="79"/>
  <c r="N47" i="79"/>
  <c r="D80" i="79"/>
  <c r="M80" i="79"/>
  <c r="L80" i="79"/>
  <c r="K80" i="79"/>
  <c r="V136" i="78" l="1"/>
  <c r="V113" i="78"/>
  <c r="C304" i="66"/>
  <c r="AJ100" i="78"/>
  <c r="AJ101" i="78" s="1"/>
  <c r="AJ64" i="78" s="1"/>
  <c r="AR86" i="79"/>
  <c r="AR59" i="79"/>
  <c r="T47" i="79"/>
  <c r="N46" i="79"/>
  <c r="J80" i="79"/>
  <c r="S80" i="79"/>
  <c r="R80" i="79"/>
  <c r="Q80" i="79"/>
  <c r="C305" i="66" l="1"/>
  <c r="AT86" i="79"/>
  <c r="AL100" i="78"/>
  <c r="AL101" i="78" s="1"/>
  <c r="AL64" i="78" s="1"/>
  <c r="AX86" i="79" s="1"/>
  <c r="Z47" i="79"/>
  <c r="T46" i="79"/>
  <c r="P80" i="79"/>
  <c r="Y80" i="79"/>
  <c r="X80" i="79"/>
  <c r="W80" i="79"/>
  <c r="C306" i="66" l="1"/>
  <c r="AL168" i="78"/>
  <c r="Z168" i="78"/>
  <c r="AF168" i="78"/>
  <c r="AV86" i="79"/>
  <c r="AF47" i="79"/>
  <c r="Z46" i="79"/>
  <c r="V80" i="79"/>
  <c r="AE80" i="79"/>
  <c r="AD80" i="79"/>
  <c r="AC80" i="79"/>
  <c r="C307" i="66" l="1"/>
  <c r="AL47" i="79"/>
  <c r="AF46" i="79"/>
  <c r="AB80" i="79"/>
  <c r="AI80" i="79"/>
  <c r="C308" i="66" l="1"/>
  <c r="Z50" i="79"/>
  <c r="AL50" i="79"/>
  <c r="N50" i="79"/>
  <c r="H50" i="79"/>
  <c r="T50" i="79"/>
  <c r="AF50" i="79"/>
  <c r="AL46" i="79"/>
  <c r="AH80" i="79"/>
  <c r="C309" i="66" l="1"/>
  <c r="G65" i="78"/>
  <c r="E64" i="78"/>
  <c r="D64" i="78"/>
  <c r="F65" i="78"/>
  <c r="G64" i="78"/>
  <c r="D65" i="78"/>
  <c r="E65" i="78"/>
  <c r="F6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D19" i="6"/>
  <c r="L173" i="65"/>
  <c r="E100" i="65"/>
  <c r="E123" i="65"/>
  <c r="F57" i="65"/>
  <c r="G57" i="65" s="1"/>
  <c r="F38" i="65"/>
  <c r="G38" i="65" s="1"/>
  <c r="H38" i="65" s="1"/>
  <c r="I38" i="65" s="1"/>
  <c r="J38" i="65" s="1"/>
  <c r="K38" i="65" s="1"/>
  <c r="L38" i="65" s="1"/>
  <c r="C311" i="66" l="1"/>
  <c r="G123" i="65"/>
  <c r="H57" i="65"/>
  <c r="G100" i="65"/>
  <c r="F123" i="65"/>
  <c r="F100" i="65"/>
  <c r="C312" i="66" l="1"/>
  <c r="H123" i="65"/>
  <c r="I57" i="65"/>
  <c r="H134" i="65"/>
  <c r="H142" i="65" s="1"/>
  <c r="H100" i="65"/>
  <c r="C313" i="66" l="1"/>
  <c r="I123" i="65"/>
  <c r="J57" i="65"/>
  <c r="I134" i="65"/>
  <c r="I142" i="65" s="1"/>
  <c r="I100" i="65"/>
  <c r="C314" i="66" l="1"/>
  <c r="J100" i="65"/>
  <c r="J123" i="65"/>
  <c r="K57" i="65"/>
  <c r="J134" i="65"/>
  <c r="J142" i="65" s="1"/>
  <c r="C315" i="66" l="1"/>
  <c r="K100" i="65"/>
  <c r="L57" i="65"/>
  <c r="K123" i="65"/>
  <c r="K134" i="65"/>
  <c r="K142" i="65" s="1"/>
  <c r="C316" i="66" l="1"/>
  <c r="L100" i="65"/>
  <c r="L123" i="65"/>
  <c r="L134" i="65"/>
  <c r="L142" i="65" s="1"/>
  <c r="C317" i="66" l="1"/>
  <c r="C318" i="66" l="1"/>
  <c r="C319" i="66" l="1"/>
  <c r="C320" i="66" l="1"/>
  <c r="C321" i="66" l="1"/>
  <c r="C322" i="66" l="1"/>
  <c r="C323" i="66" l="1"/>
  <c r="C324" i="66" l="1"/>
  <c r="C325" i="66" l="1"/>
  <c r="D59" i="65"/>
  <c r="C326" i="66" l="1"/>
  <c r="C327" i="66" l="1"/>
  <c r="J27" i="65"/>
  <c r="C328" i="66" l="1"/>
  <c r="E29" i="6"/>
  <c r="E13" i="65"/>
  <c r="L13" i="65" s="1"/>
  <c r="C329" i="66" l="1"/>
  <c r="H62" i="65"/>
  <c r="L11" i="65"/>
  <c r="E15" i="65"/>
  <c r="J28" i="65" s="1"/>
  <c r="L12" i="65"/>
  <c r="E17" i="65"/>
  <c r="J30" i="65" s="1"/>
  <c r="K30" i="65" s="1"/>
  <c r="K27" i="65"/>
  <c r="C330" i="66" l="1"/>
  <c r="H65" i="65"/>
  <c r="H68" i="65" s="1"/>
  <c r="H117" i="65"/>
  <c r="H105" i="65"/>
  <c r="H139" i="65"/>
  <c r="C29" i="65"/>
  <c r="G160" i="65"/>
  <c r="H157" i="65" s="1"/>
  <c r="H158" i="65" s="1"/>
  <c r="K28" i="65"/>
  <c r="J34" i="65"/>
  <c r="C27" i="65"/>
  <c r="G148" i="65"/>
  <c r="C28" i="65"/>
  <c r="G154" i="65"/>
  <c r="H151" i="65" s="1"/>
  <c r="H152" i="65" s="1"/>
  <c r="H128" i="65" l="1"/>
  <c r="H138" i="65" s="1"/>
  <c r="C331" i="66"/>
  <c r="H74" i="65"/>
  <c r="H114" i="65" s="1"/>
  <c r="I83" i="65" s="1"/>
  <c r="H69" i="65"/>
  <c r="H111" i="65"/>
  <c r="H125" i="65"/>
  <c r="I62" i="65"/>
  <c r="I139" i="65"/>
  <c r="H145" i="65"/>
  <c r="G166" i="65"/>
  <c r="D27" i="65"/>
  <c r="C30" i="65"/>
  <c r="D29" i="65"/>
  <c r="L30" i="65"/>
  <c r="L34" i="65"/>
  <c r="K34" i="65"/>
  <c r="C34" i="65"/>
  <c r="E27" i="65" s="1"/>
  <c r="L27" i="65"/>
  <c r="D28" i="65"/>
  <c r="L28" i="65"/>
  <c r="H129" i="65" l="1"/>
  <c r="C332" i="66"/>
  <c r="H86" i="65"/>
  <c r="H126" i="65"/>
  <c r="I65" i="65"/>
  <c r="I68" i="65" s="1"/>
  <c r="I69" i="65" s="1"/>
  <c r="I80" i="65"/>
  <c r="I77" i="65" s="1"/>
  <c r="I125" i="65" s="1"/>
  <c r="H78" i="65"/>
  <c r="I117" i="65"/>
  <c r="I105" i="65"/>
  <c r="E28" i="65"/>
  <c r="H137" i="65"/>
  <c r="E29" i="65"/>
  <c r="J62" i="65"/>
  <c r="J139" i="65"/>
  <c r="H163" i="65"/>
  <c r="H146" i="65"/>
  <c r="H164" i="65" s="1"/>
  <c r="H89" i="65" s="1"/>
  <c r="D30" i="65"/>
  <c r="E30" i="65"/>
  <c r="C32" i="65"/>
  <c r="E34" i="65"/>
  <c r="D34" i="65"/>
  <c r="C333" i="66" l="1"/>
  <c r="I74" i="65"/>
  <c r="I111" i="65"/>
  <c r="J80" i="65" s="1"/>
  <c r="J65" i="65"/>
  <c r="J68" i="65" s="1"/>
  <c r="J74" i="65" s="1"/>
  <c r="I128" i="65"/>
  <c r="J117" i="65"/>
  <c r="J105" i="65"/>
  <c r="I86" i="65"/>
  <c r="I114" i="65"/>
  <c r="H91" i="65"/>
  <c r="L139" i="65"/>
  <c r="L62" i="65"/>
  <c r="K62" i="65"/>
  <c r="K139" i="65"/>
  <c r="L178" i="65"/>
  <c r="D32" i="65"/>
  <c r="E32" i="65"/>
  <c r="J128" i="65" l="1"/>
  <c r="J129" i="65" s="1"/>
  <c r="C334" i="66"/>
  <c r="J69" i="65"/>
  <c r="I126" i="65"/>
  <c r="J111" i="65"/>
  <c r="K80" i="65" s="1"/>
  <c r="K65" i="65"/>
  <c r="K68" i="65" s="1"/>
  <c r="K69" i="65" s="1"/>
  <c r="L65" i="65"/>
  <c r="L68" i="65"/>
  <c r="L69" i="65" s="1"/>
  <c r="I129" i="65"/>
  <c r="I138" i="65"/>
  <c r="L117" i="65"/>
  <c r="L105" i="65"/>
  <c r="K117" i="65"/>
  <c r="K105" i="65"/>
  <c r="J83" i="65"/>
  <c r="J77" i="65" s="1"/>
  <c r="J125" i="65" s="1"/>
  <c r="I78" i="65"/>
  <c r="H94" i="65"/>
  <c r="H97" i="65" s="1"/>
  <c r="H92" i="65"/>
  <c r="I137" i="65"/>
  <c r="J138" i="65"/>
  <c r="C335" i="66" l="1"/>
  <c r="L74" i="65"/>
  <c r="K74" i="65"/>
  <c r="K111" i="65"/>
  <c r="L80" i="65" s="1"/>
  <c r="L111" i="65" s="1"/>
  <c r="J114" i="65"/>
  <c r="K83" i="65" s="1"/>
  <c r="K77" i="65" s="1"/>
  <c r="K125" i="65" s="1"/>
  <c r="H98" i="65"/>
  <c r="H136" i="65"/>
  <c r="H140" i="65" s="1"/>
  <c r="L128" i="65"/>
  <c r="L129" i="65" s="1"/>
  <c r="K128" i="65"/>
  <c r="K129" i="65" s="1"/>
  <c r="J86" i="65"/>
  <c r="J137" i="65"/>
  <c r="K138" i="65" l="1"/>
  <c r="C336" i="66"/>
  <c r="L138" i="65"/>
  <c r="J126" i="65"/>
  <c r="J78" i="65"/>
  <c r="K114" i="65"/>
  <c r="K126" i="65" s="1"/>
  <c r="K86" i="65"/>
  <c r="K137" i="65"/>
  <c r="H147" i="65"/>
  <c r="C337" i="66" l="1"/>
  <c r="L83" i="65"/>
  <c r="L77" i="65" s="1"/>
  <c r="L125" i="65" s="1"/>
  <c r="K78" i="65"/>
  <c r="H153" i="65"/>
  <c r="H148" i="65"/>
  <c r="C338" i="66" l="1"/>
  <c r="L114" i="65"/>
  <c r="L78" i="65" s="1"/>
  <c r="L86" i="65"/>
  <c r="L172" i="65" s="1"/>
  <c r="L174" i="65" s="1"/>
  <c r="L137" i="65"/>
  <c r="I145" i="65"/>
  <c r="H154" i="65"/>
  <c r="I151" i="65" s="1"/>
  <c r="I152" i="65" s="1"/>
  <c r="H159" i="65"/>
  <c r="C339" i="66" l="1"/>
  <c r="L126" i="65"/>
  <c r="H160" i="65"/>
  <c r="I157" i="65" s="1"/>
  <c r="I158" i="65" s="1"/>
  <c r="H165" i="65"/>
  <c r="I146" i="65"/>
  <c r="C340" i="66" l="1"/>
  <c r="I164" i="65"/>
  <c r="I89" i="65" s="1"/>
  <c r="H166" i="65"/>
  <c r="I163" i="65"/>
  <c r="C341" i="66" l="1"/>
  <c r="I91" i="65"/>
  <c r="C342" i="66" l="1"/>
  <c r="I94" i="65"/>
  <c r="I97" i="65" s="1"/>
  <c r="I92" i="65"/>
  <c r="C343" i="66" l="1"/>
  <c r="I98" i="65"/>
  <c r="I136" i="65"/>
  <c r="I140" i="65" s="1"/>
  <c r="I147" i="65" s="1"/>
  <c r="I153" i="65" s="1"/>
  <c r="I154" i="65" s="1"/>
  <c r="J151" i="65" s="1"/>
  <c r="J152" i="65" s="1"/>
  <c r="C344" i="66" l="1"/>
  <c r="I159" i="65"/>
  <c r="I160" i="65" s="1"/>
  <c r="J157" i="65" s="1"/>
  <c r="J158" i="65" s="1"/>
  <c r="I148" i="65"/>
  <c r="C345" i="66" l="1"/>
  <c r="I165" i="65"/>
  <c r="J145" i="65"/>
  <c r="I166" i="65"/>
  <c r="C346" i="66" l="1"/>
  <c r="J163" i="65"/>
  <c r="J146" i="65"/>
  <c r="J164" i="65" s="1"/>
  <c r="J89" i="65" s="1"/>
  <c r="C347" i="66" l="1"/>
  <c r="J91" i="65"/>
  <c r="C348" i="66" l="1"/>
  <c r="J94" i="65"/>
  <c r="J97" i="65" s="1"/>
  <c r="J92" i="65"/>
  <c r="C349" i="66" l="1"/>
  <c r="J98" i="65"/>
  <c r="J136" i="65"/>
  <c r="J140" i="65" s="1"/>
  <c r="C350" i="66" l="1"/>
  <c r="J147" i="65"/>
  <c r="C351" i="66" l="1"/>
  <c r="J153" i="65"/>
  <c r="J148" i="65"/>
  <c r="C352" i="66" l="1"/>
  <c r="K145" i="65"/>
  <c r="J154" i="65"/>
  <c r="K151" i="65" s="1"/>
  <c r="K152" i="65" s="1"/>
  <c r="J159" i="65"/>
  <c r="C353" i="66" l="1"/>
  <c r="J160" i="65"/>
  <c r="K157" i="65" s="1"/>
  <c r="K158" i="65" s="1"/>
  <c r="J165" i="65"/>
  <c r="K146" i="65"/>
  <c r="C354" i="66" l="1"/>
  <c r="K164" i="65"/>
  <c r="K89" i="65" s="1"/>
  <c r="K163" i="65"/>
  <c r="J166" i="65"/>
  <c r="C355" i="66" l="1"/>
  <c r="K91" i="65"/>
  <c r="C356" i="66" l="1"/>
  <c r="K94" i="65"/>
  <c r="K97" i="65" s="1"/>
  <c r="K92" i="65"/>
  <c r="C357" i="66" l="1"/>
  <c r="K98" i="65"/>
  <c r="K136" i="65"/>
  <c r="K140" i="65" s="1"/>
  <c r="C358" i="66" l="1"/>
  <c r="K147" i="65"/>
  <c r="K153" i="65" s="1"/>
  <c r="K154" i="65" s="1"/>
  <c r="L151" i="65" s="1"/>
  <c r="L152" i="65" s="1"/>
  <c r="C359" i="66" l="1"/>
  <c r="K148" i="65"/>
  <c r="L145" i="65" s="1"/>
  <c r="L146" i="65" s="1"/>
  <c r="K159" i="65"/>
  <c r="C360" i="66" l="1"/>
  <c r="K165" i="65"/>
  <c r="K160" i="65"/>
  <c r="C361" i="66" l="1"/>
  <c r="L157" i="65"/>
  <c r="K166" i="65"/>
  <c r="C362" i="66" l="1"/>
  <c r="L163" i="65"/>
  <c r="L158" i="65"/>
  <c r="L164" i="65" s="1"/>
  <c r="C363" i="66" l="1"/>
  <c r="L89" i="65"/>
  <c r="L91" i="65" s="1"/>
  <c r="C364" i="66" l="1"/>
  <c r="L94" i="65"/>
  <c r="L97" i="65" s="1"/>
  <c r="L98" i="65" s="1"/>
  <c r="L92" i="65"/>
  <c r="C365" i="66" l="1"/>
  <c r="L136" i="65"/>
  <c r="L140" i="65" s="1"/>
  <c r="L147" i="65" s="1"/>
  <c r="C366" i="66" l="1"/>
  <c r="L153" i="65"/>
  <c r="L148" i="65"/>
  <c r="C367" i="66" l="1"/>
  <c r="L154" i="65"/>
  <c r="L159" i="65"/>
  <c r="F29" i="6"/>
  <c r="G14" i="6"/>
  <c r="C368" i="66" l="1"/>
  <c r="L160" i="65"/>
  <c r="L166" i="65" s="1"/>
  <c r="L175" i="65" s="1"/>
  <c r="L176" i="65" s="1"/>
  <c r="L180" i="65" s="1"/>
  <c r="L165" i="65"/>
  <c r="G29" i="6"/>
  <c r="H29" i="6"/>
  <c r="H14" i="6"/>
  <c r="C369" i="66" l="1"/>
  <c r="L16" i="65"/>
  <c r="L181" i="65"/>
  <c r="L17" i="65" s="1"/>
  <c r="C370" i="66" l="1"/>
  <c r="C371" i="66" l="1"/>
  <c r="C372" i="66" l="1"/>
  <c r="C373" i="66" l="1"/>
  <c r="C374" i="66" l="1"/>
  <c r="C375" i="66" l="1"/>
  <c r="C376" i="66" l="1"/>
  <c r="AJ101" i="79"/>
  <c r="AJ103" i="79"/>
  <c r="Y52" i="78"/>
  <c r="X50" i="78"/>
  <c r="C377" i="66" l="1"/>
  <c r="Y49" i="78"/>
  <c r="Y79" i="78"/>
  <c r="Y94" i="78" s="1"/>
  <c r="Z52" i="78"/>
  <c r="C378" i="66" l="1"/>
  <c r="AK101" i="79"/>
  <c r="AK103" i="79"/>
  <c r="Z79" i="78"/>
  <c r="AB52" i="78"/>
  <c r="Y50" i="78"/>
  <c r="Y128" i="78"/>
  <c r="Y61" i="78"/>
  <c r="Z49" i="78"/>
  <c r="C379" i="66" l="1"/>
  <c r="AK168" i="79"/>
  <c r="Z53" i="78"/>
  <c r="Z50" i="78"/>
  <c r="Y122" i="78"/>
  <c r="Y126" i="78" s="1"/>
  <c r="AK74" i="79"/>
  <c r="Z94" i="78"/>
  <c r="AB79" i="78"/>
  <c r="AB94" i="78" s="1"/>
  <c r="AB49" i="78"/>
  <c r="Y62" i="78"/>
  <c r="Z61" i="78"/>
  <c r="Y112" i="78" l="1"/>
  <c r="AL77" i="79"/>
  <c r="C380" i="66"/>
  <c r="AL168" i="79"/>
  <c r="AL127" i="79"/>
  <c r="AN103" i="79"/>
  <c r="AN101" i="79"/>
  <c r="AL101" i="79"/>
  <c r="AL103" i="79"/>
  <c r="AK77" i="79"/>
  <c r="AL28" i="79"/>
  <c r="Z62" i="78"/>
  <c r="Z122" i="78"/>
  <c r="Z95" i="78"/>
  <c r="Z128" i="78"/>
  <c r="AV16" i="78" s="1"/>
  <c r="AC52" i="78"/>
  <c r="AC49" i="78" s="1"/>
  <c r="AB50" i="78"/>
  <c r="AB128" i="78"/>
  <c r="AB61" i="78"/>
  <c r="AL33" i="79" l="1"/>
  <c r="C381" i="66"/>
  <c r="AN168" i="79"/>
  <c r="AB122" i="78"/>
  <c r="AB126" i="78" s="1"/>
  <c r="AN74" i="79"/>
  <c r="AL74" i="79"/>
  <c r="AL31" i="79"/>
  <c r="AC79" i="78"/>
  <c r="AB62" i="78"/>
  <c r="AC61" i="78"/>
  <c r="AO77" i="79" l="1"/>
  <c r="AC122" i="78"/>
  <c r="AC126" i="78" s="1"/>
  <c r="AC112" i="78" s="1"/>
  <c r="AD52" i="78"/>
  <c r="AD49" i="78" s="1"/>
  <c r="AD61" i="78" s="1"/>
  <c r="AC94" i="78"/>
  <c r="AC128" i="78" s="1"/>
  <c r="AB112" i="78"/>
  <c r="C382" i="66"/>
  <c r="AC50" i="78"/>
  <c r="AO74" i="79"/>
  <c r="AN77" i="79"/>
  <c r="AC62" i="78"/>
  <c r="AC136" i="78" l="1"/>
  <c r="AC115" i="78" s="1"/>
  <c r="AD79" i="78"/>
  <c r="AD94" i="78" s="1"/>
  <c r="AD128" i="78" s="1"/>
  <c r="C383" i="66"/>
  <c r="AO168" i="79"/>
  <c r="AP101" i="79"/>
  <c r="AP103" i="79"/>
  <c r="AO101" i="79"/>
  <c r="AO103" i="79"/>
  <c r="AP77" i="79"/>
  <c r="AP74" i="79"/>
  <c r="AD62" i="78"/>
  <c r="AD122" i="78"/>
  <c r="AD126" i="78" s="1"/>
  <c r="AD112" i="78" s="1"/>
  <c r="AE52" i="78" l="1"/>
  <c r="AE79" i="78" s="1"/>
  <c r="AD50" i="78"/>
  <c r="C384" i="66"/>
  <c r="AD136" i="78"/>
  <c r="AD115" i="78" s="1"/>
  <c r="AQ101" i="79"/>
  <c r="AR101" i="79"/>
  <c r="AP168" i="79"/>
  <c r="AE49" i="78" l="1"/>
  <c r="AF49" i="78" s="1"/>
  <c r="AF52" i="78"/>
  <c r="AF79" i="78"/>
  <c r="AH52" i="78" s="1"/>
  <c r="AH49" i="78" s="1"/>
  <c r="AH61" i="78" s="1"/>
  <c r="AE94" i="78"/>
  <c r="AE128" i="78" s="1"/>
  <c r="AQ168" i="79" s="1"/>
  <c r="C385" i="66"/>
  <c r="AR103" i="79"/>
  <c r="AQ103" i="79"/>
  <c r="AE61" i="78" l="1"/>
  <c r="AE122" i="78" s="1"/>
  <c r="AE126" i="78" s="1"/>
  <c r="AE50" i="78"/>
  <c r="AH79" i="78"/>
  <c r="AH50" i="78" s="1"/>
  <c r="AF50" i="78"/>
  <c r="AF53" i="78"/>
  <c r="AF126" i="78"/>
  <c r="E41" i="6" s="1"/>
  <c r="AE112" i="78"/>
  <c r="AF112" i="78" s="1"/>
  <c r="AT77" i="79"/>
  <c r="C386" i="66"/>
  <c r="AF94" i="78"/>
  <c r="AF95" i="78" s="1"/>
  <c r="AV127" i="79"/>
  <c r="AF61" i="78"/>
  <c r="AR28" i="79"/>
  <c r="AE62" i="78"/>
  <c r="AQ74" i="79"/>
  <c r="AE136" i="78"/>
  <c r="AE115" i="78" s="1"/>
  <c r="AH122" i="78"/>
  <c r="AH126" i="78" s="1"/>
  <c r="AH62" i="78"/>
  <c r="AT103" i="79"/>
  <c r="AJ52" i="78" l="1"/>
  <c r="AJ49" i="78" s="1"/>
  <c r="AJ61" i="78" s="1"/>
  <c r="AH94" i="78"/>
  <c r="AH128" i="78" s="1"/>
  <c r="AX16" i="78" s="1"/>
  <c r="F41" i="6"/>
  <c r="AH112" i="78"/>
  <c r="AF128" i="78"/>
  <c r="AT74" i="79"/>
  <c r="AF113" i="78"/>
  <c r="AR77" i="79"/>
  <c r="AW16" i="78"/>
  <c r="C387" i="66"/>
  <c r="AR127" i="79"/>
  <c r="AT127" i="79"/>
  <c r="AR168" i="79"/>
  <c r="AF122" i="78"/>
  <c r="AF62" i="78"/>
  <c r="AQ77" i="79"/>
  <c r="AT101" i="79"/>
  <c r="AJ79" i="78" l="1"/>
  <c r="AJ50" i="78" s="1"/>
  <c r="AH136" i="78"/>
  <c r="AH115" i="78" s="1"/>
  <c r="AR33" i="79"/>
  <c r="AR74" i="79"/>
  <c r="C388" i="66"/>
  <c r="AR31" i="79"/>
  <c r="AV101" i="79"/>
  <c r="AJ62" i="78"/>
  <c r="AJ122" i="78"/>
  <c r="AJ126" i="78" s="1"/>
  <c r="G41" i="6" s="1"/>
  <c r="AX17" i="78" l="1"/>
  <c r="F42" i="6"/>
  <c r="AL52" i="78"/>
  <c r="AL49" i="78" s="1"/>
  <c r="AL61" i="78" s="1"/>
  <c r="AJ94" i="78"/>
  <c r="AJ128" i="78" s="1"/>
  <c r="AY16" i="78" s="1"/>
  <c r="AJ112" i="78"/>
  <c r="C389" i="66"/>
  <c r="AV103" i="79"/>
  <c r="AL79" i="78"/>
  <c r="AV77" i="79"/>
  <c r="AV74" i="79"/>
  <c r="AJ136" i="78" l="1"/>
  <c r="AJ115" i="78" s="1"/>
  <c r="AL50" i="78"/>
  <c r="AL94" i="78"/>
  <c r="AL128" i="78" s="1"/>
  <c r="AZ16" i="78" s="1"/>
  <c r="C390" i="66"/>
  <c r="AL122" i="78"/>
  <c r="AX77" i="79"/>
  <c r="AX74" i="79"/>
  <c r="AL62" i="78"/>
  <c r="Z160" i="78" l="1"/>
  <c r="Z161" i="78" s="1"/>
  <c r="AY17" i="78"/>
  <c r="G42" i="6"/>
  <c r="C391" i="66"/>
  <c r="AL126" i="78"/>
  <c r="H41" i="6" s="1"/>
  <c r="AL136" i="78" l="1"/>
  <c r="AL112" i="78"/>
  <c r="C392" i="66"/>
  <c r="AL161" i="78" l="1"/>
  <c r="AL115" i="78"/>
  <c r="AZ17" i="78"/>
  <c r="H42" i="6"/>
  <c r="AL159" i="78"/>
  <c r="C393" i="66"/>
  <c r="C394" i="66" l="1"/>
  <c r="H87" i="65"/>
  <c r="I87" i="65"/>
  <c r="J87" i="65"/>
  <c r="K87" i="65"/>
  <c r="L87" i="65"/>
  <c r="C395" i="66" l="1"/>
  <c r="C396" i="66" l="1"/>
  <c r="C397" i="66" l="1"/>
  <c r="C398" i="66" l="1"/>
  <c r="C399" i="66" l="1"/>
  <c r="C400" i="66" l="1"/>
  <c r="C401" i="66" l="1"/>
  <c r="C402" i="66" l="1"/>
  <c r="C403" i="66" l="1"/>
  <c r="C404" i="66" l="1"/>
  <c r="C405" i="66" l="1"/>
  <c r="C406" i="66" l="1"/>
  <c r="C407" i="66" l="1"/>
  <c r="C408" i="66" l="1"/>
  <c r="C409" i="66" l="1"/>
  <c r="C410" i="66" l="1"/>
  <c r="C411" i="66" l="1"/>
  <c r="C412" i="66" l="1"/>
  <c r="C413" i="66" l="1"/>
  <c r="C414" i="66" l="1"/>
  <c r="C415" i="66" l="1"/>
  <c r="C416" i="66" l="1"/>
  <c r="C417" i="66" l="1"/>
  <c r="C418" i="66" l="1"/>
  <c r="C419" i="66" l="1"/>
  <c r="C420" i="66" l="1"/>
  <c r="C421" i="66" l="1"/>
  <c r="C422" i="66" l="1"/>
  <c r="C423" i="66" l="1"/>
  <c r="C424" i="66" l="1"/>
  <c r="C425" i="66" l="1"/>
  <c r="C426" i="66" l="1"/>
  <c r="C427" i="66" l="1"/>
  <c r="C428" i="66" l="1"/>
  <c r="C429" i="66" l="1"/>
  <c r="C430" i="66" l="1"/>
  <c r="C431" i="66" l="1"/>
  <c r="C432" i="66" l="1"/>
  <c r="C433" i="66" l="1"/>
  <c r="C434" i="66" l="1"/>
  <c r="C435" i="66" l="1"/>
  <c r="C436" i="66" l="1"/>
  <c r="C437" i="66" l="1"/>
  <c r="C438" i="66" l="1"/>
  <c r="C439" i="66" l="1"/>
  <c r="C440" i="66" l="1"/>
  <c r="C441" i="66" l="1"/>
  <c r="C442" i="66" l="1"/>
  <c r="C443" i="66" l="1"/>
  <c r="C444" i="66" l="1"/>
  <c r="C445" i="66" l="1"/>
  <c r="C446" i="66" l="1"/>
  <c r="C447" i="66" l="1"/>
  <c r="C448" i="66" l="1"/>
  <c r="C449" i="66" l="1"/>
  <c r="C450" i="66" l="1"/>
  <c r="C451" i="66" l="1"/>
  <c r="C452" i="66" l="1"/>
  <c r="C453" i="66" l="1"/>
  <c r="C454" i="66" l="1"/>
  <c r="C455" i="66" l="1"/>
  <c r="C456" i="66" l="1"/>
  <c r="C457" i="66" l="1"/>
  <c r="C458" i="66" l="1"/>
  <c r="C459" i="66" l="1"/>
  <c r="C460" i="66" l="1"/>
  <c r="C461" i="66" l="1"/>
  <c r="C462" i="66" l="1"/>
  <c r="C463" i="66" l="1"/>
  <c r="C464" i="66" l="1"/>
  <c r="C465" i="66" l="1"/>
  <c r="C466" i="66" l="1"/>
  <c r="C467" i="66" l="1"/>
  <c r="C468" i="66" l="1"/>
  <c r="C469" i="66" l="1"/>
  <c r="C470" i="66" l="1"/>
  <c r="C471" i="66" l="1"/>
  <c r="C472" i="66" l="1"/>
  <c r="C473" i="66" l="1"/>
  <c r="C474" i="66" l="1"/>
  <c r="C475" i="66" l="1"/>
  <c r="C476" i="66" l="1"/>
  <c r="C477" i="66" l="1"/>
  <c r="C478" i="66" l="1"/>
  <c r="C479" i="66" l="1"/>
  <c r="C480" i="66" l="1"/>
  <c r="C481" i="66" l="1"/>
  <c r="C482" i="66" l="1"/>
  <c r="C483" i="66" l="1"/>
  <c r="C484" i="66" l="1"/>
  <c r="C485" i="66" l="1"/>
  <c r="C486" i="66" l="1"/>
  <c r="C487" i="66" l="1"/>
  <c r="C488" i="66" l="1"/>
  <c r="C489" i="66" l="1"/>
  <c r="C490" i="66" l="1"/>
  <c r="C491" i="66" l="1"/>
  <c r="C492" i="66" l="1"/>
  <c r="C493" i="66" l="1"/>
  <c r="C494" i="66" l="1"/>
  <c r="C495" i="66" l="1"/>
  <c r="C496" i="66" l="1"/>
  <c r="C497" i="66" l="1"/>
  <c r="C498" i="66" l="1"/>
  <c r="C499" i="66" l="1"/>
  <c r="C500" i="66" l="1"/>
  <c r="C501" i="66" l="1"/>
  <c r="C502" i="66" l="1"/>
  <c r="C503" i="66" l="1"/>
  <c r="C504" i="66" l="1"/>
  <c r="C505" i="66" l="1"/>
  <c r="C506" i="66" l="1"/>
  <c r="C507" i="66" l="1"/>
  <c r="C508" i="66" l="1"/>
  <c r="C509" i="66" l="1"/>
  <c r="C510" i="66" l="1"/>
  <c r="C511" i="66" l="1"/>
  <c r="C512" i="66" l="1"/>
  <c r="C513" i="66" l="1"/>
  <c r="C514" i="66" l="1"/>
  <c r="C515" i="66" l="1"/>
  <c r="C516" i="66" l="1"/>
  <c r="C517" i="66" l="1"/>
  <c r="C518" i="66" l="1"/>
  <c r="C519" i="66" l="1"/>
  <c r="C520" i="66" l="1"/>
  <c r="C521" i="66" l="1"/>
  <c r="C522" i="66" l="1"/>
  <c r="C523" i="66" l="1"/>
  <c r="C524" i="66" l="1"/>
  <c r="C525" i="66" l="1"/>
  <c r="C526" i="66" l="1"/>
  <c r="C527" i="66" l="1"/>
  <c r="C528" i="66" l="1"/>
  <c r="C529" i="66" l="1"/>
  <c r="C530" i="66" l="1"/>
  <c r="C531" i="66" l="1"/>
  <c r="C532" i="66" l="1"/>
  <c r="C533" i="66" l="1"/>
  <c r="C534" i="66" l="1"/>
  <c r="C535" i="66" l="1"/>
  <c r="C536" i="66" l="1"/>
  <c r="C537" i="66" l="1"/>
  <c r="C538" i="66" l="1"/>
  <c r="C539" i="66" l="1"/>
  <c r="C540" i="66" l="1"/>
  <c r="C541" i="66" l="1"/>
  <c r="C542" i="66" l="1"/>
  <c r="C543" i="66" l="1"/>
  <c r="C544" i="66" l="1"/>
  <c r="C545" i="66" l="1"/>
  <c r="C546" i="66" l="1"/>
  <c r="C547" i="66" l="1"/>
  <c r="C548" i="66" l="1"/>
  <c r="C549" i="66" l="1"/>
  <c r="C550" i="66" l="1"/>
  <c r="C551" i="66" l="1"/>
  <c r="C552" i="66" l="1"/>
  <c r="C553" i="66" l="1"/>
  <c r="C554" i="66" l="1"/>
  <c r="C555" i="66" l="1"/>
  <c r="C556" i="66" l="1"/>
  <c r="C557" i="66" l="1"/>
  <c r="C558" i="66" l="1"/>
  <c r="D558" i="66" l="1"/>
  <c r="D557" i="66" l="1"/>
  <c r="D556" i="66" l="1"/>
  <c r="D554" i="66" l="1"/>
  <c r="D555" i="66"/>
  <c r="D553" i="66" l="1"/>
  <c r="D552" i="66" l="1"/>
  <c r="D551" i="66" l="1"/>
  <c r="D550" i="66" l="1"/>
  <c r="D549" i="66" l="1"/>
  <c r="D547" i="66" l="1"/>
  <c r="D548" i="66"/>
  <c r="D546" i="66" l="1"/>
  <c r="D545" i="66" l="1"/>
  <c r="D544" i="66" l="1"/>
  <c r="D543" i="66" l="1"/>
  <c r="D542" i="66" l="1"/>
  <c r="D540" i="66" l="1"/>
  <c r="D541" i="66"/>
  <c r="D539" i="66" l="1"/>
  <c r="D538" i="66" l="1"/>
  <c r="D537" i="66" l="1"/>
  <c r="D536" i="66" l="1"/>
  <c r="D535" i="66" l="1"/>
  <c r="D533" i="66" l="1"/>
  <c r="D534" i="66"/>
  <c r="D532" i="66" l="1"/>
  <c r="D531" i="66" l="1"/>
  <c r="D530" i="66" l="1"/>
  <c r="D529" i="66" l="1"/>
  <c r="D528" i="66" l="1"/>
  <c r="D526" i="66" l="1"/>
  <c r="D527" i="66"/>
  <c r="D525" i="66" l="1"/>
  <c r="D524" i="66" l="1"/>
  <c r="D523" i="66" l="1"/>
  <c r="D522" i="66" l="1"/>
  <c r="D521" i="66" l="1"/>
  <c r="D519" i="66" l="1"/>
  <c r="D520" i="66"/>
  <c r="D518" i="66" l="1"/>
  <c r="D517" i="66" l="1"/>
  <c r="D516" i="66" l="1"/>
  <c r="D515" i="66" l="1"/>
  <c r="D514" i="66" l="1"/>
  <c r="D512" i="66" l="1"/>
  <c r="D513" i="66"/>
  <c r="D511" i="66" l="1"/>
  <c r="D510" i="66" l="1"/>
  <c r="D509" i="66" l="1"/>
  <c r="D508" i="66" l="1"/>
  <c r="D507" i="66" l="1"/>
  <c r="D505" i="66" l="1"/>
  <c r="D506" i="66"/>
  <c r="D504" i="66" l="1"/>
  <c r="D503" i="66" l="1"/>
  <c r="D502" i="66" l="1"/>
  <c r="D501" i="66" l="1"/>
  <c r="D500" i="66" l="1"/>
  <c r="D498" i="66" l="1"/>
  <c r="D499" i="66"/>
  <c r="D497" i="66" l="1"/>
  <c r="D496" i="66" l="1"/>
  <c r="D495" i="66" l="1"/>
  <c r="D494" i="66" l="1"/>
  <c r="D493" i="66" l="1"/>
  <c r="D492" i="66" l="1"/>
  <c r="D491" i="66" l="1"/>
  <c r="D490" i="66" l="1"/>
  <c r="D489" i="66" l="1"/>
  <c r="D488" i="66" l="1"/>
  <c r="D487" i="66" l="1"/>
  <c r="D486" i="66" l="1"/>
  <c r="D485" i="66" l="1"/>
  <c r="D484" i="66" l="1"/>
  <c r="D483" i="66" l="1"/>
  <c r="D481" i="66" l="1"/>
  <c r="D482" i="66"/>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5" i="66" l="1"/>
  <c r="D376" i="66"/>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c r="D275" i="66" l="1"/>
  <c r="D274" i="66" l="1"/>
  <c r="D273" i="66" l="1"/>
  <c r="D272" i="66" l="1"/>
  <c r="D271" i="66" l="1"/>
  <c r="D270" i="66" l="1"/>
  <c r="D269" i="66" l="1"/>
  <c r="D268" i="66" l="1"/>
  <c r="D267" i="66" l="1"/>
  <c r="D266" i="66" l="1"/>
  <c r="D265" i="66" l="1"/>
  <c r="D264" i="66" l="1"/>
  <c r="D263" i="66" l="1"/>
  <c r="D262" i="66" l="1"/>
  <c r="D261" i="66" l="1"/>
  <c r="D260" i="66" l="1"/>
  <c r="D259" i="66" l="1"/>
  <c r="D257" i="66" l="1"/>
  <c r="D258" i="66"/>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1" i="66" l="1"/>
  <c r="D200" i="66" l="1"/>
  <c r="D199" i="66" l="1"/>
  <c r="D198" i="66" l="1"/>
  <c r="D197" i="66" l="1"/>
  <c r="D196" i="66" l="1"/>
  <c r="D195" i="66" l="1"/>
  <c r="H19" i="85" l="1"/>
  <c r="D193" i="66"/>
  <c r="E193" i="66" s="1"/>
  <c r="D194" i="66"/>
  <c r="Z170" i="78" l="1"/>
  <c r="AF170" i="78"/>
  <c r="AL170" i="78"/>
  <c r="H20" i="85"/>
  <c r="M15" i="83" l="1"/>
  <c r="J18" i="83"/>
  <c r="M14" i="83" l="1"/>
  <c r="Z159" i="78" s="1"/>
  <c r="M13" i="83"/>
  <c r="AF159" i="78" s="1"/>
  <c r="D35" i="6"/>
  <c r="D14" i="6" s="1"/>
  <c r="E22" i="6"/>
  <c r="F22" i="6" s="1"/>
  <c r="F23" i="6" s="1"/>
  <c r="D29" i="6" l="1"/>
  <c r="D23" i="6"/>
  <c r="E25" i="6"/>
  <c r="E23" i="6"/>
  <c r="G22" i="6"/>
  <c r="F25" i="6"/>
  <c r="H22" i="6" l="1"/>
  <c r="G23" i="6"/>
  <c r="G25" i="6"/>
  <c r="H23" i="6" l="1"/>
  <c r="H25" i="6"/>
  <c r="X103" i="78" l="1"/>
  <c r="X132" i="78" s="1"/>
  <c r="Y85" i="78"/>
  <c r="AB103" i="78" s="1"/>
  <c r="Y103" i="78" l="1"/>
  <c r="Y132" i="78" s="1"/>
  <c r="Y136" i="78" s="1"/>
  <c r="Z85" i="78"/>
  <c r="Z86" i="78" s="1"/>
  <c r="Y104" i="78"/>
  <c r="X104" i="78"/>
  <c r="AB104" i="78"/>
  <c r="AF103" i="78"/>
  <c r="AB132" i="78"/>
  <c r="AB136" i="78" s="1"/>
  <c r="Z103" i="78"/>
  <c r="AB115" i="78" l="1"/>
  <c r="AF115" i="78" s="1"/>
  <c r="E42" i="6" s="1"/>
  <c r="AF104" i="78"/>
  <c r="AF132" i="78"/>
  <c r="AF136" i="78" s="1"/>
  <c r="Z132" i="78"/>
  <c r="Z104" i="78"/>
  <c r="Z124" i="78"/>
  <c r="D32" i="6" s="1"/>
  <c r="Z112" i="78"/>
  <c r="X126" i="78"/>
  <c r="AW17" i="78" l="1"/>
  <c r="AF152" i="78"/>
  <c r="X136" i="78"/>
  <c r="X113" i="78"/>
  <c r="Z126" i="78"/>
  <c r="Z113" i="78" s="1"/>
  <c r="D17" i="6"/>
  <c r="E16" i="6" s="1"/>
  <c r="D33" i="6"/>
  <c r="D39" i="6" s="1"/>
  <c r="Z136" i="78" l="1"/>
  <c r="D41" i="6"/>
  <c r="AO115" i="78"/>
  <c r="Z115" i="78"/>
  <c r="D42" i="6" s="1"/>
  <c r="Y149" i="78"/>
  <c r="X149" i="78"/>
  <c r="E17" i="6"/>
  <c r="F16" i="6" s="1"/>
  <c r="E19" i="6"/>
  <c r="E39" i="6" s="1"/>
  <c r="AV17" i="78" l="1"/>
  <c r="Z152" i="78"/>
  <c r="D43" i="6"/>
  <c r="F19" i="6"/>
  <c r="F39" i="6" s="1"/>
  <c r="AH149" i="78" s="1"/>
  <c r="F17" i="6"/>
  <c r="G16" i="6" s="1"/>
  <c r="AB149" i="78"/>
  <c r="AB150" i="78" s="1"/>
  <c r="AB152" i="78" s="1"/>
  <c r="AE149" i="78"/>
  <c r="AD149" i="78"/>
  <c r="AC149" i="78"/>
  <c r="Y150" i="78"/>
  <c r="Y152" i="78" s="1"/>
  <c r="X150" i="78"/>
  <c r="X152" i="78" s="1"/>
  <c r="AC150" i="78" l="1"/>
  <c r="AC152" i="78" s="1"/>
  <c r="AE150" i="78"/>
  <c r="AE152" i="78" s="1"/>
  <c r="E43" i="6"/>
  <c r="D44" i="6"/>
  <c r="D45" i="6" s="1"/>
  <c r="AH150" i="78"/>
  <c r="AH152" i="78" s="1"/>
  <c r="AD150" i="78"/>
  <c r="AD152" i="78" s="1"/>
  <c r="G19" i="6"/>
  <c r="G39" i="6" s="1"/>
  <c r="AJ149" i="78" s="1"/>
  <c r="G17" i="6"/>
  <c r="H16" i="6" s="1"/>
  <c r="F43" i="6" l="1"/>
  <c r="E44" i="6"/>
  <c r="E45" i="6" s="1"/>
  <c r="H17" i="6"/>
  <c r="H19" i="6"/>
  <c r="H39" i="6" s="1"/>
  <c r="AL149" i="78" s="1"/>
  <c r="AJ150" i="78"/>
  <c r="AJ152" i="78" s="1"/>
  <c r="G43" i="6" l="1"/>
  <c r="F44" i="6"/>
  <c r="F45" i="6" s="1"/>
  <c r="AL150" i="78"/>
  <c r="G44" i="6" l="1"/>
  <c r="G45" i="6" s="1"/>
  <c r="H43" i="6"/>
  <c r="H44" i="6" s="1"/>
  <c r="AF162" i="78"/>
  <c r="AL152" i="78"/>
  <c r="Z162" i="78"/>
  <c r="AL162" i="78"/>
  <c r="AL163" i="78" l="1"/>
  <c r="AL167" i="78" s="1"/>
  <c r="AL169" i="78" s="1"/>
  <c r="T33" i="91" s="1"/>
  <c r="Z163" i="78"/>
  <c r="Z167" i="78" s="1"/>
  <c r="Z169" i="78" s="1"/>
  <c r="Z171" i="78" s="1"/>
  <c r="H45" i="6"/>
  <c r="AF163" i="78"/>
  <c r="AF167" i="78" l="1"/>
  <c r="AF169" i="78" s="1"/>
  <c r="H13" i="85" s="1"/>
  <c r="AL171" i="78"/>
  <c r="T34" i="91"/>
  <c r="E162" i="66" l="1"/>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T35" i="91"/>
  <c r="AF171" i="78"/>
  <c r="L160" i="66"/>
  <c r="R162" i="78" l="1"/>
  <c r="R163" i="78" s="1"/>
  <c r="H14" i="85"/>
  <c r="R164"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DAAN BOOTSMA</author>
  </authors>
  <commentList>
    <comment ref="B13" authorId="0" shapeId="0" xr:uid="{97073261-A646-4DDC-B436-6FC4923AE803}">
      <text>
        <r>
          <rPr>
            <b/>
            <sz val="9"/>
            <color indexed="81"/>
            <rFont val="Tahoma"/>
            <family val="2"/>
          </rPr>
          <t>DAAN BOOTSMA:</t>
        </r>
        <r>
          <rPr>
            <sz val="9"/>
            <color indexed="81"/>
            <rFont val="Tahoma"/>
            <family val="2"/>
          </rPr>
          <t xml:space="preserve">
PPA&amp;SAT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Daan</author>
    <author>Daniel Filipe Cristóvão da Cruz</author>
  </authors>
  <commentList>
    <comment ref="AZ11" authorId="0" shapeId="0" xr:uid="{8909BEBA-75DD-4B29-9DEE-739BAE0AA309}">
      <text>
        <r>
          <rPr>
            <b/>
            <sz val="9"/>
            <color indexed="81"/>
            <rFont val="Tahoma"/>
            <family val="2"/>
          </rPr>
          <t>Daan:</t>
        </r>
        <r>
          <rPr>
            <sz val="9"/>
            <color indexed="81"/>
            <rFont val="Tahoma"/>
            <family val="2"/>
          </rPr>
          <t xml:space="preserve">
Production Agriculture – Includes net sales of large and certain mid-size tractors and associated attachments, combines, cotton pickers, cotton strippers, sugarcane harvesters, sugarcane loaders, tillage, seeding, and application equipment, including sprayers and nutrient management and soil preparation machinery, and related attachments and service parts. </t>
        </r>
      </text>
    </comment>
    <comment ref="B12" authorId="1" shapeId="0" xr:uid="{26FE30DF-4713-49FC-9746-EAA062AA977E}">
      <text>
        <r>
          <rPr>
            <b/>
            <sz val="9"/>
            <color indexed="81"/>
            <rFont val="Tahoma"/>
            <family val="2"/>
          </rPr>
          <t xml:space="preserve">Daniel Filipe Cristóvão da Cruz: </t>
        </r>
        <r>
          <rPr>
            <sz val="9"/>
            <color indexed="81"/>
            <rFont val="Tahoma"/>
            <family val="2"/>
          </rPr>
          <t>This segment defines, develops, and delivers global equipment and 
technology solutions for production-scale growers of crops like large grains (such as corn and soy), small grains (such as wheat, oats,
and barley), cotton, and sugarcane. Equipment manufactured and distributed by the segment includes large and certain mid-size 
tractors, combines, cotton pickers, cotton strippers, sugarcane harvesters, and related harvesting front-end equipment. In addition, 
the segment includes tillage, seeding, and application equipment, including sprayers and nutrient management and soil preparation 
machinery.</t>
        </r>
      </text>
    </comment>
    <comment ref="AZ12" authorId="0" shapeId="0" xr:uid="{D8865B5A-FA99-42F2-9A22-1DD4AE3EE98C}">
      <text>
        <r>
          <rPr>
            <b/>
            <sz val="9"/>
            <color indexed="81"/>
            <rFont val="Tahoma"/>
            <family val="2"/>
          </rPr>
          <t>Daan:</t>
        </r>
        <r>
          <rPr>
            <sz val="9"/>
            <color indexed="81"/>
            <rFont val="Tahoma"/>
            <family val="2"/>
          </rPr>
          <t xml:space="preserve">
 Includes net sales of certain mid-size tractors, utility and compact utility tractors, self-propelled forage harvesters, hay and forage equipment, balers, mowers, and related attachments and service parts.</t>
        </r>
      </text>
    </comment>
    <comment ref="B13" authorId="1" shapeId="0" xr:uid="{90C49226-BCCB-44F4-8652-DF6ABB960C19}">
      <text>
        <r>
          <rPr>
            <b/>
            <sz val="9"/>
            <color indexed="81"/>
            <rFont val="Tahoma"/>
            <family val="2"/>
          </rPr>
          <t>Daniel Filipe Cristóvão da Cruz:</t>
        </r>
        <r>
          <rPr>
            <sz val="9"/>
            <color indexed="81"/>
            <rFont val="Tahoma"/>
            <family val="2"/>
          </rPr>
          <t xml:space="preserve">
The segment works to provide product leadership while extending integrated agricultural solutions and 
precision technologies across its portfolio of equipment to unlock incremental value for customers. 
Equipment manufactured and distributed by the segment includes certain mid-size, small and utility tractors, and related loaders and 
attachments; turf and utility equipment, including riding lawn equipment, commercial mowing equipment, golf course equipment, utility 
vehicles, implements for mowing, tilling, snow and debris handling, aerating, and other residential, commercial, golf, and sports turf care 
applications; and hay and forage equipment, including self-propelled forage harvesters and attachments, balers, and mowers.</t>
        </r>
      </text>
    </comment>
    <comment ref="AZ13" authorId="0" shapeId="0" xr:uid="{DAE901A5-44B1-45DD-B575-A46248B720B4}">
      <text>
        <r>
          <rPr>
            <b/>
            <sz val="9"/>
            <color indexed="81"/>
            <rFont val="Tahoma"/>
            <family val="2"/>
          </rPr>
          <t>Daan:</t>
        </r>
        <r>
          <rPr>
            <sz val="9"/>
            <color indexed="81"/>
            <rFont val="Tahoma"/>
            <family val="2"/>
          </rPr>
          <t xml:space="preserve">
Includes net sales of turf and utility equipment, including riding lawn equipment, golf course equipment, utility vehicles, and commercial mowing equipment, along with a broad line of associated implements, other outdoor power products, and related attachments and service parts</t>
        </r>
      </text>
    </comment>
    <comment ref="B14" authorId="1" shapeId="0" xr:uid="{8B892E1E-6336-4E49-B923-E988DB8F109C}">
      <text>
        <r>
          <rPr>
            <b/>
            <sz val="9"/>
            <color indexed="81"/>
            <rFont val="Tahoma"/>
            <family val="2"/>
          </rPr>
          <t>Daniel Filipe Cristóvão da Cruz:</t>
        </r>
        <r>
          <rPr>
            <sz val="9"/>
            <color indexed="81"/>
            <rFont val="Tahoma"/>
            <family val="2"/>
          </rPr>
          <t xml:space="preserve">
Our primary construction products include excavators, wheel loaders, motor graders, dozers, backhoes, articulated dump trucks, skid 
steers, compact excavators, and compact track loaders, along with a variety of attachments. Our Wirtgen roadbuilding products include 
milling machines, pavers, compactors, rollers, crushers, screens, and asphalt plants.
In forestry, our primary products include skidders, wheeled and tracked feller bunchers, forwarders, knuckleboom loaders, wheeled and 
tracked harvesters, swing machines, and precision forestry technology solutions such as Intelligent Boom Control, TimberMatic™ maps, 
and TimberManager™.</t>
        </r>
      </text>
    </comment>
    <comment ref="AZ14" authorId="0" shapeId="0" xr:uid="{2649A77B-8B59-440E-8C31-822D25441962}">
      <text>
        <r>
          <rPr>
            <b/>
            <sz val="9"/>
            <color indexed="81"/>
            <rFont val="Tahoma"/>
            <family val="2"/>
          </rPr>
          <t>Daan:</t>
        </r>
        <r>
          <rPr>
            <sz val="9"/>
            <color indexed="81"/>
            <rFont val="Tahoma"/>
            <family val="2"/>
          </rPr>
          <t xml:space="preserve">
 Includes net sales of a broad range of machines used in construction, earthmoving, and material handling, including backhoe loaders, landscape loaders, crawler dozers and loaders, four-wheel-drive loaders, excavators, motor graders, scraper systems, articulated dump trucks, and related attachments and service parts. </t>
        </r>
      </text>
    </comment>
    <comment ref="AZ15" authorId="0" shapeId="0" xr:uid="{FC1AB819-7E43-4F54-9D42-7BC5CE4F83BF}">
      <text>
        <r>
          <rPr>
            <b/>
            <sz val="9"/>
            <color indexed="81"/>
            <rFont val="Tahoma"/>
            <family val="2"/>
          </rPr>
          <t>Daan:</t>
        </r>
        <r>
          <rPr>
            <sz val="9"/>
            <color indexed="81"/>
            <rFont val="Tahoma"/>
            <family val="2"/>
          </rPr>
          <t xml:space="preserve">
Includes net sales of smaller construction equipment, including compact excavators, compact track loaders, compact wheel loaders, skid steers, and related attachments and service parts. </t>
        </r>
      </text>
    </comment>
    <comment ref="B16" authorId="0" shapeId="0" xr:uid="{52CC609C-70E0-4F06-9246-6BA6E688F670}">
      <text>
        <r>
          <rPr>
            <b/>
            <sz val="9"/>
            <color indexed="81"/>
            <rFont val="Tahoma"/>
            <family val="2"/>
          </rPr>
          <t>Daan:</t>
        </r>
        <r>
          <rPr>
            <sz val="9"/>
            <color indexed="81"/>
            <rFont val="Tahoma"/>
            <family val="2"/>
          </rPr>
          <t xml:space="preserve">
Other revenues are primarily the PPA, SAT, and CF revenues for finance and interest income and other income. </t>
        </r>
      </text>
    </comment>
    <comment ref="AZ16" authorId="0" shapeId="0" xr:uid="{7E792E25-8D6F-441A-AB5E-4602816D495E}">
      <text>
        <r>
          <rPr>
            <b/>
            <sz val="9"/>
            <color indexed="81"/>
            <rFont val="Tahoma"/>
            <family val="2"/>
          </rPr>
          <t>Daan:</t>
        </r>
        <r>
          <rPr>
            <sz val="9"/>
            <color indexed="81"/>
            <rFont val="Tahoma"/>
            <family val="2"/>
          </rPr>
          <t xml:space="preserve">
 Includes net sales of equipment used in roadbuilding and renovation, including milling machines, recyclers, slipform pavers, surface miners, asphalt pavers, compactors, tandem and static rollers, mobile crushers and screens, mobile and stationary asphalt plants, and related attachments and service parts. </t>
        </r>
      </text>
    </comment>
    <comment ref="AZ17" authorId="0" shapeId="0" xr:uid="{08E312F4-FDB8-43AB-9C76-AF05AD17EE99}">
      <text>
        <r>
          <rPr>
            <b/>
            <sz val="9"/>
            <color indexed="81"/>
            <rFont val="Tahoma"/>
            <family val="2"/>
          </rPr>
          <t>Daan:</t>
        </r>
        <r>
          <rPr>
            <sz val="9"/>
            <color indexed="81"/>
            <rFont val="Tahoma"/>
            <family val="2"/>
          </rPr>
          <t xml:space="preserve">
 Includes net sales of equipment used in timber harvesting, including log skidders, feller bunchers, log loaders, log forwarders, log harvesters, and related attachments and service parts.</t>
        </r>
      </text>
    </comment>
    <comment ref="AZ18" authorId="0" shapeId="0" xr:uid="{8A3463C7-5BB9-4619-80DE-38805889634C}">
      <text>
        <r>
          <rPr>
            <b/>
            <sz val="9"/>
            <color indexed="81"/>
            <rFont val="Tahoma"/>
            <family val="2"/>
          </rPr>
          <t>Daan:</t>
        </r>
        <r>
          <rPr>
            <sz val="9"/>
            <color indexed="81"/>
            <rFont val="Tahoma"/>
            <family val="2"/>
          </rPr>
          <t xml:space="preserve">
 Includes finance and interest income from retail notes related to sales of John Deere equipment to retail customers, wholesale financing to dealers of John Deere equipment, and revolving charge accounts; lease income from retail leases of John Deere equipment; and revenue from extended warranties. </t>
        </r>
      </text>
    </comment>
    <comment ref="AZ19" authorId="0" shapeId="0" xr:uid="{06B19501-5716-4249-80E8-2ACF84E73604}">
      <text>
        <r>
          <rPr>
            <b/>
            <sz val="9"/>
            <color indexed="81"/>
            <rFont val="Tahoma"/>
            <family val="2"/>
          </rPr>
          <t>Daan:</t>
        </r>
        <r>
          <rPr>
            <sz val="9"/>
            <color indexed="81"/>
            <rFont val="Tahoma"/>
            <family val="2"/>
          </rPr>
          <t xml:space="preserve">
Includes sales of components to other equipment manufacturers that are included in “Net sales;” revenue earned over time from precision guidance, telematics, and other information enabled solutions; revenue from service performed at company owned dealerships and service centers; gains on disposition of property and businesses; trademark licensing revenue; and other miscellaneous revenue items that are included in “Other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Nicole Sequeira</author>
  </authors>
  <commentList>
    <comment ref="F17" authorId="0" shapeId="0" xr:uid="{2111F9E2-F080-49B6-81EA-E5F932905C4E}">
      <text>
        <r>
          <rPr>
            <b/>
            <sz val="9"/>
            <color indexed="81"/>
            <rFont val="Tahoma"/>
            <family val="2"/>
          </rPr>
          <t>Nicole Sequeira:</t>
        </r>
        <r>
          <rPr>
            <sz val="9"/>
            <color indexed="81"/>
            <rFont val="Tahoma"/>
            <family val="2"/>
          </rPr>
          <t xml:space="preserve">
VER MELHOR</t>
        </r>
      </text>
    </comment>
    <comment ref="D18" authorId="0" shapeId="0" xr:uid="{9B0866DA-D176-4BC8-A63C-059A4EB26262}">
      <text>
        <r>
          <rPr>
            <b/>
            <sz val="9"/>
            <color indexed="81"/>
            <rFont val="Tahoma"/>
            <family val="2"/>
          </rPr>
          <t>Nicole Sequeira:</t>
        </r>
        <r>
          <rPr>
            <sz val="9"/>
            <color indexed="81"/>
            <rFont val="Tahoma"/>
            <family val="2"/>
          </rPr>
          <t xml:space="preserve">
VER MELHOR
</t>
        </r>
      </text>
    </comment>
    <comment ref="C23" authorId="0" shapeId="0" xr:uid="{6B691F1D-9636-4FC8-9470-B414472FBD35}">
      <text>
        <r>
          <rPr>
            <b/>
            <sz val="9"/>
            <color indexed="81"/>
            <rFont val="Tahoma"/>
            <family val="2"/>
          </rPr>
          <t>Nicole Sequeira:</t>
        </r>
        <r>
          <rPr>
            <sz val="9"/>
            <color indexed="81"/>
            <rFont val="Tahoma"/>
            <family val="2"/>
          </rPr>
          <t xml:space="preserve">
Driven by profitable parts &amp; services, precision-agriculture solutions and premium brand value</t>
        </r>
      </text>
    </comment>
    <comment ref="C67" authorId="0" shapeId="0" xr:uid="{44F07F81-6ECA-4814-91FB-F5B3BD99E51B}">
      <text>
        <r>
          <rPr>
            <b/>
            <sz val="9"/>
            <color indexed="81"/>
            <rFont val="Tahoma"/>
            <family val="2"/>
          </rPr>
          <t>Nicole Sequeira:</t>
        </r>
        <r>
          <rPr>
            <sz val="9"/>
            <color indexed="81"/>
            <rFont val="Tahoma"/>
            <family val="2"/>
          </rPr>
          <t xml:space="preserve">
Deere uses its strong negotiating power to delay payments to suppliers (increase Accounts Payable).
</t>
        </r>
      </text>
    </comment>
    <comment ref="C74" authorId="0" shapeId="0" xr:uid="{1A054137-4906-4343-9DFC-6911D16C8B8C}">
      <text>
        <r>
          <rPr>
            <b/>
            <sz val="9"/>
            <color indexed="81"/>
            <rFont val="Tahoma"/>
            <family val="2"/>
          </rPr>
          <t>Nicole Sequeira:</t>
        </r>
        <r>
          <rPr>
            <sz val="9"/>
            <color indexed="81"/>
            <rFont val="Tahoma"/>
            <family val="2"/>
          </rPr>
          <t xml:space="preserve">
Heavy investments in new factories, automation and digital solutions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Nicole Sequeira</author>
  </authors>
  <commentList>
    <comment ref="J35" authorId="0" shapeId="0" xr:uid="{F47AC494-ED81-4E50-AAC9-5D3E843BE7A2}">
      <text>
        <r>
          <rPr>
            <b/>
            <sz val="9"/>
            <color indexed="81"/>
            <rFont val="Tahoma"/>
            <family val="2"/>
          </rPr>
          <t>Nicole Sequeira:</t>
        </r>
        <r>
          <rPr>
            <sz val="9"/>
            <color indexed="81"/>
            <rFont val="Tahoma"/>
            <family val="2"/>
          </rPr>
          <t xml:space="preserve">
An 11% increase in water consumption intensity by 2024</t>
        </r>
      </text>
    </comment>
    <comment ref="K37" authorId="0" shapeId="0" xr:uid="{65F79136-1B94-474A-A0C5-254E85C6197D}">
      <text>
        <r>
          <rPr>
            <b/>
            <sz val="9"/>
            <color indexed="81"/>
            <rFont val="Tahoma"/>
            <family val="2"/>
          </rPr>
          <t>Nicole Sequeira:</t>
        </r>
        <r>
          <rPr>
            <sz val="9"/>
            <color indexed="81"/>
            <rFont val="Tahoma"/>
            <family val="2"/>
          </rPr>
          <t xml:space="preserve">
The acquisition of Kreisel Eletric Inc. In 2021 is a clear signal of the company's commitement, as it aims to bring battery-driven and hybrid-eletric product models to market</t>
        </r>
      </text>
    </comment>
    <comment ref="B47" authorId="0" shapeId="0" xr:uid="{6E783BFC-D18E-42D6-9247-30D4C339C290}">
      <text>
        <r>
          <rPr>
            <b/>
            <sz val="9"/>
            <color indexed="81"/>
            <rFont val="Tahoma"/>
            <family val="2"/>
          </rPr>
          <t>Nicole Sequeira:</t>
        </r>
        <r>
          <rPr>
            <sz val="9"/>
            <color indexed="81"/>
            <rFont val="Tahoma"/>
            <family val="2"/>
          </rPr>
          <t xml:space="preserve">
A class-action lawsuit was filed in October 2024 concerning a brake system defect in certain Compact Utility Tractors. The defect, which led to a recall in September 2024, has been alleged in the lawsuit to be "repeatedly ineffective" and has caused injuries, including at least one hospitalization.</t>
        </r>
      </text>
    </comment>
    <comment ref="I47" authorId="0" shapeId="0" xr:uid="{751D0803-BCAB-4464-8322-E3CE380D5698}">
      <text>
        <r>
          <rPr>
            <b/>
            <sz val="9"/>
            <color indexed="81"/>
            <rFont val="Tahoma"/>
            <family val="2"/>
          </rPr>
          <t>Nicole Sequeira:</t>
        </r>
        <r>
          <rPr>
            <sz val="9"/>
            <color indexed="81"/>
            <rFont val="Tahoma"/>
            <family val="2"/>
          </rPr>
          <t xml:space="preserve">
To improve employee experience and monitor progress towards a stable workforce.</t>
        </r>
      </text>
    </comment>
    <comment ref="B48" authorId="0" shapeId="0" xr:uid="{868D8E09-F552-4E39-83AF-88A72F997183}">
      <text>
        <r>
          <rPr>
            <b/>
            <sz val="9"/>
            <color indexed="81"/>
            <rFont val="Tahoma"/>
            <family val="2"/>
          </rPr>
          <t>Nicole Sequeira:</t>
        </r>
        <r>
          <rPr>
            <sz val="9"/>
            <color indexed="81"/>
            <rFont val="Tahoma"/>
            <family val="2"/>
          </rPr>
          <t xml:space="preserve">
In June 2024, Deere settled a racial discrimination lawsuit for $1.1 million over allegations of hiring disparities against 277 Black and Hispanic applicants. Separately, a former employee filed a lawsuit in February 2025, alleging that older, more expensive employees were disproportionately targeted during layoffs in 2024, with some work allegedly being transferred to Mexico for lower labor costs.</t>
        </r>
      </text>
    </comment>
    <comment ref="B49" authorId="0" shapeId="0" xr:uid="{F1C11A0E-2CAE-4099-BAA6-F7AE494F0DC2}">
      <text>
        <r>
          <rPr>
            <b/>
            <sz val="9"/>
            <color indexed="81"/>
            <rFont val="Tahoma"/>
            <family val="2"/>
          </rPr>
          <t>Nicole Sequeira:</t>
        </r>
        <r>
          <rPr>
            <sz val="9"/>
            <color indexed="81"/>
            <rFont val="Tahoma"/>
            <family val="2"/>
          </rPr>
          <t xml:space="preserve">
After severe flooding in Central Texas in July, John Deere employees and the John Deere Foundation united to raise over $200,000 to support those impacted.</t>
        </r>
      </text>
    </comment>
    <comment ref="J49" authorId="0" shapeId="0" xr:uid="{15606FBE-BE5A-4872-98A4-7B40695EF3D4}">
      <text>
        <r>
          <rPr>
            <b/>
            <sz val="9"/>
            <color indexed="81"/>
            <rFont val="Tahoma"/>
            <family val="2"/>
          </rPr>
          <t>Nicole Sequeira:</t>
        </r>
        <r>
          <rPr>
            <sz val="9"/>
            <color indexed="81"/>
            <rFont val="Tahoma"/>
            <family val="2"/>
          </rPr>
          <t xml:space="preserve">
Despite lower revenue and a reduction in the total workforce.</t>
        </r>
      </text>
    </comment>
    <comment ref="B50" authorId="0" shapeId="0" xr:uid="{E9D4CDEE-09F6-4800-AAFA-D62974B1A9EA}">
      <text>
        <r>
          <rPr>
            <b/>
            <sz val="9"/>
            <color indexed="81"/>
            <rFont val="Tahoma"/>
            <family val="2"/>
          </rPr>
          <t>Nicole Sequeira:</t>
        </r>
        <r>
          <rPr>
            <sz val="9"/>
            <color indexed="81"/>
            <rFont val="Tahoma"/>
            <family val="2"/>
          </rPr>
          <t xml:space="preserve">
The mission was to raise awareness for food insecurity. The campaign, which focuses on delivering meals to farmers during harvest season, is accompanied by a corporate donation of over 250,000 meals to Feeding America to help combat hunger nationwide.</t>
        </r>
      </text>
    </comment>
    <comment ref="B51" authorId="0" shapeId="0" xr:uid="{A3B88B4E-E6B0-4BB1-87EF-5CC10C214B3B}">
      <text>
        <r>
          <rPr>
            <b/>
            <sz val="9"/>
            <color indexed="81"/>
            <rFont val="Tahoma"/>
            <family val="2"/>
          </rPr>
          <t>Nicole Sequeira:</t>
        </r>
        <r>
          <rPr>
            <sz val="9"/>
            <color indexed="81"/>
            <rFont val="Tahoma"/>
            <family val="2"/>
          </rPr>
          <t xml:space="preserve">
The lawsuit alleges that Deere has created an illegal monopoly over the repair market by making critical diagnostic software and tools inaccessible to farmers and independent mechanics. </t>
        </r>
      </text>
    </comment>
    <comment ref="B52" authorId="0" shapeId="0" xr:uid="{42FE36C9-2DD2-4F1F-8145-17624A36FE25}">
      <text>
        <r>
          <rPr>
            <b/>
            <sz val="9"/>
            <color indexed="81"/>
            <rFont val="Tahoma"/>
            <family val="2"/>
          </rPr>
          <t>Nicole Sequeira:</t>
        </r>
        <r>
          <rPr>
            <sz val="9"/>
            <color indexed="81"/>
            <rFont val="Tahoma"/>
            <family val="2"/>
          </rPr>
          <t xml:space="preserve">
This follows the company's decision in July 2024 to roll back support for "social or cultural awareness events" after facing social media backlash.</t>
        </r>
      </text>
    </comment>
    <comment ref="B53" authorId="0" shapeId="0" xr:uid="{8A858FF9-F9E3-4FBD-A147-112CE7189AD2}">
      <text>
        <r>
          <rPr>
            <b/>
            <sz val="9"/>
            <color indexed="81"/>
            <rFont val="Tahoma"/>
            <family val="2"/>
          </rPr>
          <t>Nicole Sequeira:</t>
        </r>
        <r>
          <rPr>
            <sz val="9"/>
            <color indexed="81"/>
            <rFont val="Tahoma"/>
            <family val="2"/>
          </rPr>
          <t xml:space="preserve">
Deere announced multiple rounds of layoffs in late 2024 and mid-2025, impacting nearly 2,600 production workers across several facilities in Iowa and Illinois.</t>
        </r>
      </text>
    </comment>
    <comment ref="I53" authorId="0" shapeId="0" xr:uid="{A1A91DF7-1DD5-4768-BE42-59A3BA1A99F9}">
      <text>
        <r>
          <rPr>
            <b/>
            <sz val="9"/>
            <color indexed="81"/>
            <rFont val="Tahoma"/>
            <family val="2"/>
          </rPr>
          <t>Nicole Sequeira:</t>
        </r>
        <r>
          <rPr>
            <sz val="9"/>
            <color indexed="81"/>
            <rFont val="Tahoma"/>
            <family val="2"/>
          </rPr>
          <t xml:space="preserve">
To maintain a workplace free from discrimination. </t>
        </r>
      </text>
    </comment>
    <comment ref="B54" authorId="0" shapeId="0" xr:uid="{83065D2F-E997-4555-8277-798E9E6DFD17}">
      <text>
        <r>
          <rPr>
            <b/>
            <sz val="9"/>
            <color indexed="81"/>
            <rFont val="Tahoma"/>
            <family val="2"/>
          </rPr>
          <t>Nicole Sequeira:</t>
        </r>
        <r>
          <rPr>
            <sz val="9"/>
            <color indexed="81"/>
            <rFont val="Tahoma"/>
            <family val="2"/>
          </rPr>
          <t xml:space="preserve">
In a proactive step to address public and legal pressure over its "Right to Repair" policies, John Deere launched an enhanced digital self-repair tool via press release on July 31, 2025.</t>
        </r>
      </text>
    </comment>
    <comment ref="B55" authorId="0" shapeId="0" xr:uid="{0F1491FB-0679-40DB-B774-22A047B9B2EA}">
      <text>
        <r>
          <rPr>
            <b/>
            <sz val="9"/>
            <color indexed="81"/>
            <rFont val="Tahoma"/>
            <family val="2"/>
          </rPr>
          <t>Nicole Sequeira:</t>
        </r>
        <r>
          <rPr>
            <sz val="9"/>
            <color indexed="81"/>
            <rFont val="Tahoma"/>
            <family val="2"/>
          </rPr>
          <t xml:space="preserve">
Deere announced a $13.5 million investment to expand its remanufacturing facility in Strafford, Missouri. This project, which is a key part of the company's sustainability strategy, will increase the plant's size by 120,000 square feet and is aimed at expanding the remanufacturing business by refurbishing worn parts at a lower cost to customers. </t>
        </r>
      </text>
    </comment>
    <comment ref="B56" authorId="0" shapeId="0" xr:uid="{0489D61C-4C4A-4884-944F-E524380CDBAE}">
      <text>
        <r>
          <rPr>
            <b/>
            <sz val="9"/>
            <color indexed="81"/>
            <rFont val="Tahoma"/>
            <family val="2"/>
          </rPr>
          <t>Nicole Sequeira:</t>
        </r>
        <r>
          <rPr>
            <sz val="9"/>
            <color indexed="81"/>
            <rFont val="Tahoma"/>
            <family val="2"/>
          </rPr>
          <t xml:space="preserve">
In a proactive step to address public and legal pressure over its "Right to Repair" policies, John Deere launched an enhanced digital self-repair tool via press release on July 31, 2025.</t>
        </r>
      </text>
    </comment>
    <comment ref="I57" authorId="0" shapeId="0" xr:uid="{2E83E114-CEA5-4BFA-89E0-7D8DC4EDF22E}">
      <text>
        <r>
          <rPr>
            <b/>
            <sz val="9"/>
            <color indexed="81"/>
            <rFont val="Tahoma"/>
            <family val="2"/>
          </rPr>
          <t>Nicole Sequeira:</t>
        </r>
        <r>
          <rPr>
            <sz val="9"/>
            <color indexed="81"/>
            <rFont val="Tahoma"/>
            <family val="2"/>
          </rPr>
          <t xml:space="preserve">
An acceptable design must not present an unreasonable risk of injury to a product user or others nearby.</t>
        </r>
      </text>
    </comment>
    <comment ref="I59" authorId="0" shapeId="0" xr:uid="{06DE551A-AFF6-4144-B52A-D0741A8DF073}">
      <text>
        <r>
          <rPr>
            <b/>
            <sz val="9"/>
            <color indexed="81"/>
            <rFont val="Tahoma"/>
            <family val="2"/>
          </rPr>
          <t>Nicole Sequeira:</t>
        </r>
        <r>
          <rPr>
            <sz val="9"/>
            <color indexed="81"/>
            <rFont val="Tahoma"/>
            <family val="2"/>
          </rPr>
          <t xml:space="preserve">
To provide a comprehensive retirement plan for employees.   </t>
        </r>
      </text>
    </comment>
    <comment ref="K59" authorId="0" shapeId="0" xr:uid="{A73FFDEC-FE05-4AB5-AD5C-F0546B6792DF}">
      <text>
        <r>
          <rPr>
            <b/>
            <sz val="9"/>
            <color indexed="81"/>
            <rFont val="Tahoma"/>
            <family val="2"/>
          </rPr>
          <t>Nicole Sequeira:</t>
        </r>
        <r>
          <rPr>
            <sz val="9"/>
            <color indexed="81"/>
            <rFont val="Tahoma"/>
            <family val="2"/>
          </rPr>
          <t xml:space="preserve">
While the plans are in place and offer a degree of security, the historical friction surrounding their equity and structure prevents a higher classification.</t>
        </r>
      </text>
    </comment>
    <comment ref="I61" authorId="0" shapeId="0" xr:uid="{06FD8169-DFA2-4E8D-9BA0-826D1125BAF9}">
      <text>
        <r>
          <rPr>
            <b/>
            <sz val="9"/>
            <color indexed="81"/>
            <rFont val="Tahoma"/>
            <family val="2"/>
          </rPr>
          <t>Nicole Sequeira:</t>
        </r>
        <r>
          <rPr>
            <sz val="9"/>
            <color indexed="81"/>
            <rFont val="Tahoma"/>
            <family val="2"/>
          </rPr>
          <t xml:space="preserve">
To ensure a robust, sustainable, and ethically responsible supply chain.</t>
        </r>
      </text>
    </comment>
    <comment ref="I63" authorId="0" shapeId="0" xr:uid="{C2A85C28-313D-474F-BCF1-5B4446562B72}">
      <text>
        <r>
          <rPr>
            <b/>
            <sz val="9"/>
            <color indexed="81"/>
            <rFont val="Tahoma"/>
            <family val="2"/>
          </rPr>
          <t>Nicole Sequeira:</t>
        </r>
        <r>
          <rPr>
            <sz val="9"/>
            <color indexed="81"/>
            <rFont val="Tahoma"/>
            <family val="2"/>
          </rPr>
          <t xml:space="preserve">
To empower communities through charitable contributions and volunteerism.</t>
        </r>
      </text>
    </comment>
    <comment ref="I65" authorId="0" shapeId="0" xr:uid="{21669E01-D7B4-4E55-8FCF-F3BB4E2236A6}">
      <text>
        <r>
          <rPr>
            <b/>
            <sz val="9"/>
            <color indexed="81"/>
            <rFont val="Tahoma"/>
            <family val="2"/>
          </rPr>
          <t>Nicole Sequeira:</t>
        </r>
        <r>
          <rPr>
            <sz val="9"/>
            <color indexed="81"/>
            <rFont val="Tahoma"/>
            <family val="2"/>
          </rPr>
          <t xml:space="preserve">
To engage in political processes and advocate for public policies that support the company and its customers.</t>
        </r>
      </text>
    </comment>
    <comment ref="K65" authorId="0" shapeId="0" xr:uid="{0388E7AC-ECB1-4F5E-94E8-DD1425982650}">
      <text>
        <r>
          <rPr>
            <b/>
            <sz val="9"/>
            <color indexed="81"/>
            <rFont val="Tahoma"/>
            <family val="2"/>
          </rPr>
          <t>Nicole Sequeira:</t>
        </r>
        <r>
          <rPr>
            <sz val="9"/>
            <color indexed="81"/>
            <rFont val="Tahoma"/>
            <family val="2"/>
          </rPr>
          <t xml:space="preserve">
The company explicitly states that it does not use corporate funds for contributions to federal candidates or national political party committees. Instead, it administers a Political Action Committee (JDPAC) that is funded solely by voluntary contributions from employees.</t>
        </r>
      </text>
    </comment>
    <comment ref="I73" authorId="0" shapeId="0" xr:uid="{6E5D23FE-69D8-49EB-A9FA-25691776E82E}">
      <text>
        <r>
          <rPr>
            <b/>
            <sz val="9"/>
            <color indexed="81"/>
            <rFont val="Tahoma"/>
            <family val="2"/>
          </rPr>
          <t>Nicole Sequeira:</t>
        </r>
        <r>
          <rPr>
            <sz val="9"/>
            <color indexed="81"/>
            <rFont val="Tahoma"/>
            <family val="2"/>
          </rPr>
          <t xml:space="preserve">
To have a diverse Board of Directors reflecting a wide range of backgrounds and expertise.</t>
        </r>
      </text>
    </comment>
    <comment ref="I75" authorId="0" shapeId="0" xr:uid="{CB516115-5244-40CB-86D3-B6D59DF11583}">
      <text>
        <r>
          <rPr>
            <b/>
            <sz val="9"/>
            <color indexed="81"/>
            <rFont val="Tahoma"/>
            <family val="2"/>
          </rPr>
          <t>Nicole Sequeira:</t>
        </r>
        <r>
          <rPr>
            <sz val="9"/>
            <color indexed="81"/>
            <rFont val="Tahoma"/>
            <family val="2"/>
          </rPr>
          <t xml:space="preserve">
To maintain a majority of independent members on the Board of Directors.</t>
        </r>
      </text>
    </comment>
    <comment ref="K93" authorId="0" shapeId="0" xr:uid="{AFC14EBD-D3F4-40C0-AA6D-D872923911D1}">
      <text>
        <r>
          <rPr>
            <b/>
            <sz val="9"/>
            <color indexed="81"/>
            <rFont val="Tahoma"/>
            <family val="2"/>
          </rPr>
          <t>Nicole Sequeira:</t>
        </r>
        <r>
          <rPr>
            <sz val="9"/>
            <color indexed="81"/>
            <rFont val="Tahoma"/>
            <family val="2"/>
          </rPr>
          <t xml:space="preserve">
Can incentivize short-term gains over long-term, organic growth and strategic stability.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Daniel Cruz</author>
  </authors>
  <commentList>
    <comment ref="B28" authorId="0" shapeId="0" xr:uid="{5605ED61-E8B7-43C9-9AB6-9BD658A849A2}">
      <text>
        <r>
          <rPr>
            <b/>
            <sz val="9"/>
            <color indexed="81"/>
            <rFont val="Tahoma"/>
            <family val="2"/>
          </rPr>
          <t>Daniel Cruz:</t>
        </r>
        <r>
          <rPr>
            <sz val="9"/>
            <color indexed="81"/>
            <rFont val="Tahoma"/>
            <family val="2"/>
          </rPr>
          <t xml:space="preserve">
Investment in new technologies and segments may increase indebtness</t>
        </r>
      </text>
    </comment>
    <comment ref="B30" authorId="0" shapeId="0" xr:uid="{BFA28FEF-B3A8-404E-B465-A827A3DD6139}">
      <text>
        <r>
          <rPr>
            <b/>
            <sz val="9"/>
            <color indexed="81"/>
            <rFont val="Tahoma"/>
            <family val="2"/>
          </rPr>
          <t>Daniel Cruz:</t>
        </r>
        <r>
          <rPr>
            <sz val="9"/>
            <color indexed="81"/>
            <rFont val="Tahoma"/>
            <family val="2"/>
          </rPr>
          <t xml:space="preserve">
Average debt spread for A-rated corporate debt lies between 90 BPS and 110 BPS in normal conditions.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Daniel Cruz</author>
  </authors>
  <commentList>
    <comment ref="B31" authorId="0" shapeId="0" xr:uid="{FDD0F961-8797-4307-9227-E745A23202FD}">
      <text>
        <r>
          <rPr>
            <b/>
            <sz val="9"/>
            <color indexed="81"/>
            <rFont val="Tahoma"/>
            <family val="2"/>
          </rPr>
          <t>Daniel Cruz:</t>
        </r>
        <r>
          <rPr>
            <sz val="9"/>
            <color indexed="81"/>
            <rFont val="Tahoma"/>
            <family val="2"/>
          </rPr>
          <t xml:space="preserve">
During 2025, incremental import tariffs have adversely affected the cost of our products and
components and may continue to do so. In addition, retaliatory tariffs by regions outside the U.S., currently in effect or
adopted in the future, may impact the prices of our exported products and the profit realized from these exports. The
direct impact of incremental tariffs incurred by us in the first nine months of 2025 was approximately $300, excluding the
impact of tariffs on our suppliers and market demand.</t>
        </r>
      </text>
    </comment>
    <comment ref="B34" authorId="0" shapeId="0" xr:uid="{2887481D-90BD-407F-AD5F-5C84AC7BBA5F}">
      <text>
        <r>
          <rPr>
            <b/>
            <sz val="9"/>
            <color indexed="81"/>
            <rFont val="Tahoma"/>
            <family val="2"/>
          </rPr>
          <t>Daniel Cruz:</t>
        </r>
        <r>
          <rPr>
            <sz val="9"/>
            <color indexed="81"/>
            <rFont val="Tahoma"/>
            <family val="2"/>
          </rPr>
          <t xml:space="preserve">
Global Trade Policies. During 2025, new tariffs were imposed in the U.S. for imports from a broad range of countries and
materials. Certain countries also implemented or proposed retaliatory tariffs on imports from the U.S. and barriers to trade.
Trade policies are rapidly evolving causing uncertainty in the agriculture and construction industries.</t>
        </r>
      </text>
    </comment>
    <comment ref="Z106" authorId="0" shapeId="0" xr:uid="{FCFAD436-8B83-4D06-992B-4B60DFD89F90}">
      <text>
        <r>
          <rPr>
            <b/>
            <sz val="9"/>
            <color indexed="81"/>
            <rFont val="Tahoma"/>
            <family val="2"/>
          </rPr>
          <t>Daniel Cruz:</t>
        </r>
        <r>
          <rPr>
            <sz val="9"/>
            <color indexed="81"/>
            <rFont val="Tahoma"/>
            <family val="2"/>
          </rPr>
          <t xml:space="preserve">
Capital expenditures in 2025 are expected to be approximately $1,450</t>
        </r>
      </text>
    </comment>
    <comment ref="B112" authorId="0" shapeId="0" xr:uid="{A4A25901-625B-4124-A984-2CF541B97256}">
      <text>
        <r>
          <rPr>
            <b/>
            <sz val="9"/>
            <color indexed="81"/>
            <rFont val="Tahoma"/>
            <family val="2"/>
          </rPr>
          <t>Daniel Cruz:</t>
        </r>
        <r>
          <rPr>
            <sz val="9"/>
            <color indexed="81"/>
            <rFont val="Tahoma"/>
            <family val="2"/>
          </rPr>
          <t xml:space="preserve">
25-35% payout ratio</t>
        </r>
      </text>
    </comment>
    <comment ref="B115" authorId="0" shapeId="0" xr:uid="{3E860985-C5EE-4015-A8AB-035AB2D32A02}">
      <text>
        <r>
          <rPr>
            <b/>
            <sz val="9"/>
            <color indexed="81"/>
            <rFont val="Tahoma"/>
            <family val="2"/>
          </rPr>
          <t>Daniel Cruz:</t>
        </r>
        <r>
          <rPr>
            <sz val="9"/>
            <color indexed="81"/>
            <rFont val="Tahoma"/>
            <family val="2"/>
          </rPr>
          <t xml:space="preserve">
$7.9 billion left for share repurchase after Q3 25.
The company repurchases shares after investing in CapEx and distributing dividends.
</t>
        </r>
      </text>
    </comment>
    <comment ref="Z124" authorId="0" shapeId="0" xr:uid="{FF82CE6B-22AF-4366-B76F-FAC00B65F6F9}">
      <text>
        <r>
          <rPr>
            <b/>
            <sz val="9"/>
            <color indexed="81"/>
            <rFont val="Tahoma"/>
            <family val="2"/>
          </rPr>
          <t>Daniel Cruz:</t>
        </r>
        <r>
          <rPr>
            <sz val="9"/>
            <color indexed="81"/>
            <rFont val="Tahoma"/>
            <family val="2"/>
          </rPr>
          <t xml:space="preserve">
Effective tax rate for FY25 is expected to be 19-21%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<sst xmlns="http://schemas.openxmlformats.org/spreadsheetml/2006/main" count="2030" uniqueCount="900">
  <si>
    <t>TODAY</t>
  </si>
  <si>
    <t>Analysts</t>
  </si>
  <si>
    <t>LIS – Equity Research</t>
  </si>
  <si>
    <t>Stock Performance</t>
  </si>
  <si>
    <t>Daniel Cruz, Team Leader and Analyst</t>
  </si>
  <si>
    <t>Recommendation:</t>
  </si>
  <si>
    <t>Hold</t>
  </si>
  <si>
    <t>Bsc in Applied Mathematics, ISEG – Ulisboa</t>
  </si>
  <si>
    <t>Target Price (FCFF):</t>
  </si>
  <si>
    <t>danielfccruz@aln.iseg.ulisboa.pt</t>
  </si>
  <si>
    <t>Upside:</t>
  </si>
  <si>
    <t>Daan Bootsma, Analyst</t>
  </si>
  <si>
    <t>Bsc in Management, ISEG – Ulisboa</t>
  </si>
  <si>
    <t>Ticker</t>
  </si>
  <si>
    <t>d.bootsma@aln.iseg.ulisboa.pt</t>
  </si>
  <si>
    <t>Stock Exchange</t>
  </si>
  <si>
    <t>NYSE</t>
  </si>
  <si>
    <t>Nicole Sequeira, Analyst</t>
  </si>
  <si>
    <t>Bsc in XXX, ISEG – Ulisboa</t>
  </si>
  <si>
    <t>Current Price</t>
  </si>
  <si>
    <t>email@aln.iseg.ulisboa.pt</t>
  </si>
  <si>
    <t>Beta</t>
  </si>
  <si>
    <t>% of 52-Week High</t>
  </si>
  <si>
    <t>100-Day Moving Average</t>
  </si>
  <si>
    <t>Reviewed by:</t>
  </si>
  <si>
    <t>Avg Vol (1 month)</t>
  </si>
  <si>
    <t>Shares Outstanding (millions)</t>
  </si>
  <si>
    <t>% Float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</si>
  <si>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</si>
  <si>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</si>
  <si>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</si>
  <si>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</si>
  <si>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</si>
  <si>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</si>
  <si>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</si>
  <si>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Segments</t>
  </si>
  <si>
    <t>Q1</t>
  </si>
  <si>
    <t>Q2</t>
  </si>
  <si>
    <t>Q3</t>
  </si>
  <si>
    <t>Q4</t>
  </si>
  <si>
    <t>FY</t>
  </si>
  <si>
    <t>%</t>
  </si>
  <si>
    <t>DE</t>
  </si>
  <si>
    <t>Revenue by segment:</t>
  </si>
  <si>
    <t>Production agriculture</t>
  </si>
  <si>
    <t>Production and Precision Agriculture  (PPA)</t>
  </si>
  <si>
    <t>Small agriculture</t>
  </si>
  <si>
    <t>Small Agriculture and Turf  (SAT)</t>
  </si>
  <si>
    <t>Turf</t>
  </si>
  <si>
    <t>Construction and Forestry (CF)</t>
  </si>
  <si>
    <t>Construction</t>
  </si>
  <si>
    <t>Financial Services  (FS)</t>
  </si>
  <si>
    <t>Compact Construction</t>
  </si>
  <si>
    <t>Other</t>
  </si>
  <si>
    <t>Roadbuilding</t>
  </si>
  <si>
    <t>Total revenue</t>
  </si>
  <si>
    <t>Forestry</t>
  </si>
  <si>
    <t>Financial products</t>
  </si>
  <si>
    <t>Revenue by region:</t>
  </si>
  <si>
    <t>United States  (US)</t>
  </si>
  <si>
    <t>Canada (CAN)</t>
  </si>
  <si>
    <t>Western Europe (WE)</t>
  </si>
  <si>
    <t>Central Europe and CIS (CECIS)</t>
  </si>
  <si>
    <t>Latin America (LA)</t>
  </si>
  <si>
    <t>Asia, Africa, Australia, New Zealand, and Middle East (AAANM)</t>
  </si>
  <si>
    <t>Products:</t>
  </si>
  <si>
    <t>https://www.mordorintelligence.com/industry-reports/global-precision-farming-market-industry</t>
  </si>
  <si>
    <t>https://www.grandviewresearch.com/industry-analysis/precision-farming-market</t>
  </si>
  <si>
    <t>https://www.alliedmarketresearch.com/precision-agriculture-market</t>
  </si>
  <si>
    <t>https://investor.deere.com/home/</t>
  </si>
  <si>
    <t>x</t>
  </si>
  <si>
    <t>Notes &amp; Forecasts</t>
  </si>
  <si>
    <t>PPA\</t>
  </si>
  <si>
    <t>Regional Forecast</t>
  </si>
  <si>
    <t xml:space="preserve">Over the next years I expect US and Latin America´s share of total Rev to grow, mainly due to the second effect of tarrifs. The Brazillian and Argentine market are positioned to capatalize, with US trading partners opting to shift their business to these countries. In terms of precision farming and advanced agricultural machinery, developed countries seem more likely to invest, and Deere invests into these technologies.  I´m expecting US and WE markets to continue to grow a bit in share due to these technologies, however I expect WE to decrease in share due to trade agreements </t>
  </si>
  <si>
    <t>PPA &amp; SAT</t>
  </si>
  <si>
    <t>Expect a drop this year and potentially next year due to the trade wars as well as less gov aid, however when that will settle down, larger farms will be needing better equipment to deal witht the ramifications, thus in the years after I expect sales to go back up and having to catch up with demand</t>
  </si>
  <si>
    <t>2025/2026/2027 PPA/SAT/CF Forecast</t>
  </si>
  <si>
    <t>Mean consensus from following firms: Oppenheimer,Truist Securities,Melius Research LLC,JP Morgan,Evercore ISI,Raymond James,D.A. Davidson,Baird,Bernstein,HSBC,Morningstar,Barclays,BMO Capital Markets,Daiwa Securities,Wolfe Research</t>
  </si>
  <si>
    <t>2025/2026/2027 FS/Other Forecast</t>
  </si>
  <si>
    <t>Mean consensus from following firms: Oppenheimer,JP Morgan,D.A. Davidson,BMO Capital Markets,Daiwa Securities,Wolfe Research</t>
  </si>
  <si>
    <t>2028 PPA/SAT/CF Forecast</t>
  </si>
  <si>
    <t>Mean consensus from following firms: Melius Research LLC,Bernstein,HSBC,Morningstar,BMO Capital Markets, D.A. Davidson</t>
  </si>
  <si>
    <t>2028 FS/Other Forecast</t>
  </si>
  <si>
    <t>Mean consensus: BMA Capital Markets, D.A. Davidson</t>
  </si>
  <si>
    <t>2029 Forecast</t>
  </si>
  <si>
    <t>Notes from Grand Review</t>
  </si>
  <si>
    <t>Key factors that are driving the agriculture equipment market growth include rising mechanization in farm practices and government support in form of subsidies, especially in developing economies.</t>
  </si>
  <si>
    <t>Agricultural Machinery Manufacturing</t>
  </si>
  <si>
    <t>Investing in precision agriculture systems</t>
  </si>
  <si>
    <t>US Segment</t>
  </si>
  <si>
    <t>Held biggest share in global revenue - 37~%</t>
  </si>
  <si>
    <t>Asia-Pacific agriculture equipment industry</t>
  </si>
  <si>
    <r>
      <rPr>
        <b/>
        <sz val="11"/>
        <color theme="1"/>
        <rFont val="Arial"/>
        <family val="2"/>
      </rPr>
      <t>China</t>
    </r>
    <r>
      <rPr>
        <sz val="11"/>
        <color theme="1"/>
        <rFont val="Arial"/>
        <family val="2"/>
      </rPr>
      <t xml:space="preserve"> also transitioning to precision farming</t>
    </r>
  </si>
  <si>
    <r>
      <rPr>
        <b/>
        <sz val="11"/>
        <color theme="1"/>
        <rFont val="Arial"/>
        <family val="2"/>
      </rPr>
      <t>India</t>
    </r>
    <r>
      <rPr>
        <sz val="11"/>
        <color theme="1"/>
        <rFont val="Arial"/>
        <family val="2"/>
      </rPr>
      <t xml:space="preserve"> - shift to </t>
    </r>
  </si>
  <si>
    <t>Help from government</t>
  </si>
  <si>
    <t>As farmers shift from traditional staple crops like wheat and rice to fruits, vegetables, pulses, and cash crops, there is a growing need for specialized machinery to suit different soil conditions and crop requirements. Equipment such as transplanters, sprayers, and drip irrigation systems is becoming more prevalent in areas where farmers are intensifying cultivation and adopting modern practices.</t>
  </si>
  <si>
    <t> high-end machinery via subscription or rental, reducing the financial burden on smaller farms</t>
  </si>
  <si>
    <t>EU</t>
  </si>
  <si>
    <r>
      <t xml:space="preserve">Digital agriculture and data integration are driving the </t>
    </r>
    <r>
      <rPr>
        <b/>
        <sz val="11"/>
        <color theme="1"/>
        <rFont val="Arial"/>
        <family val="2"/>
      </rPr>
      <t>UK</t>
    </r>
    <r>
      <rPr>
        <sz val="11"/>
        <color theme="1"/>
        <rFont val="Arial"/>
        <family val="2"/>
      </rPr>
      <t xml:space="preserve"> market growth.</t>
    </r>
  </si>
  <si>
    <r>
      <t xml:space="preserve">As global demand for sustainably produced, high-quality food continues to rise, </t>
    </r>
    <r>
      <rPr>
        <b/>
        <sz val="11"/>
        <color theme="1"/>
        <rFont val="Arial"/>
        <family val="2"/>
      </rPr>
      <t>German</t>
    </r>
    <r>
      <rPr>
        <sz val="11"/>
        <color theme="1"/>
        <rFont val="Arial"/>
        <family val="2"/>
      </rPr>
      <t xml:space="preserve"> farmers’ reliance on cutting-edge agricultural equipment</t>
    </r>
  </si>
  <si>
    <t>Notes from Mordor Intelligence</t>
  </si>
  <si>
    <t>Shrinking agricultural labor pool in developed and emerging economies</t>
  </si>
  <si>
    <t>making mechanization not merely an efficiency play but an operational necessity</t>
  </si>
  <si>
    <t>Rapid integration of precision-agriculture and IoT platforms</t>
  </si>
  <si>
    <t>Adoption spreads fastest in regions with high broadband penetration, but recent satellite connectivity pilots bridge gaps in rural coverage. Interoperability standards still lag, generating vendor lock-in that favors incumbents with end-to-end ecosystems.</t>
  </si>
  <si>
    <t>These switching costs anchor market position, allowing Original Equipment Manufacturers (OEMs) to extract higher lifetime value across equipment generations</t>
  </si>
  <si>
    <t>Escalating government subsidies and tax incentives for farm mechanization</t>
  </si>
  <si>
    <t>India’s Sub-Mission on Agricultural Mechanization underwrites up to 50% of the purchase cost</t>
  </si>
  <si>
    <t>US -USD 1.5 billion in 2024 specifically for climate-smart equipment.</t>
  </si>
  <si>
    <t>The agricultural machinery market thus experiences policy-driven segmentation in which compliance-ready models command premium pricing</t>
  </si>
  <si>
    <t>Expansion of contract-farming and equipment-as-a-service models</t>
  </si>
  <si>
    <t>Equipment-as-a-service platforms translate prohibitively high capital costs into manageable per-hour fees, unlocking advanced capabilities for smallholders.</t>
  </si>
  <si>
    <t>The agricultural machinery market thus expands its customer base to include service entrepreneurs</t>
  </si>
  <si>
    <t>Rising capital expenditure for high-end smart machines</t>
  </si>
  <si>
    <t>corporate farms modernize quickly while resource-limited growers postpone upgrades, widening yield differentials across farm sizes.</t>
  </si>
  <si>
    <t>Cyber-security and data-ownership concerns in connected equipment</t>
  </si>
  <si>
    <t>These risks create adoption hesitancy that tempers near-term growth in the agricultural machinery market for connected solutions.</t>
  </si>
  <si>
    <t>Geography Analysis</t>
  </si>
  <si>
    <t>Asia-Pacific retained a 35.40% agricultural machinery market share in 2024</t>
  </si>
  <si>
    <t>North America posts the fastest CAGR at 7.8% through 2030</t>
  </si>
  <si>
    <t>Africa and Asia show highest CAGR next</t>
  </si>
  <si>
    <t>United States skews toward high-horsepower segments</t>
  </si>
  <si>
    <t>Competitive Landscape</t>
  </si>
  <si>
    <t>Incumbents  underscore differentiation through bundled digital agronomy services that lock customers into proprietary ecosystems. Dealer networks evolve into data hubs, providing firmware updates and predictive maintenance that extend equipment life and recurring revenue.</t>
  </si>
  <si>
    <t>Notes from Bloomberg Intelligence - Global Agriculture Report</t>
  </si>
  <si>
    <t>Check this</t>
  </si>
  <si>
    <t>Ag Machinery Sales Declining: Large tractor and combine sales for Deere, CNH and AGCO are poised to drop 25% or more in North America, but Latin America could provide some offset if Brazil and Argentina grab export share from the US</t>
  </si>
  <si>
    <t xml:space="preserve">DE holding investor </t>
  </si>
  <si>
    <t>s Brazil to seize a bigger share of agricultural exports</t>
  </si>
  <si>
    <t>If true, what is DE strategy?</t>
  </si>
  <si>
    <t>4Q25: North American crop input sales decline year over year, portending weakness persisting into the first half of 2026</t>
  </si>
  <si>
    <t>Q26: North American large ag-equipment sales data will likely confirm weakness through 2026</t>
  </si>
  <si>
    <t>Brazil, Argentina, Paraguay, Uruguay, Canada and Russia, which account for 70% of global soybean exports, could hypothetically supplant the 22.1 million metric tons of soybeans the US shipped to China.</t>
  </si>
  <si>
    <t>A more contentious trade environment and further decoupling with China run the risk of a lower_x0002_for-longer agricultural-equipment cycle at Deere, CNH and AGCO if</t>
  </si>
  <si>
    <t>In North America, where large ag-machinery retail sales fell 16% last year, demand could drop 25- 30% in 2025 and remain relatively subdued in 2026.</t>
  </si>
  <si>
    <t>Deere and CNH are most exposed to North America, while AGCO generates 58% of revenue from Europe and the Middle East.</t>
  </si>
  <si>
    <t xml:space="preserve">Brazil will likely benefit from the Trump administration's trade policy, as China could increasingly rely on South American crops to displace US agricultural imports. </t>
  </si>
  <si>
    <t>CNH has the greatest exposure to South America vs. peers, at about 17% of consolidated 2024 revenue, down from 20% in 2022. South America represented more than 11% of AGCO revenue, followed by Deere’s 11%, as seen in Figure 12.</t>
  </si>
  <si>
    <t>Industry Growth Forecast</t>
  </si>
  <si>
    <t>Industry Index</t>
  </si>
  <si>
    <t>Market Size Agricultural Machinery Manufacturing</t>
  </si>
  <si>
    <t>Market Share</t>
  </si>
  <si>
    <t xml:space="preserve">Market Size Construction Equipment </t>
  </si>
  <si>
    <t>Market Size Forestry Machinery</t>
  </si>
  <si>
    <t>Market Size</t>
  </si>
  <si>
    <t>Industry Driver</t>
  </si>
  <si>
    <t>Description</t>
  </si>
  <si>
    <t>Porter's Five Forces</t>
  </si>
  <si>
    <t>AGRICULTURAL MACHINERY</t>
  </si>
  <si>
    <t>Labor Shortage Crisis &amp; Automation Demand</t>
  </si>
  <si>
    <t>Agricultural labor shortages are intensifying globally, with the US immigration restrictions are reducing farm labor availability, creating urgent demand for autonomous tractors, precision agriculture technology, and smart machinery to compensate for workforce gaps.</t>
  </si>
  <si>
    <t>Precision Agriculture &amp; Technology Integration</t>
  </si>
  <si>
    <t>The industry is experiencing a rush toward autonomous field operations, with connected machinery using IoT, AI, and data analytics to optimize crop yields and resource management. Farmers need GPS-guided equipment, variable rate technology, and data-driven decision systems to maximize productivity while reducing input costs amid challenging farm economics.</t>
  </si>
  <si>
    <t>Government Support &amp; Infrastructure Investment</t>
  </si>
  <si>
    <t>Government farm mechanization subsidies and climate-linked incentives are reinforcing equipment demand Industry. Farm aid resuming in 2026 will improve purchasing power. Additionally, sustainability regulations are pushing adoption of low-emission, electric, and precision equipment that reduces environmental impact.</t>
  </si>
  <si>
    <t>CONSTRUCTION EQUIPMENT</t>
  </si>
  <si>
    <t>Massive Infrastructure Spending &amp; Urbanization</t>
  </si>
  <si>
    <t>Government infrastructure investments are driving sustained demand, with the US Infrastructure Investment and Jobs Act providing multi-year disbursements for roads, bridges, and broadband, while data center construction creates additional specialized equipment needs. Rapid urbanization with over 80% of the US population in urban areas is fueling residential and commercial construction projects requiring earthmoving and material handling equipment.</t>
  </si>
  <si>
    <t>Rivalry Among Existing Competitors</t>
  </si>
  <si>
    <t>Threat of New Entrants</t>
  </si>
  <si>
    <t>FORESTRY EQUIPMENT</t>
  </si>
  <si>
    <t>Threat of Substitutes</t>
  </si>
  <si>
    <t xml:space="preserve">Sustainable Forest Management &amp; Bioenergy Demand </t>
  </si>
  <si>
    <t>Growing emphasis on sustainable forestry practices and renewable energy is driving adoption of advanced, eco-friendly machinery, with wood and biomass increasingly used for bioenergy production. Electric and hybrid forestry equipment featuring telematics, GPS systems, and autonomous capabilities is gaining market share as operators seek to minimize ecological impact while improving operational efficiency and meeting stricter environmental regulations</t>
  </si>
  <si>
    <t>Bargaining Power of Customers</t>
  </si>
  <si>
    <t>Bargaining Power of Suppliers</t>
  </si>
  <si>
    <t>Economies of scale</t>
  </si>
  <si>
    <t>Are relevant for this industry</t>
  </si>
  <si>
    <t>Statista</t>
  </si>
  <si>
    <t>Product differentiation</t>
  </si>
  <si>
    <t>Research by Farm Equipment find that 63% farmers were brand loyal in 2024</t>
  </si>
  <si>
    <t>Grand View Research</t>
  </si>
  <si>
    <t>Capital requirements</t>
  </si>
  <si>
    <t>Complicated, highly fractured supply, and large numbers required</t>
  </si>
  <si>
    <t>Mordor Intelligence</t>
  </si>
  <si>
    <t>Access to distribution channels</t>
  </si>
  <si>
    <t>DE has a vast expansioning dealer network</t>
  </si>
  <si>
    <t>Average</t>
  </si>
  <si>
    <t>Regulations</t>
  </si>
  <si>
    <t>Depending on region, various safety and now environmental regulations exist</t>
  </si>
  <si>
    <t>Switching costs</t>
  </si>
  <si>
    <t>Ecosystems are getting more and more integrated in developed countries</t>
  </si>
  <si>
    <t>ALAMO GROUP</t>
  </si>
  <si>
    <t>TEREX CORP</t>
  </si>
  <si>
    <t>AGCO CORP</t>
  </si>
  <si>
    <t>KOMATSU LTD-ADR</t>
  </si>
  <si>
    <t>KUBOTA CORP-ADR</t>
  </si>
  <si>
    <t>CNH INDUSTRIAL N</t>
  </si>
  <si>
    <t>DEERE &amp; CO</t>
  </si>
  <si>
    <t>CATTERPILLAR INC</t>
  </si>
  <si>
    <t>Number of suppliers</t>
  </si>
  <si>
    <t>Uniqueness</t>
  </si>
  <si>
    <t>Suppliers per firm differ vastly</t>
  </si>
  <si>
    <t>Switching Costs</t>
  </si>
  <si>
    <t>Honestly not sure</t>
  </si>
  <si>
    <t>Forward Integration</t>
  </si>
  <si>
    <t>Suppliers deliver specific parts, not whole sale products</t>
  </si>
  <si>
    <t>Construction Equipment Market (in Millions)</t>
  </si>
  <si>
    <t>CAGR</t>
  </si>
  <si>
    <t>Industry Importance</t>
  </si>
  <si>
    <t>Suppliers are mostly not restricted to this industry</t>
  </si>
  <si>
    <t>Econ Market Research</t>
  </si>
  <si>
    <t>Number of buyers</t>
  </si>
  <si>
    <t>I expect the number of buyers to decrease over time</t>
  </si>
  <si>
    <t>Global Market Insights</t>
  </si>
  <si>
    <t>Purchase size</t>
  </si>
  <si>
    <t>Again, larger and larger customers</t>
  </si>
  <si>
    <t>MMR</t>
  </si>
  <si>
    <t>Ecosystems are in place, with larger farmers it becomes more expensive to switch</t>
  </si>
  <si>
    <t>Price sensitivity</t>
  </si>
  <si>
    <t>Farmers operate on fine margins, they have the need for good prices</t>
  </si>
  <si>
    <t>Informed buyers</t>
  </si>
  <si>
    <t>They need to, and will become better as more consolidated</t>
  </si>
  <si>
    <t>Competitive Rivalry</t>
  </si>
  <si>
    <t>Number of competitors</t>
  </si>
  <si>
    <t>Picking medium, don´t know how to evaluate yet</t>
  </si>
  <si>
    <t>Industry growth</t>
  </si>
  <si>
    <t>A CAGR around 4% for well established industries seem relatively high</t>
  </si>
  <si>
    <t>Similarities in what's offered</t>
  </si>
  <si>
    <t>Competiton offer relatively similar equipment</t>
  </si>
  <si>
    <t>Exit barriers</t>
  </si>
  <si>
    <t>Large factories and wide networks make this harder to exit</t>
  </si>
  <si>
    <t>Notes</t>
  </si>
  <si>
    <t>Fixed costs</t>
  </si>
  <si>
    <t>Probably getting higher, exposed to steel prices</t>
  </si>
  <si>
    <t>Recent Industry Developments</t>
  </si>
  <si>
    <t>Relative price performance</t>
  </si>
  <si>
    <t>Not including, doesn´t seem helpful for whole industry</t>
  </si>
  <si>
    <t>January 2025: John Deere unveiled its next-generation autonomous tillage system featuring 16 cameras and advanced AI processing capabilities, enabling fully autonomous field operations without human oversight. The system represents a significant advancement in agricultural automation and positions Deere at the forefront of autonomous farming technology development.</t>
  </si>
  <si>
    <t>Customer willingness to go elsewhere</t>
  </si>
  <si>
    <t xml:space="preserve">Products are increasingly part of larger ecosystem, making it more costly to switch </t>
  </si>
  <si>
    <t>The sense that products are similar</t>
  </si>
  <si>
    <t>Availability of close substitutes</t>
  </si>
  <si>
    <t>Source: https://www.mordorintelligence.com/industry-reports/agricultural-machinery-market</t>
  </si>
  <si>
    <t>Underlying Farming Issues</t>
  </si>
  <si>
    <t xml:space="preserve">Currently, US farmers ( DE biggest customer), are struggling with the effect of Tariffs and a hold on Government Aid. China´s soybeans import has transitioned to Brazil. In 2026 Government Aid should be coming back to farming. In the next period a portion of small farms will be most likely be consolidated by bigger farms, as right now small farms have less capital to winter the storm. On top of that, the Trump admin is cracking down on immigration, and `surprisingly` there is less labour available for farms. </t>
  </si>
  <si>
    <t>Innovation</t>
  </si>
  <si>
    <t xml:space="preserve">Less labourers and governmental restrictions due to climate issues create the need for smarter and autonomous vehicles. </t>
  </si>
  <si>
    <t>Current</t>
  </si>
  <si>
    <t>% of</t>
  </si>
  <si>
    <t>Enterprise Value /</t>
  </si>
  <si>
    <t>LTM</t>
  </si>
  <si>
    <t>Net</t>
  </si>
  <si>
    <t>Price /</t>
  </si>
  <si>
    <t>Share</t>
  </si>
  <si>
    <t>52-week</t>
  </si>
  <si>
    <t>Equity</t>
  </si>
  <si>
    <t>Enterprise</t>
  </si>
  <si>
    <t>2025E</t>
  </si>
  <si>
    <t>2026E</t>
  </si>
  <si>
    <t>EBITDA</t>
  </si>
  <si>
    <t>Debt /</t>
  </si>
  <si>
    <t>EPS</t>
  </si>
  <si>
    <t>Company</t>
  </si>
  <si>
    <t>Price</t>
  </si>
  <si>
    <t>High</t>
  </si>
  <si>
    <t>Value</t>
  </si>
  <si>
    <t>Sales</t>
  </si>
  <si>
    <t>EBIT</t>
  </si>
  <si>
    <t>Margin</t>
  </si>
  <si>
    <t>Growth</t>
  </si>
  <si>
    <t>AGCO US</t>
  </si>
  <si>
    <t>CAT US</t>
  </si>
  <si>
    <t>CNH US</t>
  </si>
  <si>
    <t>TEX US</t>
  </si>
  <si>
    <t>ALG US</t>
  </si>
  <si>
    <t>KUBTY US</t>
  </si>
  <si>
    <t>KMTUY US</t>
  </si>
  <si>
    <t>Mean</t>
  </si>
  <si>
    <t>Median</t>
  </si>
  <si>
    <t>Overall</t>
  </si>
  <si>
    <t>Low</t>
  </si>
  <si>
    <t>Peers</t>
  </si>
  <si>
    <t>Revenue (LTM)</t>
  </si>
  <si>
    <t>X</t>
  </si>
  <si>
    <t>Revenue (3-yr CAGR)</t>
  </si>
  <si>
    <t>Gross profit (LTM)</t>
  </si>
  <si>
    <t>EBIT (LTM)</t>
  </si>
  <si>
    <t>EBITDA (LTM)</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</si>
  <si>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</si>
  <si>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</si>
  <si>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</si>
  <si>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</si>
  <si>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</si>
  <si>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</si>
  <si>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</si>
  <si>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</si>
  <si>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</si>
  <si>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</si>
  <si>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</si>
  <si>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</si>
  <si>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</si>
  <si>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</si>
  <si>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</si>
  <si>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</si>
  <si>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</si>
  <si>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</si>
  <si>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</si>
  <si>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</si>
  <si>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</si>
  <si>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</si>
  <si>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</si>
  <si>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</si>
  <si>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</si>
  <si>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</si>
  <si>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</si>
  <si>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</si>
  <si>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</si>
  <si>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</si>
  <si>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</si>
  <si>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</si>
  <si>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</si>
  <si>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</si>
  <si>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</si>
  <si>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</si>
  <si>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</si>
  <si>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</si>
  <si>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</si>
  <si>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</si>
  <si>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</si>
  <si>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</si>
  <si>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</si>
  <si>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</si>
  <si>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</si>
  <si>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</si>
  <si>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</si>
  <si>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</si>
  <si>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</si>
  <si>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</si>
  <si>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</si>
  <si>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</si>
  <si>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</si>
  <si>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</si>
  <si>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</si>
  <si>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</si>
  <si>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</si>
  <si>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</si>
  <si>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</si>
  <si>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</si>
  <si>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</si>
  <si>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</si>
  <si>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</si>
  <si>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</si>
  <si>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</si>
  <si>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</si>
  <si>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</si>
  <si>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16.1</t>
  </si>
  <si>
    <t>ISS ESG Corporate Rating</t>
  </si>
  <si>
    <t>B-</t>
  </si>
  <si>
    <t xml:space="preserve">   SDG Impact Rating</t>
  </si>
  <si>
    <t>1.9</t>
  </si>
  <si>
    <t xml:space="preserve">   Governance Quality Score</t>
  </si>
  <si>
    <t>MSCI ESG Ratings</t>
  </si>
  <si>
    <t>AA</t>
  </si>
  <si>
    <t>Key Info</t>
  </si>
  <si>
    <t>Environmental</t>
  </si>
  <si>
    <t>Overview</t>
  </si>
  <si>
    <t>Targets</t>
  </si>
  <si>
    <t>Improvements</t>
  </si>
  <si>
    <t>Comments</t>
  </si>
  <si>
    <t>GICS Sector</t>
  </si>
  <si>
    <t>Industrials</t>
  </si>
  <si>
    <t>GHG Scope 1 Emissions</t>
  </si>
  <si>
    <t>Reduce 50% operational CO2 emissions (Scope 1 &amp; 2) by 2030</t>
  </si>
  <si>
    <t>A 29% reduction in Scope 1and 2 emissions by 2024</t>
  </si>
  <si>
    <t>Progress is ahead of schedule towards an ambitious, SBTi-validated goal. A portion of the reduction is attributed to lower production volumes.</t>
  </si>
  <si>
    <t>GICS Industry Group</t>
  </si>
  <si>
    <t>Machinery</t>
  </si>
  <si>
    <t>GICS Industry</t>
  </si>
  <si>
    <t>Industrial Machinery &amp; Equipment</t>
  </si>
  <si>
    <t>Water Consumption</t>
  </si>
  <si>
    <t>Reduce 10% of freshwater consumption intensity at water stressed manufacturing locations by 2030</t>
  </si>
  <si>
    <t>N/A</t>
  </si>
  <si>
    <t>Performance is consistently moving in the opposite direction of the time-bound goal, indicating a significant operational challenge.</t>
  </si>
  <si>
    <t>GICS Sub-Industry</t>
  </si>
  <si>
    <t xml:space="preserve"> Construction &amp; Farm Machinery</t>
  </si>
  <si>
    <t>Energy Consumption</t>
  </si>
  <si>
    <t>Implicit in GHG reduction goals, not a standalone target</t>
  </si>
  <si>
    <t>Renewable electricity accounts for 65% of total eletctricity in 2024, up from 59% in 2022</t>
  </si>
  <si>
    <t>Demonstrates strong, consistent progress in transitioning to renewable sources. Strategic investments and acquisitions underpin this progress.</t>
  </si>
  <si>
    <t>Headquarters</t>
  </si>
  <si>
    <t>Moline, Illinois, United States</t>
  </si>
  <si>
    <t>Number of Employees</t>
  </si>
  <si>
    <t>Waste Management</t>
  </si>
  <si>
    <t>Reduce 15% waste intensity by 2030</t>
  </si>
  <si>
    <t>A 6% increase in waste intensity by 2024. But, it's showing a consistent year-over-year decrease</t>
  </si>
  <si>
    <t>While not yet vellow the 2021 baseline, the company is on a postive trajectory. Execution has not yet matched the stated ambition.</t>
  </si>
  <si>
    <t>Annual Report</t>
  </si>
  <si>
    <t>January 10 2025</t>
  </si>
  <si>
    <t>Reduce 30% Scope 3 emissions; Reduce 15% customer CO2 emissons; Grow remanufacturing revenuy by 50%; Achieve 95% recycable content</t>
  </si>
  <si>
    <t>A 19% reduction in Scope 3 emissions; A 5% reduction in costumer emissons; A 2% growth in remanufacturing revenue; A 92% recycable product content</t>
  </si>
  <si>
    <t>The strategy adresses the most significant part of the footprint. Progress is strong but inconsistent, with remanufacturing lagging significantly.</t>
  </si>
  <si>
    <t>Sustainability Report</t>
  </si>
  <si>
    <t>January 16 2025</t>
  </si>
  <si>
    <t>Recent Headlines</t>
  </si>
  <si>
    <t>Social</t>
  </si>
  <si>
    <t>Product Safety Recall and Lawsuit in September and October 2024</t>
  </si>
  <si>
    <t>Employee Turnover %</t>
  </si>
  <si>
    <t xml:space="preserve">Increased to 14.2% in 2024, up from 13.2% in 2023.   
</t>
  </si>
  <si>
    <t xml:space="preserve">This rate, while increasing, remains significantly lower than the manufacturing industry average of 28.6%. The company saw a reduction of 7,200 employees in 2024.   
</t>
  </si>
  <si>
    <t>Racial and Age Discrimination Claims in June and July 2024</t>
  </si>
  <si>
    <t>John Deere Employees Raise Over $200K for Flood Relief</t>
  </si>
  <si>
    <t>Salaries &amp; Compensation</t>
  </si>
  <si>
    <t xml:space="preserve">The Compensation Committee aims to align compensation with the company's strategic priorities and performance. </t>
  </si>
  <si>
    <t>Executive compensation increased in 2024 .</t>
  </si>
  <si>
    <t>The CEO's total compensation was $27.80M in 2024, up 4.04% from 2023. This contrasts with ongoing layoffs and a lawsuit alleging that older, more expensive employees were targeted for job cuts.</t>
  </si>
  <si>
    <t>Brock Purdy and "Tractor Kid" Team Up with Deere to Fight Hunger</t>
  </si>
  <si>
    <t>Federal Judge Rules Deere Must Face "Right to Repair" Antitrust Lawsuit</t>
  </si>
  <si>
    <t>Reputation</t>
  </si>
  <si>
    <t xml:space="preserve">The company's reputation is under pressure from layoffs product recalls and high-profile lawsuits, including an antitrust case over its "Right to Repair" policies. Customer loyalty, as measured by NPS, ranks below key competitors.   </t>
  </si>
  <si>
    <t>Shareholder Vote down on DEI and Sustainability, February 2025</t>
  </si>
  <si>
    <t>Layoffs and Declining Sales</t>
  </si>
  <si>
    <t>Discrimination Events</t>
  </si>
  <si>
    <t xml:space="preserve">N/A </t>
  </si>
  <si>
    <t xml:space="preserve">The company settled for $1.1M with the Department of Labor over allegations of racial discrimination against 277 Black and Hispanic job applicants. </t>
  </si>
  <si>
    <t xml:space="preserve">John Deere Launches Enhanced Digital Self-Repair Tool
</t>
  </si>
  <si>
    <t>John Deere Reman Announces $13.5M Expansion</t>
  </si>
  <si>
    <t>Work Safety</t>
  </si>
  <si>
    <t>Reduce the Total Recordable Incident Rate (TRIR) by 20% by 2026</t>
  </si>
  <si>
    <t xml:space="preserve">Improved to 1.69 in 2024 from 2.08 in 2023. Representing a 15% decrease from the 2021 baseline.
</t>
  </si>
  <si>
    <t xml:space="preserve">This rate is better than the national average for the goods-producing sector of 2.7, indicating an effective internal safety management system. The company's fatality rate was 0.000 in 2024.   
</t>
  </si>
  <si>
    <t>John Deere Launches Enhanced Digital Self-Repair Tool</t>
  </si>
  <si>
    <t>Damage to consumer health</t>
  </si>
  <si>
    <t>A class-action lawsuit was filed in October 2024 over a brake system defect in certain tractors that caused a recall and led to injuries, including a hospitalization. The suit alleges the recall is "repeatedly ineffective."</t>
  </si>
  <si>
    <t>Pension Plan</t>
  </si>
  <si>
    <t>Deere offers both a defined contribution (401k) and a two-tiered pension plan for wage employees. The two-tiered system was a key point of contention during the 2021 UAW strike.</t>
  </si>
  <si>
    <t>Supply chain</t>
  </si>
  <si>
    <t xml:space="preserve">Increased the number of supplier compliance audits to 1,902 in 2024, up from 1,468 in 2023.   
</t>
  </si>
  <si>
    <t xml:space="preserve">The company uses a multi-layered risk management process, including financial and human rights assessments, and requires suppliers to engage in third-party sustainability assessments. </t>
  </si>
  <si>
    <t>Community involvement</t>
  </si>
  <si>
    <t xml:space="preserve">The company contributed a record $61.7M in 2024, and employees volunteered a record 342,015 hours, a 31% increase.   
</t>
  </si>
  <si>
    <t xml:space="preserve">The John Deere Foundation has a long-term commitment of $200M over a decade to support communities. The company has been recognized as one of the top community-minded companies in the U.S.   
</t>
  </si>
  <si>
    <t>Public Sector</t>
  </si>
  <si>
    <t xml:space="preserve">The company openly discloses its political contributions and engages in policy discussions related to its business interests, such as renewable fuels and precision agriculture.   
</t>
  </si>
  <si>
    <t>Litigation</t>
  </si>
  <si>
    <t>The company is involved in a major antitrust lawsuit challenging its "Right to Repair" policies and a class-action lawsuit over a product safety recall, in addition to a racial discrimination settlement.</t>
  </si>
  <si>
    <t>Board of Directors</t>
  </si>
  <si>
    <t>Governance</t>
  </si>
  <si>
    <t>Name</t>
  </si>
  <si>
    <t>Position</t>
  </si>
  <si>
    <t>M/F  – Age</t>
  </si>
  <si>
    <t>John C. May</t>
  </si>
  <si>
    <t>Chairman and CEO</t>
  </si>
  <si>
    <t>M - 55</t>
  </si>
  <si>
    <t>Diversity (Gender, Age, Industry, Region)</t>
  </si>
  <si>
    <t>The percentage of women in senior management increased from 25% in 2023 to 28.8% in 2024, while Black or African American representation in senior management increased from 13.9% to 18.8% in the same period.</t>
  </si>
  <si>
    <t>Leane G. Caret</t>
  </si>
  <si>
    <t>Director</t>
  </si>
  <si>
    <t>F - 58</t>
  </si>
  <si>
    <t>Tami/Tamra A. Erwin</t>
  </si>
  <si>
    <t>F - 60</t>
  </si>
  <si>
    <t>% Independence</t>
  </si>
  <si>
    <t xml:space="preserve">The Board of Directors has 9 independent directors out of 10 total members, representing approximately 90% independence.   
</t>
  </si>
  <si>
    <t xml:space="preserve">This exceeds the NYSE requirement that a majority of the board be independent. 
</t>
  </si>
  <si>
    <t xml:space="preserve">R. Preston Feight </t>
  </si>
  <si>
    <t>M - 57</t>
  </si>
  <si>
    <t>Alan C. Heuberger</t>
  </si>
  <si>
    <t>M - 51</t>
  </si>
  <si>
    <t>Average time as independent directors</t>
  </si>
  <si>
    <t xml:space="preserve">The average tenure for the Board of Directors is 7.4 years. </t>
  </si>
  <si>
    <t xml:space="preserve">Individual tenures range from less than one year to over 12 years. This metric is not available in the company’s own reports and is sourced from third-party data.   
</t>
  </si>
  <si>
    <t>L. Neil Hunn</t>
  </si>
  <si>
    <t>M - 53</t>
  </si>
  <si>
    <t>Michael O. Johanns</t>
  </si>
  <si>
    <t>M - 75</t>
  </si>
  <si>
    <t>Departures of C-level executives</t>
  </si>
  <si>
    <t>In September 2025, there were key leadership changes, including reassignments for three presidents: Deanna Kovar, Justin Rose, and Cory Reed.</t>
  </si>
  <si>
    <t xml:space="preserve">There were reassignments to new roles rather than departures from the company, intended to advance the "Smart Industrial Strategy." </t>
  </si>
  <si>
    <t>Dmiti L. Stockton</t>
  </si>
  <si>
    <t>M - 61</t>
  </si>
  <si>
    <t>Gregory R. Page</t>
  </si>
  <si>
    <t>M - 73</t>
  </si>
  <si>
    <t>CEO/Chairman duality</t>
  </si>
  <si>
    <t>John C. May serves as both Chairman of the Board and CEO. The company's policy states that a separate Chairman is "unnecessary in normal circumstances."</t>
  </si>
  <si>
    <t>Sheila G. Talton</t>
  </si>
  <si>
    <t>F - 72</t>
  </si>
  <si>
    <t>Transparency when reporting</t>
  </si>
  <si>
    <t>The company publishes its sustainability report, annual reports, and proxy statements online.</t>
  </si>
  <si>
    <t>This level of reporting is timely and aligns with best practices. The company also aligns its disclosures with major frameworks like TCFD, SASB, and GRI.</t>
  </si>
  <si>
    <t>Time taken to report</t>
  </si>
  <si>
    <t>The 2024 Annual Report and 2025 Proxy Statement were published in January 2025, approximately 2.5 months after the fiscal year end of October 27, 2024.</t>
  </si>
  <si>
    <t>CEO or Chairman in other boards?</t>
  </si>
  <si>
    <t>CEO John C. May is a member of the board of Ford Motor Company, the Business Roundtable, and the Council on Competitiveness. Several other independent directors also hold CEO or C-level positions at other companies.  </t>
  </si>
  <si>
    <t>Audit / Consulting</t>
  </si>
  <si>
    <t xml:space="preserve">N/A  </t>
  </si>
  <si>
    <t xml:space="preserve">Tax fees paid to the independent auditor decreased by 81.6% from $250,000 in 2023 to $46,000 in 2024.  
</t>
  </si>
  <si>
    <t xml:space="preserve">Total fees paid to Deloitte &amp; Touche LLP were $24.004M in 2024, with non-audit services making up a small percentage. The significant reduction in tax-related fees strengthens auditor independence. </t>
  </si>
  <si>
    <t>ESG-compensation related</t>
  </si>
  <si>
    <t>While the company states it considers sustainability, the metrics for this are not explicitly tied to quantitative ESG targets like emissions reductions, but rather to a qualitative assessment.</t>
  </si>
  <si>
    <t>Management compensation schemes</t>
  </si>
  <si>
    <t xml:space="preserve">A significant portion of executive compensation is tied to stock awards, aligning pay with shareholder value. This is a potential risk to be monitored.   
</t>
  </si>
  <si>
    <t>Rolling WACC</t>
  </si>
  <si>
    <t>Equity Risk Premium</t>
  </si>
  <si>
    <t>Weights</t>
  </si>
  <si>
    <t>ERP</t>
  </si>
  <si>
    <t>Equity:</t>
  </si>
  <si>
    <r>
      <t>Market Cap</t>
    </r>
    <r>
      <rPr>
        <sz val="9"/>
        <color rgb="FF000000"/>
        <rFont val="Arial Nova"/>
        <family val="2"/>
      </rPr>
      <t xml:space="preserve"> </t>
    </r>
    <r>
      <rPr>
        <i/>
        <sz val="9"/>
        <color rgb="FF000000"/>
        <rFont val="Arial Nova"/>
        <family val="2"/>
      </rPr>
      <t>(in billions)</t>
    </r>
  </si>
  <si>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</si>
  <si>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</si>
  <si>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</si>
  <si>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</si>
  <si>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</si>
  <si>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</si>
  <si>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</si>
  <si>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</si>
  <si>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</si>
  <si>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</si>
  <si>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</si>
  <si>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</si>
  <si>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</si>
  <si>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</si>
  <si>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</si>
  <si>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</si>
  <si>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</si>
  <si>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</si>
  <si>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</si>
  <si>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</si>
  <si>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</si>
  <si>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</si>
  <si>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</si>
  <si>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</si>
  <si>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</si>
  <si>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Market Assumptions</t>
  </si>
  <si>
    <t>FCFF</t>
  </si>
  <si>
    <t>Revenue Growth</t>
  </si>
  <si>
    <t>Revenue</t>
  </si>
  <si>
    <t>Operating Assumptions</t>
  </si>
  <si>
    <t>Income Statement</t>
  </si>
  <si>
    <t>% of growth</t>
  </si>
  <si>
    <t>Cost of Goods &amp; Services</t>
  </si>
  <si>
    <t>% of sales</t>
  </si>
  <si>
    <t>COGS Depreciation &amp; Amortization</t>
  </si>
  <si>
    <t>% of cost of goods &amp; services</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</si>
  <si>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</si>
  <si>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</si>
  <si>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</si>
  <si>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</si>
  <si>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</si>
  <si>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</si>
  <si>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</si>
  <si>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</si>
  <si>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</si>
  <si>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</si>
  <si>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</si>
  <si>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</si>
  <si>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</si>
  <si>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</si>
  <si>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</si>
  <si>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</si>
  <si>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</si>
  <si>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</si>
  <si>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</si>
  <si>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</si>
  <si>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</si>
  <si>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</si>
  <si>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</si>
  <si>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</si>
  <si>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</si>
  <si>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</si>
  <si>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</si>
  <si>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</si>
  <si>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</si>
  <si>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</si>
  <si>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</si>
  <si>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</si>
  <si>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</si>
  <si>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</si>
  <si>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</si>
  <si>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</si>
  <si>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</si>
  <si>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</si>
  <si>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</si>
  <si>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</si>
  <si>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</si>
  <si>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</si>
  <si>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</si>
  <si>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</si>
  <si>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</si>
  <si>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</si>
  <si>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</si>
  <si>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</si>
  <si>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</si>
  <si>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</si>
  <si>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</si>
  <si>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</si>
  <si>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</si>
  <si>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</si>
  <si>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</si>
  <si>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</si>
  <si>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</si>
  <si>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</si>
  <si>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implied equity value (p/s multiple)</t>
  </si>
  <si>
    <t>implied share price (for dilution)</t>
  </si>
  <si>
    <t>sbc dilution (shares issued)</t>
  </si>
  <si>
    <t>Changes in Net Working Capital</t>
  </si>
  <si>
    <t>% of change in sales</t>
  </si>
  <si>
    <t>Capital Expenditures</t>
  </si>
  <si>
    <t>Proceeds from Asset Disposals</t>
  </si>
  <si>
    <t>% of revenue</t>
  </si>
  <si>
    <t>Dividends</t>
  </si>
  <si>
    <t>% of NOPAT</t>
  </si>
  <si>
    <t>Repurchase of Stock</t>
  </si>
  <si>
    <t>Repurchase since 3Q25</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</si>
  <si>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</si>
  <si>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</si>
  <si>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</si>
  <si>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</si>
  <si>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</si>
  <si>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</si>
  <si>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</si>
  <si>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</si>
  <si>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</si>
  <si>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</si>
  <si>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</si>
  <si>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</si>
  <si>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</si>
  <si>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</si>
  <si>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Revenue Exit</t>
  </si>
  <si>
    <t>EBITDA Exit Multiple</t>
  </si>
  <si>
    <t>Revenue Exit Multiple</t>
  </si>
  <si>
    <t>Gordon's Growth Model</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</si>
  <si>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</si>
  <si>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</si>
  <si>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</si>
  <si>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</si>
  <si>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</si>
  <si>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</si>
  <si>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</si>
  <si>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</si>
  <si>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</si>
  <si>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</si>
  <si>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</si>
  <si>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</si>
  <si>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</si>
  <si>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</si>
  <si>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</si>
  <si>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</si>
  <si>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Key Assumptions</t>
  </si>
  <si>
    <t>Entry</t>
  </si>
  <si>
    <t>Capital Structure</t>
  </si>
  <si>
    <t>Interest</t>
  </si>
  <si>
    <t>Weight</t>
  </si>
  <si>
    <t>Amount</t>
  </si>
  <si>
    <t>LTM EBITDA</t>
  </si>
  <si>
    <t>Revolver</t>
  </si>
  <si>
    <t>Entry Multiple</t>
  </si>
  <si>
    <t>Bank Loan</t>
  </si>
  <si>
    <t>Enterprise Value</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</si>
  <si>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</si>
  <si>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</si>
  <si>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</si>
  <si>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</si>
  <si>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</si>
  <si>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</si>
  <si>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</si>
  <si>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</si>
  <si>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</si>
  <si>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</si>
  <si>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</si>
  <si>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</si>
  <si>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</si>
  <si>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</si>
  <si>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</si>
  <si>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</si>
  <si>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</si>
  <si>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</si>
  <si>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</si>
  <si>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Net Interest (Income) Expense</t>
  </si>
  <si>
    <t>Pre-tax income</t>
  </si>
  <si>
    <t>Income tax expenses (benefits)</t>
  </si>
  <si>
    <t>% tax rate</t>
  </si>
  <si>
    <t>Net income</t>
  </si>
  <si>
    <t>Intangibles excl. Goodwill</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</si>
  <si>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</si>
  <si>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</si>
  <si>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</si>
  <si>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</si>
  <si>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</si>
  <si>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</si>
  <si>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</si>
  <si>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</si>
  <si>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</si>
  <si>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</si>
  <si>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</si>
  <si>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</si>
  <si>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</si>
  <si>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</si>
  <si>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</si>
  <si>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</si>
  <si>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Monte-Carlo Simulations</t>
  </si>
  <si>
    <t>Tornado Chart – Effect on Price Target</t>
  </si>
  <si>
    <t>Reference Price Target</t>
  </si>
  <si>
    <t>Base Price Target</t>
  </si>
  <si>
    <t>Reference</t>
  </si>
  <si>
    <t>Gordon PT</t>
  </si>
  <si>
    <t>Base Gordon PT</t>
  </si>
  <si>
    <t>EBITDA PT</t>
  </si>
  <si>
    <t>Base EBITDA PT</t>
  </si>
  <si>
    <t>Revenue PT</t>
  </si>
  <si>
    <t>Base Revenue PT</t>
  </si>
  <si>
    <t>Δ</t>
  </si>
  <si>
    <t>Δ Applied</t>
  </si>
  <si>
    <t>PT Low</t>
  </si>
  <si>
    <t>PT High</t>
  </si>
  <si>
    <t>Δ Low</t>
  </si>
  <si>
    <t>Δ High</t>
  </si>
  <si>
    <t>Max</t>
  </si>
  <si>
    <t>Capex Intensity</t>
  </si>
  <si>
    <t>COGS Margin</t>
  </si>
  <si>
    <t>SG&amp;A Margin</t>
  </si>
  <si>
    <t>Terminal g</t>
  </si>
  <si>
    <t>EBITDA Exit</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</si>
  <si>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</si>
  <si>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</si>
  <si>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</si>
  <si>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</si>
  <si>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</si>
  <si>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</si>
  <si>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</si>
  <si>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</si>
  <si>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</si>
  <si>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</si>
  <si>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</si>
  <si>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</si>
  <si>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</si>
  <si>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</si>
  <si>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</si>
  <si>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</si>
  <si>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</si>
  <si>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</si>
  <si>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</si>
  <si>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</si>
  <si>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</si>
  <si>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</si>
  <si>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</si>
  <si>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</si>
  <si>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</si>
  <si>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</si>
  <si>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</si>
  <si>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</si>
  <si>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</si>
  <si>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</si>
  <si>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</si>
  <si>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</si>
  <si>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</si>
  <si>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</si>
  <si>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</si>
  <si>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</si>
  <si>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</si>
  <si>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</si>
  <si>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</si>
  <si>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</si>
  <si>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</si>
  <si>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</si>
  <si>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</si>
  <si>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</si>
  <si>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</si>
  <si>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</si>
  <si>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</si>
  <si>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</si>
  <si>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</si>
  <si>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</si>
  <si>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</si>
  <si>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</si>
  <si>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</si>
  <si>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</si>
  <si>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</si>
  <si>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</si>
  <si>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</si>
  <si>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</si>
  <si>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</si>
  <si>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</si>
  <si>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</si>
  <si>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</si>
  <si>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</si>
  <si>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</si>
  <si>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</si>
  <si>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</si>
  <si>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</si>
  <si>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</si>
  <si>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</si>
  <si>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</si>
  <si>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</si>
  <si>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</si>
  <si>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</si>
  <si>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</si>
  <si>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</si>
  <si>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</si>
  <si>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Debt</t>
  </si>
  <si>
    <t>% of debt</t>
  </si>
  <si>
    <t>Debt/EBITDA</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</si>
  <si>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</si>
  <si>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</si>
  <si>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</si>
  <si>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</si>
  <si>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</si>
  <si>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</si>
  <si>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</si>
  <si>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</si>
  <si>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</si>
  <si>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</si>
  <si>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</si>
  <si>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</si>
  <si>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</si>
  <si>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</si>
  <si>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</si>
  <si>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</si>
  <si>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</si>
  <si>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</si>
  <si>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</si>
  <si>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</si>
  <si>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</si>
  <si>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</si>
  <si>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</si>
  <si>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</si>
  <si>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</si>
  <si>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</si>
  <si>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</si>
  <si>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</si>
  <si>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</si>
  <si>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 xml:space="preserve"> </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</si>
  <si>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</si>
  <si>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</si>
  <si>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</si>
  <si>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</si>
  <si>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</si>
  <si>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</si>
  <si>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</si>
  <si>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</si>
  <si>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</si>
  <si>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</si>
  <si>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</si>
  <si>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</si>
  <si>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</si>
  <si>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NASDAQ 100 STOCK INDX</t>
  </si>
  <si>
    <t>NDX Index</t>
  </si>
  <si>
    <t>FORMAT</t>
  </si>
  <si>
    <t>MLN</t>
  </si>
  <si>
    <t>(+) Preferred Stock Market Capitalization</t>
  </si>
  <si>
    <t>EV / EBITDA</t>
  </si>
  <si>
    <t>CES2023700001</t>
  </si>
  <si>
    <t>USECCIVL Index</t>
  </si>
  <si>
    <t>AGCO US Equity</t>
  </si>
  <si>
    <t>CAT US Equity</t>
  </si>
  <si>
    <t>CNH US Equity</t>
  </si>
  <si>
    <t>TEX US Equity</t>
  </si>
  <si>
    <t>ALG US Equity</t>
  </si>
  <si>
    <t>KUBTY US Equity</t>
  </si>
  <si>
    <t>KMTUY US Equity</t>
  </si>
  <si>
    <t>TICKER</t>
  </si>
  <si>
    <t>DE US Equity</t>
  </si>
  <si>
    <t>(+) Non-controlling Interest</t>
  </si>
  <si>
    <t>P / E</t>
  </si>
  <si>
    <t>PREFERRED TICKER</t>
  </si>
  <si>
    <t>(+) Total Debt</t>
  </si>
  <si>
    <t>P / Sales</t>
  </si>
  <si>
    <t>Peers Formatting</t>
  </si>
  <si>
    <t>Year-end</t>
  </si>
  <si>
    <t>10/2024</t>
  </si>
  <si>
    <t>(-) Cash &amp; Cash Equivalents &amp; Short-term Investments</t>
  </si>
  <si>
    <t>Quarter-end</t>
  </si>
  <si>
    <t>07/25</t>
  </si>
  <si>
    <t>Tier I Peers</t>
  </si>
  <si>
    <t>Stock Returns vs Peers</t>
  </si>
  <si>
    <t>Out. Shares</t>
  </si>
  <si>
    <t>Market Cap</t>
  </si>
  <si>
    <t>Price / Sales</t>
  </si>
  <si>
    <t>Operating Income</t>
  </si>
  <si>
    <t>Capex</t>
  </si>
  <si>
    <t>Debt to Equity</t>
  </si>
  <si>
    <t>Operating Margin</t>
  </si>
  <si>
    <t>ROIC-to-WACC</t>
  </si>
  <si>
    <t>Capex-to-Sales</t>
  </si>
  <si>
    <t>Environmental Data</t>
  </si>
  <si>
    <t>GHG_SCOPE_1</t>
  </si>
  <si>
    <t>CATERPILLAR INC</t>
  </si>
  <si>
    <t>#N/A</t>
  </si>
  <si>
    <t>ENERGY_CONSUMPTION</t>
  </si>
  <si>
    <t>WATER_CONSMPTN</t>
  </si>
  <si>
    <t>Total Waste</t>
  </si>
  <si>
    <t>TOTAL_WASTE</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</si>
  <si>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</si>
  <si>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</si>
  <si>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</si>
  <si>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</si>
  <si>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</si>
  <si>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</si>
  <si>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</si>
  <si>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</si>
  <si>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</si>
  <si>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</si>
  <si>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</si>
  <si>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</si>
  <si>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</si>
  <si>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</si>
  <si>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</si>
  <si>
    <t>Price (USD)</t>
  </si>
  <si>
    <t>l63823@aln.iseg.ulisboa.pt</t>
  </si>
  <si>
    <t>Tomás Reis,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</si>
</sst>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0.00\ &quot;€&quot;_-;\-* #,##0.00\ &quot;€&quot;_-;_-* &quot;-&quot;??\ &quot;€&quot;_-;_-@_-"/>
    <numFmt numFmtId="164" formatCode="0&quot;A&quot;"/>
    <numFmt numFmtId="165" formatCode="0&quot;E&quot;"/>
    <numFmt numFmtId="166" formatCode="_-* #,##0.00\ _€_-;\-* #,##0.00\ _€_-;_-* &quot;-&quot;??\ _€_-;_-@_-"/>
    <numFmt numFmtId="167" formatCode="0.0%"/>
    <numFmt numFmtId="168" formatCode="_(* #,##0_);_(* \(#,##0\);_(* &quot;-&quot;??_);_(@_)"/>
    <numFmt numFmtId="169" formatCode="0.0"/>
    <numFmt numFmtId="170" formatCode="_-[$₩-412]* #,##0_-;\-[$₩-412]* #,##0_-;_-[$₩-412]* &quot;-&quot;_-;_-@_-"/>
    <numFmt numFmtId="171" formatCode="0.0&quot;x&quot;"/>
    <numFmt numFmtId="172" formatCode="0.0\x"/>
    <numFmt numFmtId="173" formatCode="m/d/yy;@"/>
    <numFmt numFmtId="174" formatCode="#,##0.0_);\(#,##0.0\)"/>
    <numFmt numFmtId="175" formatCode="#,#00"/>
    <numFmt numFmtId="176" formatCode="#,#00.00"/>
    <numFmt numFmtId="177" formatCode="yyyy\-mm\-dd;@"/>
    <numFmt numFmtId="178" formatCode="#,##0_ ;\-#,##0\ "/>
    <numFmt numFmtId="179" formatCode="_-* #,##0\ _€_-;\-* #,##0\ _€_-;_-* &quot;-&quot;??\ _€_-;_-@_-"/>
    <numFmt numFmtId="180" formatCode="_-[$$-409]* #,##0.00_ ;_-[$$-409]* \-#,##0.00\ ;_-[$$-409]* &quot;-&quot;??_ ;_-@_ "/>
    <numFmt numFmtId="181" formatCode="#,##0.00_ ;\-#,##0.00\ "/>
  </numFmts>
  <fonts count="98"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9"/>
      <color indexed="81"/>
      <name val="Tahoma"/>
      <family val="2"/>
    </font>
    <font>
      <b/>
      <sz val="11"/>
      <color rgb="FF7030A0"/>
      <name val="Arial Nova"/>
      <family val="2"/>
    </font>
    <font>
      <sz val="11"/>
      <color rgb="FF9C5700"/>
      <name val="Calibri"/>
      <family val="2"/>
      <scheme val="minor"/>
    </font>
    <font>
      <b/>
      <sz val="12"/>
      <name val="Calibri"/>
      <family val="2"/>
    </font>
    <font>
      <b/>
      <sz val="11"/>
      <color rgb="FF000000"/>
      <name val="Arial"/>
      <family val="2"/>
    </font>
    <font>
      <sz val="11"/>
      <color rgb="FF9C0006"/>
      <name val="Calibri"/>
      <family val="2"/>
      <scheme val="minor"/>
    </font>
    <font>
      <b/>
      <sz val="11"/>
      <color rgb="FF9C0006"/>
      <name val="Calibri"/>
      <family val="2"/>
      <scheme val="minor"/>
    </font>
    <font>
      <sz val="11"/>
      <color theme="1"/>
      <name val="Arial Nova"/>
      <family val="2"/>
    </font>
    <font>
      <sz val="11"/>
      <color rgb="FF00B050"/>
      <name val="Arial Nova"/>
      <family val="2"/>
    </font>
    <font>
      <b/>
      <sz val="11"/>
      <color rgb="FF7030A0"/>
      <name val="Arial Nova"/>
      <family val="2"/>
    </font>
    <font>
      <i/>
      <sz val="11"/>
      <name val="Arial Nova"/>
      <family val="2"/>
    </font>
    <font>
      <sz val="11"/>
      <color rgb="FF00B050"/>
      <name val="Arial Nova"/>
    </font>
    <font>
      <sz val="11"/>
      <name val="Arial Nova"/>
    </font>
  </fonts>
  <fills count="23">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EB9C"/>
      </patternFill>
    </fill>
    <fill>
      <patternFill patternType="solid">
        <fgColor theme="9" tint="0.79998168889431442"/>
        <bgColor indexed="64"/>
      </patternFill>
    </fill>
    <fill>
      <patternFill patternType="solid">
        <fgColor rgb="FFF2F2F2"/>
        <bgColor rgb="FF000000"/>
      </patternFill>
    </fill>
    <fill>
      <patternFill patternType="solid">
        <fgColor rgb="FFFFC7CE"/>
      </patternFill>
    </fill>
    <fill>
      <patternFill patternType="solid">
        <fgColor theme="5" tint="0.59999389629810485"/>
        <bgColor indexed="65"/>
      </patternFill>
    </fill>
  </fills>
  <borders count="35">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right/>
      <top style="hair">
        <color indexed="64"/>
      </top>
      <bottom style="hair">
        <color indexed="64"/>
      </bottom>
      <diagonal/>
    </border>
  </borders>
  <cellStyleXfs count="18">
    <xf numFmtId="0" fontId="0" fillId="0" borderId="0"/>
    <xf numFmtId="166" fontId="4" fillId="0" borderId="0" applyFont="0" applyFill="0" applyBorder="0" applyAlignment="0" applyProtection="0"/>
    <xf numFmtId="9" fontId="4" fillId="0" borderId="0" applyFont="0" applyFill="0" applyBorder="0" applyAlignment="0" applyProtection="0"/>
    <xf numFmtId="0" fontId="9" fillId="0" borderId="0" applyNumberFormat="0" applyFill="0" applyBorder="0" applyAlignment="0" applyProtection="0"/>
    <xf numFmtId="9" fontId="11" fillId="0" borderId="0" applyFont="0" applyFill="0" applyBorder="0" applyAlignment="0" applyProtection="0"/>
    <xf numFmtId="0" fontId="11" fillId="0" borderId="0"/>
    <xf numFmtId="0" fontId="11" fillId="0" borderId="0"/>
    <xf numFmtId="9" fontId="3" fillId="0" borderId="0" applyFont="0" applyFill="0" applyBorder="0" applyAlignment="0" applyProtection="0"/>
    <xf numFmtId="0" fontId="3" fillId="0" borderId="0"/>
    <xf numFmtId="44" fontId="4" fillId="0" borderId="0" applyFont="0" applyFill="0" applyBorder="0" applyAlignment="0" applyProtection="0"/>
    <xf numFmtId="0" fontId="3" fillId="0" borderId="0"/>
    <xf numFmtId="0" fontId="15" fillId="6" borderId="8">
      <alignment horizontal="right"/>
    </xf>
    <xf numFmtId="0" fontId="16" fillId="6" borderId="0"/>
    <xf numFmtId="0" fontId="11" fillId="0" borderId="0"/>
    <xf numFmtId="44" fontId="4" fillId="0" borderId="0" applyFont="0" applyFill="0" applyBorder="0" applyAlignment="0" applyProtection="0"/>
    <xf numFmtId="0" fontId="87" fillId="18" borderId="0" applyNumberFormat="0" applyBorder="0" applyAlignment="0" applyProtection="0"/>
    <xf numFmtId="0" fontId="90" fillId="21" borderId="0" applyNumberFormat="0" applyBorder="0" applyAlignment="0" applyProtection="0"/>
    <xf numFmtId="0" fontId="2" fillId="22" borderId="0" applyNumberFormat="0" applyBorder="0" applyAlignment="0" applyProtection="0"/>
  </cellStyleXfs>
  <cellXfs count="848">
    <xf numFmtId="0" fontId="0" fillId="0" borderId="0" xfId="0"/>
    <xf numFmtId="0" fontId="5" fillId="0" borderId="0" xfId="0" applyFont="1"/>
    <xf numFmtId="0" fontId="6" fillId="2" borderId="0" xfId="0" applyFont="1" applyFill="1"/>
    <xf numFmtId="0" fontId="7" fillId="2" borderId="0" xfId="0" applyFont="1" applyFill="1"/>
    <xf numFmtId="0" fontId="10" fillId="0" borderId="0" xfId="0" applyFont="1"/>
    <xf numFmtId="0" fontId="5" fillId="0" borderId="0" xfId="0" applyFont="1" applyAlignment="1">
      <alignment horizontal="left" indent="1"/>
    </xf>
    <xf numFmtId="0" fontId="0" fillId="0" borderId="0" xfId="0" applyAlignment="1">
      <alignment horizontal="left" indent="1"/>
    </xf>
    <xf numFmtId="0" fontId="0" fillId="0" borderId="1" xfId="0" applyBorder="1"/>
    <xf numFmtId="37" fontId="5" fillId="0" borderId="0" xfId="0" applyNumberFormat="1" applyFont="1"/>
    <xf numFmtId="0" fontId="12" fillId="0" borderId="0" xfId="0" applyFont="1" applyAlignment="1">
      <alignment horizontal="left" indent="1"/>
    </xf>
    <xf numFmtId="0" fontId="4" fillId="0" borderId="0" xfId="0" applyFont="1"/>
    <xf numFmtId="3" fontId="4" fillId="0" borderId="0" xfId="0" applyNumberFormat="1" applyFont="1"/>
    <xf numFmtId="0" fontId="6" fillId="0" borderId="0" xfId="0" applyFont="1"/>
    <xf numFmtId="0" fontId="7" fillId="0" borderId="0" xfId="0" applyFont="1"/>
    <xf numFmtId="167" fontId="4" fillId="0" borderId="0" xfId="2" applyNumberFormat="1" applyFont="1"/>
    <xf numFmtId="14" fontId="0" fillId="0" borderId="0" xfId="0" applyNumberFormat="1"/>
    <xf numFmtId="0" fontId="0" fillId="0" borderId="1" xfId="0" applyBorder="1" applyAlignment="1">
      <alignment horizontal="left" indent="1"/>
    </xf>
    <xf numFmtId="0" fontId="17" fillId="0" borderId="0" xfId="0" applyFont="1"/>
    <xf numFmtId="0" fontId="19" fillId="2" borderId="0" xfId="0" applyFont="1" applyFill="1"/>
    <xf numFmtId="0" fontId="19" fillId="0" borderId="0" xfId="0" applyFont="1"/>
    <xf numFmtId="37" fontId="17" fillId="0" borderId="0" xfId="0" applyNumberFormat="1" applyFont="1"/>
    <xf numFmtId="0" fontId="24" fillId="0" borderId="0" xfId="0" applyFont="1"/>
    <xf numFmtId="0" fontId="27" fillId="0" borderId="0" xfId="0" applyFont="1"/>
    <xf numFmtId="0" fontId="30" fillId="0" borderId="0" xfId="0" applyFont="1"/>
    <xf numFmtId="37" fontId="30" fillId="0" borderId="0" xfId="0" applyNumberFormat="1" applyFont="1"/>
    <xf numFmtId="0" fontId="29" fillId="0" borderId="0" xfId="0" applyFont="1"/>
    <xf numFmtId="0" fontId="33" fillId="0" borderId="0" xfId="0" applyFont="1"/>
    <xf numFmtId="0" fontId="34" fillId="0" borderId="0" xfId="0" applyFont="1"/>
    <xf numFmtId="0" fontId="17" fillId="0" borderId="0" xfId="0" applyFont="1" applyAlignment="1">
      <alignment horizontal="left" indent="1"/>
    </xf>
    <xf numFmtId="0" fontId="34" fillId="0" borderId="0" xfId="0" applyFont="1" applyAlignment="1">
      <alignment horizontal="left" indent="1"/>
    </xf>
    <xf numFmtId="0" fontId="38" fillId="0" borderId="0" xfId="0" applyFont="1"/>
    <xf numFmtId="0" fontId="26" fillId="0" borderId="0" xfId="0" applyFont="1" applyAlignment="1">
      <alignment horizontal="left" indent="2"/>
    </xf>
    <xf numFmtId="0" fontId="37" fillId="2" borderId="0" xfId="0" applyFont="1" applyFill="1"/>
    <xf numFmtId="0" fontId="36" fillId="0" borderId="0" xfId="0" applyFont="1"/>
    <xf numFmtId="165" fontId="18" fillId="0" borderId="0" xfId="0" applyNumberFormat="1" applyFont="1"/>
    <xf numFmtId="0" fontId="19" fillId="10" borderId="0" xfId="0" applyFont="1" applyFill="1"/>
    <xf numFmtId="0" fontId="30" fillId="10" borderId="0" xfId="0" applyFont="1" applyFill="1"/>
    <xf numFmtId="0" fontId="39" fillId="2" borderId="0" xfId="0" applyFont="1" applyFill="1" applyAlignment="1">
      <alignment horizontal="right"/>
    </xf>
    <xf numFmtId="0" fontId="0" fillId="10" borderId="0" xfId="0" applyFill="1"/>
    <xf numFmtId="0" fontId="22" fillId="0" borderId="0" xfId="0" applyFont="1" applyAlignment="1">
      <alignment horizontal="left" indent="1"/>
    </xf>
    <xf numFmtId="2" fontId="0" fillId="0" borderId="0" xfId="0" applyNumberFormat="1"/>
    <xf numFmtId="0" fontId="17" fillId="0" borderId="0" xfId="0" applyFont="1" applyProtection="1">
      <protection locked="0"/>
    </xf>
    <xf numFmtId="0" fontId="35" fillId="0" borderId="0" xfId="0" applyFont="1" applyProtection="1">
      <protection locked="0"/>
    </xf>
    <xf numFmtId="0" fontId="19" fillId="0" borderId="0" xfId="0" applyFont="1" applyProtection="1">
      <protection locked="0"/>
    </xf>
    <xf numFmtId="0" fontId="43" fillId="0" borderId="0" xfId="0" applyFont="1" applyProtection="1">
      <protection locked="0"/>
    </xf>
    <xf numFmtId="0" fontId="30" fillId="0" borderId="0" xfId="0" applyFont="1" applyAlignment="1" applyProtection="1">
      <alignment horizontal="left" indent="1"/>
      <protection locked="0"/>
    </xf>
    <xf numFmtId="37" fontId="29" fillId="3" borderId="0" xfId="0" applyNumberFormat="1" applyFont="1" applyFill="1" applyProtection="1">
      <protection locked="0"/>
    </xf>
    <xf numFmtId="37" fontId="29" fillId="0" borderId="0" xfId="1" applyNumberFormat="1" applyFont="1" applyFill="1" applyProtection="1">
      <protection locked="0"/>
    </xf>
    <xf numFmtId="37" fontId="29" fillId="0" borderId="0" xfId="0" applyNumberFormat="1" applyFont="1"/>
    <xf numFmtId="37" fontId="29" fillId="0" borderId="3" xfId="1" applyNumberFormat="1" applyFont="1" applyFill="1" applyBorder="1" applyProtection="1"/>
    <xf numFmtId="37" fontId="41" fillId="3" borderId="0" xfId="0" applyNumberFormat="1" applyFont="1" applyFill="1" applyProtection="1">
      <protection locked="0"/>
    </xf>
    <xf numFmtId="37" fontId="29" fillId="0" borderId="0" xfId="1" applyNumberFormat="1" applyFont="1" applyFill="1" applyProtection="1"/>
    <xf numFmtId="37" fontId="41" fillId="0" borderId="0" xfId="1" applyNumberFormat="1" applyFont="1" applyFill="1" applyProtection="1">
      <protection locked="0"/>
    </xf>
    <xf numFmtId="37" fontId="41" fillId="0" borderId="0" xfId="1" applyNumberFormat="1" applyFont="1" applyFill="1" applyProtection="1"/>
    <xf numFmtId="3" fontId="29" fillId="0" borderId="0" xfId="0" applyNumberFormat="1" applyFont="1" applyProtection="1">
      <protection locked="0"/>
    </xf>
    <xf numFmtId="0" fontId="37" fillId="0" borderId="0" xfId="0" applyFont="1" applyProtection="1">
      <protection locked="0"/>
    </xf>
    <xf numFmtId="0" fontId="30" fillId="0" borderId="0" xfId="0" applyFont="1" applyAlignment="1" applyProtection="1">
      <alignment horizontal="left" indent="3"/>
      <protection locked="0"/>
    </xf>
    <xf numFmtId="37" fontId="29" fillId="0" borderId="0" xfId="1" applyNumberFormat="1" applyFont="1" applyFill="1" applyBorder="1" applyProtection="1">
      <protection locked="0"/>
    </xf>
    <xf numFmtId="37" fontId="41" fillId="0" borderId="0" xfId="1" applyNumberFormat="1" applyFont="1" applyFill="1" applyBorder="1" applyProtection="1">
      <protection locked="0"/>
    </xf>
    <xf numFmtId="0" fontId="30" fillId="0" borderId="0" xfId="0" applyFont="1" applyAlignment="1" applyProtection="1">
      <alignment horizontal="left" indent="5"/>
      <protection locked="0"/>
    </xf>
    <xf numFmtId="37" fontId="29" fillId="3" borderId="0" xfId="2" applyNumberFormat="1" applyFont="1" applyFill="1" applyBorder="1" applyProtection="1">
      <protection locked="0"/>
    </xf>
    <xf numFmtId="37" fontId="29" fillId="0" borderId="9" xfId="2" applyNumberFormat="1" applyFont="1" applyFill="1" applyBorder="1" applyProtection="1">
      <protection locked="0"/>
    </xf>
    <xf numFmtId="37" fontId="41" fillId="3" borderId="0" xfId="2" applyNumberFormat="1" applyFont="1" applyFill="1" applyBorder="1" applyProtection="1">
      <protection locked="0"/>
    </xf>
    <xf numFmtId="37" fontId="41" fillId="0" borderId="9" xfId="2" applyNumberFormat="1" applyFont="1" applyFill="1" applyBorder="1" applyProtection="1">
      <protection locked="0"/>
    </xf>
    <xf numFmtId="0" fontId="36" fillId="0" borderId="0" xfId="0" applyFont="1" applyAlignment="1" applyProtection="1">
      <alignment horizontal="left" indent="1"/>
      <protection locked="0"/>
    </xf>
    <xf numFmtId="0" fontId="30" fillId="0" borderId="0" xfId="0" applyFont="1" applyAlignment="1" applyProtection="1">
      <alignment horizontal="left" indent="2"/>
      <protection locked="0"/>
    </xf>
    <xf numFmtId="37" fontId="29" fillId="0" borderId="0" xfId="0" applyNumberFormat="1" applyFont="1" applyProtection="1">
      <protection locked="0"/>
    </xf>
    <xf numFmtId="37" fontId="29" fillId="4" borderId="0" xfId="1" applyNumberFormat="1" applyFont="1" applyFill="1" applyProtection="1"/>
    <xf numFmtId="37" fontId="41" fillId="0" borderId="0" xfId="0" applyNumberFormat="1" applyFont="1" applyProtection="1">
      <protection locked="0"/>
    </xf>
    <xf numFmtId="37" fontId="41" fillId="4" borderId="0" xfId="1" applyNumberFormat="1" applyFont="1" applyFill="1" applyProtection="1"/>
    <xf numFmtId="0" fontId="30" fillId="0" borderId="0" xfId="0" applyFont="1" applyAlignment="1" applyProtection="1">
      <alignment horizontal="left" indent="4"/>
      <protection locked="0"/>
    </xf>
    <xf numFmtId="37" fontId="29" fillId="0" borderId="0" xfId="1" applyNumberFormat="1" applyFont="1" applyFill="1" applyBorder="1" applyProtection="1"/>
    <xf numFmtId="37" fontId="41" fillId="0" borderId="0" xfId="1" applyNumberFormat="1" applyFont="1" applyFill="1" applyBorder="1" applyProtection="1"/>
    <xf numFmtId="0" fontId="24" fillId="0" borderId="0" xfId="0" applyFont="1" applyProtection="1">
      <protection locked="0"/>
    </xf>
    <xf numFmtId="37" fontId="29" fillId="0" borderId="1" xfId="0" applyNumberFormat="1" applyFont="1" applyBorder="1" applyProtection="1">
      <protection locked="0"/>
    </xf>
    <xf numFmtId="37" fontId="41" fillId="0" borderId="1" xfId="0" applyNumberFormat="1" applyFont="1" applyBorder="1" applyProtection="1">
      <protection locked="0"/>
    </xf>
    <xf numFmtId="0" fontId="30" fillId="0" borderId="0" xfId="0" applyFont="1" applyAlignment="1" applyProtection="1">
      <alignment horizontal="left" indent="6"/>
      <protection locked="0"/>
    </xf>
    <xf numFmtId="37" fontId="29" fillId="0" borderId="7" xfId="0" applyNumberFormat="1" applyFont="1" applyBorder="1" applyProtection="1">
      <protection locked="0"/>
    </xf>
    <xf numFmtId="37" fontId="41" fillId="0" borderId="7" xfId="0" applyNumberFormat="1" applyFont="1" applyBorder="1" applyProtection="1">
      <protection locked="0"/>
    </xf>
    <xf numFmtId="0" fontId="30" fillId="0" borderId="0" xfId="0" applyFont="1" applyAlignment="1" applyProtection="1">
      <alignment horizontal="left" indent="8"/>
      <protection locked="0"/>
    </xf>
    <xf numFmtId="0" fontId="24" fillId="0" borderId="0" xfId="0" applyFont="1" applyAlignment="1" applyProtection="1">
      <alignment horizontal="left" indent="3"/>
      <protection locked="0"/>
    </xf>
    <xf numFmtId="37" fontId="29" fillId="0" borderId="0" xfId="2" applyNumberFormat="1" applyFont="1" applyFill="1" applyProtection="1"/>
    <xf numFmtId="37" fontId="29" fillId="0" borderId="3" xfId="2" applyNumberFormat="1" applyFont="1" applyFill="1" applyBorder="1" applyProtection="1"/>
    <xf numFmtId="37" fontId="41" fillId="0" borderId="0" xfId="2" applyNumberFormat="1" applyFont="1" applyFill="1" applyProtection="1"/>
    <xf numFmtId="0" fontId="44" fillId="0" borderId="0" xfId="0" applyFont="1" applyProtection="1">
      <protection locked="0"/>
    </xf>
    <xf numFmtId="37" fontId="29" fillId="0" borderId="9" xfId="0" applyNumberFormat="1" applyFont="1" applyBorder="1" applyProtection="1">
      <protection locked="0"/>
    </xf>
    <xf numFmtId="37" fontId="29" fillId="0" borderId="0" xfId="2" applyNumberFormat="1" applyFont="1" applyFill="1" applyBorder="1" applyProtection="1"/>
    <xf numFmtId="37" fontId="41" fillId="0" borderId="0" xfId="2" applyNumberFormat="1" applyFont="1" applyFill="1" applyBorder="1" applyProtection="1"/>
    <xf numFmtId="37" fontId="29" fillId="4" borderId="0" xfId="2" applyNumberFormat="1" applyFont="1" applyFill="1" applyProtection="1"/>
    <xf numFmtId="37" fontId="41" fillId="4" borderId="0" xfId="2" applyNumberFormat="1" applyFont="1" applyFill="1" applyProtection="1"/>
    <xf numFmtId="0" fontId="30" fillId="0" borderId="0" xfId="0" applyFont="1" applyAlignment="1" applyProtection="1">
      <alignment horizontal="left" indent="10"/>
      <protection locked="0"/>
    </xf>
    <xf numFmtId="37" fontId="29" fillId="0" borderId="0" xfId="1" applyNumberFormat="1" applyFont="1" applyBorder="1" applyProtection="1"/>
    <xf numFmtId="37" fontId="29" fillId="0" borderId="0" xfId="1" applyNumberFormat="1" applyFont="1" applyProtection="1"/>
    <xf numFmtId="37" fontId="29" fillId="0" borderId="23" xfId="0" applyNumberFormat="1" applyFont="1" applyBorder="1" applyProtection="1">
      <protection locked="0"/>
    </xf>
    <xf numFmtId="37" fontId="41" fillId="0" borderId="23" xfId="0" applyNumberFormat="1" applyFont="1" applyBorder="1" applyProtection="1">
      <protection locked="0"/>
    </xf>
    <xf numFmtId="37" fontId="29" fillId="0" borderId="3" xfId="0" applyNumberFormat="1" applyFont="1" applyBorder="1"/>
    <xf numFmtId="37" fontId="41" fillId="0" borderId="0" xfId="0" applyNumberFormat="1" applyFont="1"/>
    <xf numFmtId="0" fontId="30" fillId="0" borderId="0" xfId="0" applyFont="1" applyProtection="1">
      <protection locked="0"/>
    </xf>
    <xf numFmtId="39" fontId="29" fillId="3" borderId="0" xfId="0" applyNumberFormat="1" applyFont="1" applyFill="1" applyProtection="1">
      <protection locked="0"/>
    </xf>
    <xf numFmtId="39" fontId="29" fillId="0" borderId="0" xfId="1" applyNumberFormat="1" applyFont="1" applyFill="1" applyProtection="1">
      <protection locked="0"/>
    </xf>
    <xf numFmtId="39" fontId="29" fillId="0" borderId="0" xfId="0" applyNumberFormat="1" applyFont="1"/>
    <xf numFmtId="39" fontId="29" fillId="0" borderId="3" xfId="0" applyNumberFormat="1" applyFont="1" applyBorder="1"/>
    <xf numFmtId="39" fontId="41" fillId="3" borderId="0" xfId="0" applyNumberFormat="1" applyFont="1" applyFill="1" applyProtection="1">
      <protection locked="0"/>
    </xf>
    <xf numFmtId="39" fontId="41" fillId="0" borderId="0" xfId="1" applyNumberFormat="1" applyFont="1" applyFill="1" applyProtection="1">
      <protection locked="0"/>
    </xf>
    <xf numFmtId="39" fontId="41" fillId="0" borderId="0" xfId="0" applyNumberFormat="1" applyFont="1"/>
    <xf numFmtId="0" fontId="36" fillId="0" borderId="0" xfId="0" applyFont="1" applyProtection="1">
      <protection locked="0"/>
    </xf>
    <xf numFmtId="0" fontId="45" fillId="0" borderId="0" xfId="0" applyFont="1" applyAlignment="1" applyProtection="1">
      <alignment horizontal="left" indent="1"/>
      <protection locked="0"/>
    </xf>
    <xf numFmtId="37" fontId="46" fillId="3" borderId="0" xfId="0" applyNumberFormat="1" applyFont="1" applyFill="1" applyProtection="1">
      <protection locked="0"/>
    </xf>
    <xf numFmtId="37" fontId="20" fillId="0" borderId="0" xfId="1" applyNumberFormat="1" applyFont="1" applyFill="1" applyProtection="1">
      <protection locked="0"/>
    </xf>
    <xf numFmtId="37" fontId="46" fillId="3" borderId="0" xfId="1" applyNumberFormat="1" applyFont="1" applyFill="1" applyProtection="1">
      <protection locked="0"/>
    </xf>
    <xf numFmtId="37" fontId="20" fillId="0" borderId="3" xfId="1" applyNumberFormat="1" applyFont="1" applyFill="1" applyBorder="1" applyProtection="1"/>
    <xf numFmtId="37" fontId="20" fillId="3" borderId="0" xfId="1" applyNumberFormat="1" applyFont="1" applyFill="1" applyBorder="1" applyProtection="1">
      <protection locked="0"/>
    </xf>
    <xf numFmtId="37" fontId="20" fillId="0" borderId="0" xfId="1" applyNumberFormat="1" applyFont="1" applyFill="1" applyProtection="1"/>
    <xf numFmtId="0" fontId="46" fillId="0" borderId="0" xfId="0" applyFont="1" applyProtection="1">
      <protection locked="0"/>
    </xf>
    <xf numFmtId="0" fontId="29" fillId="0" borderId="0" xfId="0" applyFont="1" applyAlignment="1" applyProtection="1">
      <alignment horizontal="left" indent="1"/>
      <protection locked="0"/>
    </xf>
    <xf numFmtId="0" fontId="46" fillId="0" borderId="0" xfId="0" applyFont="1"/>
    <xf numFmtId="37" fontId="46" fillId="0" borderId="0" xfId="0" applyNumberFormat="1" applyFont="1"/>
    <xf numFmtId="37" fontId="46" fillId="0" borderId="0" xfId="1" applyNumberFormat="1" applyFont="1" applyFill="1" applyProtection="1"/>
    <xf numFmtId="37" fontId="46" fillId="0" borderId="3" xfId="1" applyNumberFormat="1" applyFont="1" applyFill="1" applyBorder="1" applyProtection="1"/>
    <xf numFmtId="37" fontId="46" fillId="3" borderId="0" xfId="1" applyNumberFormat="1" applyFont="1" applyFill="1" applyBorder="1" applyProtection="1">
      <protection locked="0"/>
    </xf>
    <xf numFmtId="37" fontId="46" fillId="4" borderId="0" xfId="1" applyNumberFormat="1" applyFont="1" applyFill="1" applyProtection="1"/>
    <xf numFmtId="37" fontId="17" fillId="3" borderId="0" xfId="0" applyNumberFormat="1" applyFont="1" applyFill="1" applyProtection="1">
      <protection locked="0"/>
    </xf>
    <xf numFmtId="37" fontId="23" fillId="0" borderId="0" xfId="1" applyNumberFormat="1" applyFont="1" applyFill="1" applyProtection="1"/>
    <xf numFmtId="37" fontId="23" fillId="3" borderId="0" xfId="1" applyNumberFormat="1" applyFont="1" applyFill="1" applyProtection="1">
      <protection locked="0"/>
    </xf>
    <xf numFmtId="37" fontId="23" fillId="0" borderId="3" xfId="1" applyNumberFormat="1" applyFont="1" applyFill="1" applyBorder="1" applyProtection="1"/>
    <xf numFmtId="37" fontId="23" fillId="3" borderId="0" xfId="1" applyNumberFormat="1" applyFont="1" applyFill="1" applyBorder="1" applyProtection="1">
      <protection locked="0"/>
    </xf>
    <xf numFmtId="37" fontId="20" fillId="0" borderId="0" xfId="1" applyNumberFormat="1" applyFont="1" applyFill="1" applyBorder="1" applyProtection="1"/>
    <xf numFmtId="0" fontId="29" fillId="0" borderId="0" xfId="0" applyFont="1" applyAlignment="1" applyProtection="1">
      <alignment horizontal="left" indent="3"/>
      <protection locked="0"/>
    </xf>
    <xf numFmtId="37" fontId="46" fillId="0" borderId="0" xfId="1" applyNumberFormat="1" applyFont="1" applyFill="1" applyBorder="1" applyProtection="1"/>
    <xf numFmtId="37" fontId="46" fillId="0" borderId="0" xfId="2" applyNumberFormat="1" applyFont="1" applyFill="1" applyProtection="1"/>
    <xf numFmtId="37" fontId="46" fillId="0" borderId="3" xfId="2" applyNumberFormat="1" applyFont="1" applyFill="1" applyBorder="1" applyProtection="1"/>
    <xf numFmtId="37" fontId="33" fillId="0" borderId="0" xfId="0" applyNumberFormat="1" applyFont="1"/>
    <xf numFmtId="37" fontId="33" fillId="0" borderId="0" xfId="2" applyNumberFormat="1" applyFont="1" applyFill="1" applyProtection="1"/>
    <xf numFmtId="37" fontId="33" fillId="0" borderId="3" xfId="2" applyNumberFormat="1" applyFont="1" applyFill="1" applyBorder="1" applyProtection="1"/>
    <xf numFmtId="37" fontId="25" fillId="0" borderId="0" xfId="2" applyNumberFormat="1" applyFont="1" applyFill="1" applyProtection="1"/>
    <xf numFmtId="0" fontId="33" fillId="0" borderId="0" xfId="0" applyFont="1" applyProtection="1">
      <protection locked="0"/>
    </xf>
    <xf numFmtId="0" fontId="24" fillId="0" borderId="0" xfId="0" applyFont="1" applyAlignment="1" applyProtection="1">
      <alignment horizontal="left" indent="1"/>
      <protection locked="0"/>
    </xf>
    <xf numFmtId="37" fontId="21" fillId="0" borderId="0" xfId="2" applyNumberFormat="1" applyFont="1" applyFill="1" applyProtection="1"/>
    <xf numFmtId="0" fontId="29" fillId="0" borderId="0" xfId="0" applyFont="1" applyAlignment="1" applyProtection="1">
      <alignment horizontal="left" indent="5"/>
      <protection locked="0"/>
    </xf>
    <xf numFmtId="37" fontId="22" fillId="0" borderId="0" xfId="1" applyNumberFormat="1" applyFont="1" applyFill="1" applyProtection="1"/>
    <xf numFmtId="0" fontId="29" fillId="0" borderId="0" xfId="0" applyFont="1" applyAlignment="1" applyProtection="1">
      <alignment horizontal="left" indent="7"/>
      <protection locked="0"/>
    </xf>
    <xf numFmtId="37" fontId="46" fillId="0" borderId="0" xfId="2" applyNumberFormat="1" applyFont="1" applyFill="1" applyBorder="1" applyProtection="1"/>
    <xf numFmtId="0" fontId="47" fillId="0" borderId="0" xfId="0" applyFont="1" applyProtection="1">
      <protection locked="0"/>
    </xf>
    <xf numFmtId="0" fontId="17" fillId="0" borderId="0" xfId="0" applyFont="1" applyAlignment="1" applyProtection="1">
      <alignment horizontal="left" indent="1"/>
      <protection locked="0"/>
    </xf>
    <xf numFmtId="37" fontId="34" fillId="0" borderId="0" xfId="0" applyNumberFormat="1" applyFont="1"/>
    <xf numFmtId="37" fontId="32" fillId="0" borderId="0" xfId="1" applyNumberFormat="1" applyFont="1" applyFill="1" applyProtection="1"/>
    <xf numFmtId="37" fontId="32" fillId="0" borderId="3" xfId="1" applyNumberFormat="1" applyFont="1" applyFill="1" applyBorder="1" applyProtection="1"/>
    <xf numFmtId="0" fontId="34" fillId="0" borderId="0" xfId="0" applyFont="1" applyProtection="1">
      <protection locked="0"/>
    </xf>
    <xf numFmtId="37" fontId="22" fillId="0" borderId="0" xfId="1" applyNumberFormat="1" applyFont="1" applyProtection="1"/>
    <xf numFmtId="37" fontId="46" fillId="0" borderId="0" xfId="1" applyNumberFormat="1" applyFont="1" applyProtection="1"/>
    <xf numFmtId="37" fontId="17" fillId="0" borderId="3" xfId="0" applyNumberFormat="1" applyFont="1" applyBorder="1"/>
    <xf numFmtId="37" fontId="20" fillId="0" borderId="0" xfId="1" applyNumberFormat="1" applyFont="1" applyFill="1" applyAlignment="1" applyProtection="1">
      <alignment wrapText="1"/>
    </xf>
    <xf numFmtId="0" fontId="46" fillId="0" borderId="0" xfId="0" applyFont="1" applyAlignment="1" applyProtection="1">
      <alignment horizontal="left" indent="1"/>
      <protection locked="0"/>
    </xf>
    <xf numFmtId="37" fontId="46" fillId="0" borderId="3" xfId="0" applyNumberFormat="1" applyFont="1" applyBorder="1"/>
    <xf numFmtId="3" fontId="29" fillId="0" borderId="0" xfId="0" applyNumberFormat="1" applyFont="1" applyAlignment="1" applyProtection="1">
      <alignment horizontal="left" indent="1"/>
      <protection locked="0"/>
    </xf>
    <xf numFmtId="3" fontId="29" fillId="0" borderId="0" xfId="0" applyNumberFormat="1" applyFont="1" applyAlignment="1" applyProtection="1">
      <alignment horizontal="left" indent="3"/>
      <protection locked="0"/>
    </xf>
    <xf numFmtId="3" fontId="29" fillId="0" borderId="0" xfId="0" applyNumberFormat="1" applyFont="1" applyAlignment="1" applyProtection="1">
      <alignment horizontal="left" indent="5"/>
      <protection locked="0"/>
    </xf>
    <xf numFmtId="3" fontId="29" fillId="0" borderId="0" xfId="0" applyNumberFormat="1" applyFont="1" applyAlignment="1" applyProtection="1">
      <alignment horizontal="left" indent="7"/>
      <protection locked="0"/>
    </xf>
    <xf numFmtId="3" fontId="29" fillId="0" borderId="0" xfId="0" applyNumberFormat="1" applyFont="1" applyAlignment="1" applyProtection="1">
      <alignment horizontal="left" indent="2"/>
      <protection locked="0"/>
    </xf>
    <xf numFmtId="3" fontId="29" fillId="0" borderId="0" xfId="0" applyNumberFormat="1" applyFont="1" applyAlignment="1" applyProtection="1">
      <alignment horizontal="left" indent="4"/>
      <protection locked="0"/>
    </xf>
    <xf numFmtId="3" fontId="29" fillId="0" borderId="0" xfId="0" applyNumberFormat="1" applyFont="1" applyAlignment="1" applyProtection="1">
      <alignment horizontal="left" indent="6"/>
      <protection locked="0"/>
    </xf>
    <xf numFmtId="0" fontId="18" fillId="2" borderId="0" xfId="0" applyFont="1" applyFill="1" applyAlignment="1" applyProtection="1">
      <alignment horizontal="left"/>
      <protection locked="0"/>
    </xf>
    <xf numFmtId="0" fontId="19" fillId="2" borderId="0" xfId="0" applyFont="1" applyFill="1" applyProtection="1">
      <protection locked="0"/>
    </xf>
    <xf numFmtId="0" fontId="18" fillId="2" borderId="0" xfId="0" applyFont="1" applyFill="1" applyProtection="1">
      <protection locked="0"/>
    </xf>
    <xf numFmtId="0" fontId="18" fillId="2" borderId="0" xfId="0" applyFont="1" applyFill="1" applyAlignment="1" applyProtection="1">
      <alignment horizontal="left" indent="1"/>
      <protection locked="0"/>
    </xf>
    <xf numFmtId="164" fontId="18" fillId="2" borderId="0" xfId="0" applyNumberFormat="1" applyFont="1" applyFill="1" applyAlignment="1">
      <alignment horizontal="center"/>
    </xf>
    <xf numFmtId="165" fontId="18" fillId="2" borderId="10" xfId="0" applyNumberFormat="1" applyFont="1" applyFill="1" applyBorder="1" applyAlignment="1" applyProtection="1">
      <alignment horizontal="center"/>
      <protection locked="0"/>
    </xf>
    <xf numFmtId="164" fontId="42" fillId="2" borderId="0" xfId="0" applyNumberFormat="1" applyFont="1" applyFill="1" applyAlignment="1">
      <alignment horizontal="center"/>
    </xf>
    <xf numFmtId="164" fontId="18" fillId="2" borderId="0" xfId="0" applyNumberFormat="1" applyFont="1" applyFill="1" applyAlignment="1" applyProtection="1">
      <alignment horizontal="center"/>
      <protection locked="0"/>
    </xf>
    <xf numFmtId="0" fontId="49" fillId="2" borderId="0" xfId="0" applyFont="1" applyFill="1"/>
    <xf numFmtId="164" fontId="48" fillId="2" borderId="0" xfId="0" applyNumberFormat="1" applyFont="1" applyFill="1" applyAlignment="1">
      <alignment horizontal="center"/>
    </xf>
    <xf numFmtId="164" fontId="50" fillId="2" borderId="0" xfId="0" applyNumberFormat="1" applyFont="1" applyFill="1" applyAlignment="1">
      <alignment horizontal="center"/>
    </xf>
    <xf numFmtId="0" fontId="18" fillId="0" borderId="0" xfId="0" applyFont="1" applyProtection="1">
      <protection locked="0"/>
    </xf>
    <xf numFmtId="164" fontId="18" fillId="0" borderId="0" xfId="0" applyNumberFormat="1" applyFont="1" applyProtection="1">
      <protection locked="0"/>
    </xf>
    <xf numFmtId="164" fontId="18" fillId="0" borderId="0" xfId="0" applyNumberFormat="1" applyFont="1"/>
    <xf numFmtId="165" fontId="18" fillId="0" borderId="0" xfId="0" applyNumberFormat="1" applyFont="1" applyProtection="1">
      <protection locked="0"/>
    </xf>
    <xf numFmtId="0" fontId="18" fillId="10" borderId="0" xfId="0" applyFont="1" applyFill="1" applyProtection="1">
      <protection locked="0"/>
    </xf>
    <xf numFmtId="164" fontId="18" fillId="10" borderId="0" xfId="0" applyNumberFormat="1" applyFont="1" applyFill="1" applyProtection="1">
      <protection locked="0"/>
    </xf>
    <xf numFmtId="164" fontId="18" fillId="10" borderId="0" xfId="0" applyNumberFormat="1" applyFont="1" applyFill="1"/>
    <xf numFmtId="165" fontId="18" fillId="10" borderId="0" xfId="0" applyNumberFormat="1" applyFont="1" applyFill="1" applyProtection="1">
      <protection locked="0"/>
    </xf>
    <xf numFmtId="165" fontId="18" fillId="10" borderId="0" xfId="0" applyNumberFormat="1" applyFont="1" applyFill="1"/>
    <xf numFmtId="37" fontId="29" fillId="0" borderId="0" xfId="2" applyNumberFormat="1" applyFont="1" applyFill="1" applyBorder="1" applyProtection="1">
      <protection locked="0"/>
    </xf>
    <xf numFmtId="37" fontId="41" fillId="0" borderId="0" xfId="2" applyNumberFormat="1" applyFont="1" applyFill="1" applyBorder="1" applyProtection="1">
      <protection locked="0"/>
    </xf>
    <xf numFmtId="37" fontId="29" fillId="4" borderId="0" xfId="1" applyNumberFormat="1" applyFont="1" applyFill="1" applyBorder="1" applyProtection="1"/>
    <xf numFmtId="37" fontId="41" fillId="4" borderId="0" xfId="1" applyNumberFormat="1" applyFont="1" applyFill="1" applyBorder="1" applyProtection="1"/>
    <xf numFmtId="37" fontId="29" fillId="4" borderId="0" xfId="2" applyNumberFormat="1" applyFont="1" applyFill="1" applyBorder="1" applyProtection="1"/>
    <xf numFmtId="0" fontId="30" fillId="2" borderId="0" xfId="0" applyFont="1" applyFill="1"/>
    <xf numFmtId="37" fontId="29" fillId="2" borderId="0" xfId="0" applyNumberFormat="1" applyFont="1" applyFill="1" applyProtection="1">
      <protection locked="0"/>
    </xf>
    <xf numFmtId="37" fontId="29" fillId="2" borderId="0" xfId="1" applyNumberFormat="1" applyFont="1" applyFill="1" applyBorder="1" applyProtection="1">
      <protection locked="0"/>
    </xf>
    <xf numFmtId="37" fontId="29" fillId="2" borderId="0" xfId="1" applyNumberFormat="1" applyFont="1" applyFill="1" applyBorder="1" applyProtection="1"/>
    <xf numFmtId="37" fontId="41" fillId="2" borderId="0" xfId="0" applyNumberFormat="1" applyFont="1" applyFill="1" applyProtection="1">
      <protection locked="0"/>
    </xf>
    <xf numFmtId="37" fontId="41" fillId="2" borderId="0" xfId="1" applyNumberFormat="1" applyFont="1" applyFill="1" applyBorder="1" applyProtection="1">
      <protection locked="0"/>
    </xf>
    <xf numFmtId="37" fontId="41" fillId="2" borderId="0" xfId="1" applyNumberFormat="1" applyFont="1" applyFill="1" applyBorder="1" applyProtection="1"/>
    <xf numFmtId="3" fontId="29" fillId="2" borderId="0" xfId="0" applyNumberFormat="1" applyFont="1" applyFill="1" applyProtection="1">
      <protection locked="0"/>
    </xf>
    <xf numFmtId="0" fontId="30" fillId="10" borderId="0" xfId="0" applyFont="1" applyFill="1" applyAlignment="1" applyProtection="1">
      <alignment horizontal="left" indent="1"/>
      <protection locked="0"/>
    </xf>
    <xf numFmtId="37" fontId="29" fillId="10" borderId="0" xfId="0" applyNumberFormat="1" applyFont="1" applyFill="1" applyProtection="1">
      <protection locked="0"/>
    </xf>
    <xf numFmtId="37" fontId="29" fillId="10" borderId="0" xfId="1" applyNumberFormat="1" applyFont="1" applyFill="1" applyBorder="1" applyProtection="1">
      <protection locked="0"/>
    </xf>
    <xf numFmtId="37" fontId="29" fillId="10" borderId="0" xfId="1" applyNumberFormat="1" applyFont="1" applyFill="1" applyBorder="1" applyProtection="1"/>
    <xf numFmtId="37" fontId="41" fillId="10" borderId="0" xfId="0" applyNumberFormat="1" applyFont="1" applyFill="1" applyProtection="1">
      <protection locked="0"/>
    </xf>
    <xf numFmtId="37" fontId="41" fillId="10" borderId="0" xfId="1" applyNumberFormat="1" applyFont="1" applyFill="1" applyBorder="1" applyProtection="1">
      <protection locked="0"/>
    </xf>
    <xf numFmtId="37" fontId="41" fillId="10" borderId="0" xfId="1" applyNumberFormat="1" applyFont="1" applyFill="1" applyBorder="1" applyProtection="1"/>
    <xf numFmtId="3" fontId="29" fillId="10" borderId="0" xfId="0" applyNumberFormat="1" applyFont="1" applyFill="1" applyProtection="1">
      <protection locked="0"/>
    </xf>
    <xf numFmtId="164" fontId="48" fillId="2" borderId="0" xfId="0" applyNumberFormat="1" applyFont="1" applyFill="1" applyAlignment="1" applyProtection="1">
      <alignment horizontal="center"/>
      <protection locked="0"/>
    </xf>
    <xf numFmtId="165" fontId="48" fillId="2" borderId="0" xfId="0" applyNumberFormat="1" applyFont="1" applyFill="1" applyAlignment="1" applyProtection="1">
      <alignment horizontal="center"/>
      <protection locked="0"/>
    </xf>
    <xf numFmtId="164" fontId="18" fillId="0" borderId="3" xfId="0" applyNumberFormat="1" applyFont="1" applyBorder="1"/>
    <xf numFmtId="0" fontId="30" fillId="0" borderId="3" xfId="0" applyFont="1" applyBorder="1"/>
    <xf numFmtId="0" fontId="24" fillId="0" borderId="0" xfId="0" applyFont="1" applyAlignment="1" applyProtection="1">
      <alignment horizontal="left"/>
      <protection locked="0"/>
    </xf>
    <xf numFmtId="0" fontId="30" fillId="0" borderId="0" xfId="0" applyFont="1" applyAlignment="1" applyProtection="1">
      <alignment horizontal="left"/>
      <protection locked="0"/>
    </xf>
    <xf numFmtId="37" fontId="29" fillId="3" borderId="0" xfId="0" applyNumberFormat="1" applyFont="1" applyFill="1" applyAlignment="1" applyProtection="1">
      <alignment horizontal="right"/>
      <protection locked="0"/>
    </xf>
    <xf numFmtId="37" fontId="29" fillId="0" borderId="0" xfId="1" applyNumberFormat="1" applyFont="1" applyFill="1" applyAlignment="1" applyProtection="1">
      <alignment horizontal="right"/>
      <protection locked="0"/>
    </xf>
    <xf numFmtId="37" fontId="29" fillId="0" borderId="0" xfId="0" applyNumberFormat="1" applyFont="1" applyAlignment="1">
      <alignment horizontal="right"/>
    </xf>
    <xf numFmtId="37" fontId="29" fillId="0" borderId="3" xfId="1" applyNumberFormat="1" applyFont="1" applyFill="1" applyBorder="1" applyAlignment="1" applyProtection="1">
      <alignment horizontal="right"/>
    </xf>
    <xf numFmtId="37" fontId="41" fillId="3" borderId="0" xfId="0" applyNumberFormat="1" applyFont="1" applyFill="1" applyAlignment="1" applyProtection="1">
      <alignment horizontal="right"/>
      <protection locked="0"/>
    </xf>
    <xf numFmtId="37" fontId="29" fillId="0" borderId="0" xfId="1" applyNumberFormat="1" applyFont="1" applyFill="1" applyAlignment="1" applyProtection="1">
      <alignment horizontal="right"/>
    </xf>
    <xf numFmtId="37" fontId="41" fillId="0" borderId="0" xfId="1" applyNumberFormat="1" applyFont="1" applyFill="1" applyAlignment="1" applyProtection="1">
      <alignment horizontal="right"/>
      <protection locked="0"/>
    </xf>
    <xf numFmtId="37" fontId="41" fillId="0" borderId="0" xfId="1" applyNumberFormat="1" applyFont="1" applyFill="1" applyAlignment="1" applyProtection="1">
      <alignment horizontal="right"/>
    </xf>
    <xf numFmtId="37" fontId="29" fillId="0" borderId="0" xfId="1" applyNumberFormat="1" applyFont="1" applyFill="1" applyBorder="1" applyAlignment="1" applyProtection="1">
      <alignment horizontal="right"/>
      <protection locked="0"/>
    </xf>
    <xf numFmtId="37" fontId="29" fillId="3" borderId="0" xfId="2" applyNumberFormat="1" applyFont="1" applyFill="1" applyBorder="1" applyAlignment="1" applyProtection="1">
      <alignment horizontal="right"/>
      <protection locked="0"/>
    </xf>
    <xf numFmtId="37" fontId="29" fillId="0" borderId="9" xfId="2" applyNumberFormat="1" applyFont="1" applyFill="1" applyBorder="1" applyAlignment="1" applyProtection="1">
      <alignment horizontal="right"/>
      <protection locked="0"/>
    </xf>
    <xf numFmtId="37" fontId="41" fillId="3" borderId="0" xfId="2" applyNumberFormat="1" applyFont="1" applyFill="1" applyBorder="1" applyAlignment="1" applyProtection="1">
      <alignment horizontal="right"/>
      <protection locked="0"/>
    </xf>
    <xf numFmtId="37" fontId="29" fillId="0" borderId="0" xfId="0" applyNumberFormat="1" applyFont="1" applyAlignment="1" applyProtection="1">
      <alignment horizontal="right"/>
      <protection locked="0"/>
    </xf>
    <xf numFmtId="37" fontId="29" fillId="4" borderId="0" xfId="1" applyNumberFormat="1" applyFont="1" applyFill="1" applyAlignment="1" applyProtection="1">
      <alignment horizontal="right"/>
    </xf>
    <xf numFmtId="37" fontId="41" fillId="0" borderId="0" xfId="0" applyNumberFormat="1" applyFont="1" applyAlignment="1" applyProtection="1">
      <alignment horizontal="right"/>
      <protection locked="0"/>
    </xf>
    <xf numFmtId="37" fontId="41" fillId="4" borderId="0" xfId="1" applyNumberFormat="1" applyFont="1" applyFill="1" applyAlignment="1" applyProtection="1">
      <alignment horizontal="right"/>
    </xf>
    <xf numFmtId="37" fontId="29" fillId="0" borderId="0" xfId="1" applyNumberFormat="1" applyFont="1" applyFill="1" applyBorder="1" applyAlignment="1" applyProtection="1">
      <alignment horizontal="right"/>
    </xf>
    <xf numFmtId="37" fontId="41" fillId="0" borderId="0" xfId="1" applyNumberFormat="1" applyFont="1" applyFill="1" applyBorder="1" applyAlignment="1" applyProtection="1">
      <alignment horizontal="right"/>
    </xf>
    <xf numFmtId="37" fontId="29" fillId="0" borderId="1" xfId="0" applyNumberFormat="1" applyFont="1" applyBorder="1" applyAlignment="1" applyProtection="1">
      <alignment horizontal="right"/>
      <protection locked="0"/>
    </xf>
    <xf numFmtId="37" fontId="29" fillId="0" borderId="7" xfId="0" applyNumberFormat="1" applyFont="1" applyBorder="1" applyAlignment="1" applyProtection="1">
      <alignment horizontal="right"/>
      <protection locked="0"/>
    </xf>
    <xf numFmtId="37" fontId="29" fillId="0" borderId="0" xfId="2" applyNumberFormat="1" applyFont="1" applyFill="1" applyAlignment="1" applyProtection="1">
      <alignment horizontal="right"/>
    </xf>
    <xf numFmtId="37" fontId="29" fillId="0" borderId="3" xfId="2" applyNumberFormat="1" applyFont="1" applyFill="1" applyBorder="1" applyAlignment="1" applyProtection="1">
      <alignment horizontal="right"/>
    </xf>
    <xf numFmtId="37" fontId="41" fillId="0" borderId="0" xfId="2" applyNumberFormat="1" applyFont="1" applyFill="1" applyAlignment="1" applyProtection="1">
      <alignment horizontal="right"/>
    </xf>
    <xf numFmtId="37" fontId="29" fillId="0" borderId="9" xfId="0" applyNumberFormat="1" applyFont="1" applyBorder="1" applyAlignment="1" applyProtection="1">
      <alignment horizontal="right"/>
      <protection locked="0"/>
    </xf>
    <xf numFmtId="37" fontId="29" fillId="0" borderId="0" xfId="2" applyNumberFormat="1" applyFont="1" applyFill="1" applyBorder="1" applyAlignment="1" applyProtection="1">
      <alignment horizontal="right"/>
    </xf>
    <xf numFmtId="37" fontId="29" fillId="4" borderId="0" xfId="2" applyNumberFormat="1" applyFont="1" applyFill="1" applyAlignment="1" applyProtection="1">
      <alignment horizontal="right"/>
    </xf>
    <xf numFmtId="37" fontId="41" fillId="4" borderId="0" xfId="2" applyNumberFormat="1" applyFont="1" applyFill="1" applyAlignment="1" applyProtection="1">
      <alignment horizontal="right"/>
    </xf>
    <xf numFmtId="37" fontId="29" fillId="0" borderId="0" xfId="1" applyNumberFormat="1" applyFont="1" applyBorder="1" applyAlignment="1" applyProtection="1">
      <alignment horizontal="right"/>
    </xf>
    <xf numFmtId="37" fontId="29" fillId="0" borderId="0" xfId="1" applyNumberFormat="1" applyFont="1" applyAlignment="1" applyProtection="1">
      <alignment horizontal="right"/>
    </xf>
    <xf numFmtId="37" fontId="29" fillId="0" borderId="23" xfId="0" applyNumberFormat="1" applyFont="1" applyBorder="1" applyAlignment="1" applyProtection="1">
      <alignment horizontal="right"/>
      <protection locked="0"/>
    </xf>
    <xf numFmtId="37" fontId="29" fillId="0" borderId="3" xfId="0" applyNumberFormat="1" applyFont="1" applyBorder="1" applyAlignment="1">
      <alignment horizontal="right"/>
    </xf>
    <xf numFmtId="37" fontId="41" fillId="0" borderId="0" xfId="0" applyNumberFormat="1" applyFont="1" applyAlignment="1">
      <alignment horizontal="right"/>
    </xf>
    <xf numFmtId="39" fontId="29" fillId="3" borderId="0" xfId="0" applyNumberFormat="1" applyFont="1" applyFill="1" applyAlignment="1" applyProtection="1">
      <alignment horizontal="right"/>
      <protection locked="0"/>
    </xf>
    <xf numFmtId="39" fontId="29" fillId="0" borderId="0" xfId="1" applyNumberFormat="1" applyFont="1" applyFill="1" applyAlignment="1" applyProtection="1">
      <alignment horizontal="right"/>
      <protection locked="0"/>
    </xf>
    <xf numFmtId="39" fontId="29" fillId="0" borderId="0" xfId="0" applyNumberFormat="1" applyFont="1" applyAlignment="1">
      <alignment horizontal="right"/>
    </xf>
    <xf numFmtId="39" fontId="29" fillId="0" borderId="3" xfId="0" applyNumberFormat="1" applyFont="1" applyBorder="1" applyAlignment="1">
      <alignment horizontal="right"/>
    </xf>
    <xf numFmtId="39" fontId="41" fillId="3" borderId="0" xfId="0" applyNumberFormat="1" applyFont="1" applyFill="1" applyAlignment="1" applyProtection="1">
      <alignment horizontal="right"/>
      <protection locked="0"/>
    </xf>
    <xf numFmtId="39" fontId="41" fillId="0" borderId="0" xfId="0" applyNumberFormat="1" applyFont="1" applyAlignment="1">
      <alignment horizontal="right"/>
    </xf>
    <xf numFmtId="3" fontId="29" fillId="0" borderId="0" xfId="0" applyNumberFormat="1" applyFont="1" applyAlignment="1" applyProtection="1">
      <alignment horizontal="right"/>
      <protection locked="0"/>
    </xf>
    <xf numFmtId="37" fontId="41" fillId="0" borderId="0" xfId="1" applyNumberFormat="1" applyFont="1" applyAlignment="1" applyProtection="1">
      <alignment horizontal="right"/>
    </xf>
    <xf numFmtId="37" fontId="17" fillId="0" borderId="0" xfId="0" applyNumberFormat="1" applyFont="1" applyAlignment="1">
      <alignment horizontal="right"/>
    </xf>
    <xf numFmtId="37" fontId="46" fillId="3" borderId="0" xfId="0" applyNumberFormat="1" applyFont="1" applyFill="1" applyAlignment="1" applyProtection="1">
      <alignment horizontal="right"/>
      <protection locked="0"/>
    </xf>
    <xf numFmtId="37" fontId="20" fillId="0" borderId="0" xfId="1" applyNumberFormat="1" applyFont="1" applyFill="1" applyAlignment="1" applyProtection="1">
      <alignment horizontal="right"/>
      <protection locked="0"/>
    </xf>
    <xf numFmtId="37" fontId="46" fillId="3" borderId="0" xfId="1" applyNumberFormat="1" applyFont="1" applyFill="1" applyAlignment="1" applyProtection="1">
      <alignment horizontal="right"/>
      <protection locked="0"/>
    </xf>
    <xf numFmtId="37" fontId="20" fillId="0" borderId="3" xfId="1" applyNumberFormat="1" applyFont="1" applyFill="1" applyBorder="1" applyAlignment="1" applyProtection="1">
      <alignment horizontal="right"/>
    </xf>
    <xf numFmtId="37" fontId="20" fillId="3" borderId="0" xfId="1" applyNumberFormat="1" applyFont="1" applyFill="1" applyBorder="1" applyAlignment="1" applyProtection="1">
      <alignment horizontal="right"/>
      <protection locked="0"/>
    </xf>
    <xf numFmtId="37" fontId="20" fillId="0" borderId="0" xfId="1" applyNumberFormat="1" applyFont="1" applyFill="1" applyAlignment="1" applyProtection="1">
      <alignment horizontal="right"/>
    </xf>
    <xf numFmtId="0" fontId="17" fillId="0" borderId="0" xfId="0" applyFont="1" applyAlignment="1" applyProtection="1">
      <alignment horizontal="right"/>
      <protection locked="0"/>
    </xf>
    <xf numFmtId="37" fontId="46" fillId="0" borderId="0" xfId="0" applyNumberFormat="1" applyFont="1" applyAlignment="1">
      <alignment horizontal="right"/>
    </xf>
    <xf numFmtId="37" fontId="46" fillId="0" borderId="0" xfId="1" applyNumberFormat="1" applyFont="1" applyFill="1" applyAlignment="1" applyProtection="1">
      <alignment horizontal="right"/>
    </xf>
    <xf numFmtId="37" fontId="46" fillId="0" borderId="3" xfId="1" applyNumberFormat="1" applyFont="1" applyFill="1" applyBorder="1" applyAlignment="1" applyProtection="1">
      <alignment horizontal="right"/>
    </xf>
    <xf numFmtId="37" fontId="46" fillId="3" borderId="0" xfId="1" applyNumberFormat="1" applyFont="1" applyFill="1" applyBorder="1" applyAlignment="1" applyProtection="1">
      <alignment horizontal="right"/>
      <protection locked="0"/>
    </xf>
    <xf numFmtId="37" fontId="46" fillId="4" borderId="0" xfId="1" applyNumberFormat="1" applyFont="1" applyFill="1" applyAlignment="1" applyProtection="1">
      <alignment horizontal="right"/>
    </xf>
    <xf numFmtId="0" fontId="46" fillId="0" borderId="0" xfId="0" applyFont="1" applyAlignment="1" applyProtection="1">
      <alignment horizontal="right"/>
      <protection locked="0"/>
    </xf>
    <xf numFmtId="37" fontId="17" fillId="3" borderId="0" xfId="0" applyNumberFormat="1" applyFont="1" applyFill="1" applyAlignment="1" applyProtection="1">
      <alignment horizontal="right"/>
      <protection locked="0"/>
    </xf>
    <xf numFmtId="37" fontId="23" fillId="0" borderId="0" xfId="1" applyNumberFormat="1" applyFont="1" applyFill="1" applyAlignment="1" applyProtection="1">
      <alignment horizontal="right"/>
    </xf>
    <xf numFmtId="37" fontId="23" fillId="3" borderId="0" xfId="1" applyNumberFormat="1" applyFont="1" applyFill="1" applyAlignment="1" applyProtection="1">
      <alignment horizontal="right"/>
      <protection locked="0"/>
    </xf>
    <xf numFmtId="37" fontId="23" fillId="0" borderId="3" xfId="1" applyNumberFormat="1" applyFont="1" applyFill="1" applyBorder="1" applyAlignment="1" applyProtection="1">
      <alignment horizontal="right"/>
    </xf>
    <xf numFmtId="37" fontId="23" fillId="3" borderId="0" xfId="1" applyNumberFormat="1" applyFont="1" applyFill="1" applyBorder="1" applyAlignment="1" applyProtection="1">
      <alignment horizontal="right"/>
      <protection locked="0"/>
    </xf>
    <xf numFmtId="37" fontId="20" fillId="0" borderId="0" xfId="1" applyNumberFormat="1" applyFont="1" applyFill="1" applyBorder="1" applyAlignment="1" applyProtection="1">
      <alignment horizontal="right"/>
    </xf>
    <xf numFmtId="37" fontId="33" fillId="0" borderId="0" xfId="0" applyNumberFormat="1" applyFont="1" applyAlignment="1">
      <alignment horizontal="right"/>
    </xf>
    <xf numFmtId="37" fontId="33" fillId="0" borderId="0" xfId="2" applyNumberFormat="1" applyFont="1" applyFill="1" applyAlignment="1" applyProtection="1">
      <alignment horizontal="right"/>
    </xf>
    <xf numFmtId="37" fontId="33" fillId="0" borderId="3" xfId="2" applyNumberFormat="1" applyFont="1" applyFill="1" applyBorder="1" applyAlignment="1" applyProtection="1">
      <alignment horizontal="right"/>
    </xf>
    <xf numFmtId="37" fontId="25" fillId="0" borderId="0" xfId="2" applyNumberFormat="1" applyFont="1" applyFill="1" applyAlignment="1" applyProtection="1">
      <alignment horizontal="right"/>
    </xf>
    <xf numFmtId="0" fontId="33" fillId="0" borderId="0" xfId="0" applyFont="1" applyAlignment="1" applyProtection="1">
      <alignment horizontal="right"/>
      <protection locked="0"/>
    </xf>
    <xf numFmtId="37" fontId="46" fillId="0" borderId="0" xfId="2" applyNumberFormat="1" applyFont="1" applyFill="1" applyAlignment="1" applyProtection="1">
      <alignment horizontal="right"/>
    </xf>
    <xf numFmtId="37" fontId="46" fillId="0" borderId="3" xfId="2" applyNumberFormat="1" applyFont="1" applyFill="1" applyBorder="1" applyAlignment="1" applyProtection="1">
      <alignment horizontal="right"/>
    </xf>
    <xf numFmtId="37" fontId="22" fillId="0" borderId="0" xfId="1" applyNumberFormat="1" applyFont="1" applyFill="1" applyAlignment="1" applyProtection="1">
      <alignment horizontal="right"/>
    </xf>
    <xf numFmtId="37" fontId="46" fillId="0" borderId="0" xfId="2" applyNumberFormat="1" applyFont="1" applyFill="1" applyBorder="1" applyAlignment="1" applyProtection="1">
      <alignment horizontal="right"/>
    </xf>
    <xf numFmtId="37" fontId="34" fillId="0" borderId="0" xfId="0" applyNumberFormat="1" applyFont="1" applyAlignment="1">
      <alignment horizontal="right"/>
    </xf>
    <xf numFmtId="37" fontId="32" fillId="0" borderId="0" xfId="1" applyNumberFormat="1" applyFont="1" applyFill="1" applyAlignment="1" applyProtection="1">
      <alignment horizontal="right"/>
    </xf>
    <xf numFmtId="37" fontId="32" fillId="0" borderId="3" xfId="1" applyNumberFormat="1" applyFont="1" applyFill="1" applyBorder="1" applyAlignment="1" applyProtection="1">
      <alignment horizontal="right"/>
    </xf>
    <xf numFmtId="37" fontId="31" fillId="0" borderId="0" xfId="1" applyNumberFormat="1" applyFont="1" applyFill="1" applyAlignment="1" applyProtection="1">
      <alignment horizontal="right"/>
    </xf>
    <xf numFmtId="0" fontId="34" fillId="0" borderId="0" xfId="0" applyFont="1" applyAlignment="1" applyProtection="1">
      <alignment horizontal="right"/>
      <protection locked="0"/>
    </xf>
    <xf numFmtId="37" fontId="22" fillId="0" borderId="0" xfId="1" applyNumberFormat="1" applyFont="1" applyAlignment="1" applyProtection="1">
      <alignment horizontal="right"/>
    </xf>
    <xf numFmtId="37" fontId="46" fillId="0" borderId="0" xfId="1" applyNumberFormat="1" applyFont="1" applyAlignment="1" applyProtection="1">
      <alignment horizontal="right"/>
    </xf>
    <xf numFmtId="37" fontId="17" fillId="0" borderId="3" xfId="0" applyNumberFormat="1" applyFont="1" applyBorder="1" applyAlignment="1">
      <alignment horizontal="right"/>
    </xf>
    <xf numFmtId="37" fontId="46" fillId="0" borderId="3" xfId="0" applyNumberFormat="1" applyFont="1" applyBorder="1" applyAlignment="1">
      <alignment horizontal="right"/>
    </xf>
    <xf numFmtId="0" fontId="30" fillId="2" borderId="0" xfId="0" applyFont="1" applyFill="1" applyProtection="1">
      <protection locked="0"/>
    </xf>
    <xf numFmtId="0" fontId="36" fillId="2" borderId="0" xfId="0" applyFont="1" applyFill="1" applyProtection="1">
      <protection locked="0"/>
    </xf>
    <xf numFmtId="0" fontId="30" fillId="10" borderId="0" xfId="0" applyFont="1" applyFill="1" applyProtection="1">
      <protection locked="0"/>
    </xf>
    <xf numFmtId="0" fontId="36" fillId="10" borderId="0" xfId="0" applyFont="1" applyFill="1" applyProtection="1">
      <protection locked="0"/>
    </xf>
    <xf numFmtId="0" fontId="30" fillId="3" borderId="0" xfId="0" applyFont="1" applyFill="1" applyProtection="1">
      <protection locked="0"/>
    </xf>
    <xf numFmtId="0" fontId="36" fillId="11" borderId="7" xfId="0" applyFont="1" applyFill="1" applyBorder="1" applyProtection="1">
      <protection locked="0"/>
    </xf>
    <xf numFmtId="0" fontId="36" fillId="11" borderId="19" xfId="0" applyFont="1" applyFill="1" applyBorder="1" applyAlignment="1" applyProtection="1">
      <alignment horizontal="left" indent="1"/>
      <protection locked="0"/>
    </xf>
    <xf numFmtId="0" fontId="36" fillId="11" borderId="7" xfId="0" applyFont="1" applyFill="1" applyBorder="1"/>
    <xf numFmtId="10" fontId="30" fillId="0" borderId="0" xfId="0" applyNumberFormat="1" applyFont="1" applyProtection="1">
      <protection locked="0"/>
    </xf>
    <xf numFmtId="0" fontId="29" fillId="0" borderId="0" xfId="0" applyFont="1" applyProtection="1">
      <protection locked="0"/>
    </xf>
    <xf numFmtId="10" fontId="29" fillId="0" borderId="0" xfId="0" applyNumberFormat="1" applyFont="1" applyProtection="1">
      <protection locked="0"/>
    </xf>
    <xf numFmtId="2" fontId="30" fillId="0" borderId="0" xfId="0" applyNumberFormat="1" applyFont="1" applyProtection="1">
      <protection locked="0"/>
    </xf>
    <xf numFmtId="2" fontId="29" fillId="0" borderId="0" xfId="0" applyNumberFormat="1" applyFont="1" applyProtection="1">
      <protection locked="0"/>
    </xf>
    <xf numFmtId="0" fontId="36" fillId="11" borderId="19" xfId="0" applyFont="1" applyFill="1" applyBorder="1" applyProtection="1">
      <protection locked="0"/>
    </xf>
    <xf numFmtId="37" fontId="40" fillId="3" borderId="0" xfId="0" applyNumberFormat="1" applyFont="1" applyFill="1" applyProtection="1">
      <protection locked="0"/>
    </xf>
    <xf numFmtId="0" fontId="17" fillId="0" borderId="0" xfId="0" applyFont="1" applyAlignment="1">
      <alignment horizontal="left" indent="3"/>
    </xf>
    <xf numFmtId="0" fontId="26" fillId="0" borderId="0" xfId="0" applyFont="1" applyAlignment="1">
      <alignment horizontal="left" indent="4"/>
    </xf>
    <xf numFmtId="173" fontId="0" fillId="0" borderId="0" xfId="0" applyNumberFormat="1"/>
    <xf numFmtId="39" fontId="0" fillId="0" borderId="0" xfId="0" applyNumberFormat="1"/>
    <xf numFmtId="167" fontId="26" fillId="3" borderId="0" xfId="2" applyNumberFormat="1" applyFont="1" applyFill="1" applyProtection="1">
      <protection locked="0"/>
    </xf>
    <xf numFmtId="167" fontId="26" fillId="0" borderId="0" xfId="2" applyNumberFormat="1" applyFont="1" applyFill="1" applyBorder="1" applyProtection="1">
      <protection locked="0"/>
    </xf>
    <xf numFmtId="167" fontId="26" fillId="3" borderId="0" xfId="2" applyNumberFormat="1" applyFont="1" applyFill="1" applyBorder="1" applyProtection="1">
      <protection locked="0"/>
    </xf>
    <xf numFmtId="167" fontId="26" fillId="0" borderId="0" xfId="2" applyNumberFormat="1" applyFont="1" applyProtection="1">
      <protection locked="0"/>
    </xf>
    <xf numFmtId="167" fontId="41" fillId="3" borderId="0" xfId="2" applyNumberFormat="1" applyFont="1" applyFill="1" applyProtection="1">
      <protection locked="0"/>
    </xf>
    <xf numFmtId="167" fontId="41" fillId="0" borderId="0" xfId="2" applyNumberFormat="1" applyFont="1" applyProtection="1">
      <protection locked="0"/>
    </xf>
    <xf numFmtId="37" fontId="40" fillId="0" borderId="0" xfId="0" applyNumberFormat="1" applyFont="1" applyProtection="1">
      <protection locked="0"/>
    </xf>
    <xf numFmtId="37" fontId="30" fillId="0" borderId="0" xfId="0" applyNumberFormat="1" applyFont="1" applyProtection="1">
      <protection locked="0"/>
    </xf>
    <xf numFmtId="37" fontId="30" fillId="0" borderId="7" xfId="0" applyNumberFormat="1" applyFont="1" applyBorder="1" applyProtection="1">
      <protection locked="0"/>
    </xf>
    <xf numFmtId="37" fontId="30" fillId="3" borderId="0" xfId="0" applyNumberFormat="1" applyFont="1" applyFill="1" applyProtection="1">
      <protection locked="0"/>
    </xf>
    <xf numFmtId="37" fontId="36" fillId="11" borderId="7" xfId="0" applyNumberFormat="1" applyFont="1" applyFill="1" applyBorder="1" applyProtection="1">
      <protection locked="0"/>
    </xf>
    <xf numFmtId="167" fontId="25" fillId="9" borderId="4" xfId="2" applyNumberFormat="1" applyFont="1" applyFill="1" applyBorder="1" applyProtection="1">
      <protection locked="0"/>
    </xf>
    <xf numFmtId="37" fontId="40" fillId="0" borderId="0" xfId="1" applyNumberFormat="1" applyFont="1" applyFill="1" applyBorder="1" applyProtection="1">
      <protection locked="0"/>
    </xf>
    <xf numFmtId="167" fontId="30" fillId="0" borderId="0" xfId="0" applyNumberFormat="1" applyFont="1" applyProtection="1">
      <protection locked="0"/>
    </xf>
    <xf numFmtId="167" fontId="27" fillId="0" borderId="0" xfId="0" applyNumberFormat="1" applyFont="1" applyProtection="1">
      <protection locked="0"/>
    </xf>
    <xf numFmtId="174" fontId="29" fillId="3" borderId="0" xfId="0" applyNumberFormat="1" applyFont="1" applyFill="1" applyProtection="1">
      <protection locked="0"/>
    </xf>
    <xf numFmtId="39" fontId="36" fillId="0" borderId="0" xfId="0" applyNumberFormat="1" applyFont="1" applyProtection="1">
      <protection locked="0"/>
    </xf>
    <xf numFmtId="37" fontId="36" fillId="0" borderId="0" xfId="0" applyNumberFormat="1" applyFont="1" applyProtection="1">
      <protection locked="0"/>
    </xf>
    <xf numFmtId="37" fontId="26" fillId="3" borderId="0" xfId="0" applyNumberFormat="1" applyFont="1" applyFill="1" applyProtection="1">
      <protection locked="0"/>
    </xf>
    <xf numFmtId="37" fontId="27" fillId="0" borderId="0" xfId="0" applyNumberFormat="1" applyFont="1" applyProtection="1">
      <protection locked="0"/>
    </xf>
    <xf numFmtId="37" fontId="27" fillId="0" borderId="0" xfId="0" applyNumberFormat="1" applyFont="1"/>
    <xf numFmtId="37" fontId="27" fillId="0" borderId="3" xfId="0" applyNumberFormat="1" applyFont="1" applyBorder="1"/>
    <xf numFmtId="37" fontId="25" fillId="9" borderId="4" xfId="0" applyNumberFormat="1" applyFont="1" applyFill="1" applyBorder="1" applyProtection="1">
      <protection locked="0"/>
    </xf>
    <xf numFmtId="167" fontId="30" fillId="0" borderId="0" xfId="2" applyNumberFormat="1" applyFont="1" applyProtection="1">
      <protection locked="0"/>
    </xf>
    <xf numFmtId="174" fontId="25" fillId="9" borderId="4" xfId="0" applyNumberFormat="1" applyFont="1" applyFill="1" applyBorder="1" applyProtection="1">
      <protection locked="0"/>
    </xf>
    <xf numFmtId="174" fontId="29" fillId="0" borderId="0" xfId="0" applyNumberFormat="1" applyFont="1" applyProtection="1">
      <protection locked="0"/>
    </xf>
    <xf numFmtId="174" fontId="29" fillId="0" borderId="0" xfId="0" applyNumberFormat="1" applyFont="1"/>
    <xf numFmtId="174" fontId="29" fillId="0" borderId="3" xfId="0" applyNumberFormat="1" applyFont="1" applyBorder="1"/>
    <xf numFmtId="174" fontId="41" fillId="3" borderId="0" xfId="0" applyNumberFormat="1" applyFont="1" applyFill="1" applyProtection="1">
      <protection locked="0"/>
    </xf>
    <xf numFmtId="174" fontId="29" fillId="0" borderId="0" xfId="1" applyNumberFormat="1" applyFont="1" applyFill="1" applyBorder="1" applyProtection="1"/>
    <xf numFmtId="174" fontId="29" fillId="0" borderId="3" xfId="1" applyNumberFormat="1" applyFont="1" applyFill="1" applyBorder="1" applyProtection="1"/>
    <xf numFmtId="174" fontId="27" fillId="0" borderId="0" xfId="0" applyNumberFormat="1" applyFont="1" applyProtection="1">
      <protection locked="0"/>
    </xf>
    <xf numFmtId="167" fontId="27" fillId="0" borderId="0" xfId="2" applyNumberFormat="1" applyFont="1" applyProtection="1">
      <protection locked="0"/>
    </xf>
    <xf numFmtId="0" fontId="30" fillId="0" borderId="13" xfId="0" applyFont="1" applyBorder="1"/>
    <xf numFmtId="0" fontId="37" fillId="2" borderId="0" xfId="0" applyFont="1" applyFill="1" applyProtection="1">
      <protection locked="0"/>
    </xf>
    <xf numFmtId="0" fontId="39" fillId="0" borderId="0" xfId="0" applyFont="1" applyProtection="1">
      <protection locked="0"/>
    </xf>
    <xf numFmtId="0" fontId="39" fillId="0" borderId="0" xfId="0" applyFont="1"/>
    <xf numFmtId="0" fontId="39" fillId="2" borderId="0" xfId="0" applyFont="1" applyFill="1" applyProtection="1">
      <protection locked="0"/>
    </xf>
    <xf numFmtId="0" fontId="45" fillId="0" borderId="0" xfId="0" applyFont="1" applyProtection="1">
      <protection locked="0"/>
    </xf>
    <xf numFmtId="0" fontId="45" fillId="0" borderId="0" xfId="0" applyFont="1"/>
    <xf numFmtId="37" fontId="45" fillId="0" borderId="0" xfId="0" applyNumberFormat="1" applyFont="1" applyProtection="1">
      <protection locked="0"/>
    </xf>
    <xf numFmtId="171" fontId="28" fillId="9" borderId="4" xfId="2" applyNumberFormat="1" applyFont="1" applyFill="1" applyBorder="1" applyProtection="1">
      <protection locked="0"/>
    </xf>
    <xf numFmtId="0" fontId="30" fillId="0" borderId="1" xfId="0" applyFont="1" applyBorder="1" applyProtection="1">
      <protection locked="0"/>
    </xf>
    <xf numFmtId="37" fontId="30" fillId="0" borderId="1" xfId="0" applyNumberFormat="1" applyFont="1" applyBorder="1" applyProtection="1">
      <protection locked="0"/>
    </xf>
    <xf numFmtId="174" fontId="40" fillId="0" borderId="1" xfId="0" applyNumberFormat="1" applyFont="1" applyBorder="1" applyProtection="1">
      <protection locked="0"/>
    </xf>
    <xf numFmtId="37" fontId="51" fillId="0" borderId="0" xfId="0" applyNumberFormat="1" applyFont="1"/>
    <xf numFmtId="37" fontId="14" fillId="0" borderId="0" xfId="0" applyNumberFormat="1" applyFont="1"/>
    <xf numFmtId="37" fontId="14" fillId="0" borderId="1" xfId="0" applyNumberFormat="1" applyFont="1" applyBorder="1"/>
    <xf numFmtId="171" fontId="0" fillId="0" borderId="0" xfId="0" applyNumberFormat="1"/>
    <xf numFmtId="39" fontId="41" fillId="0" borderId="0" xfId="0" applyNumberFormat="1" applyFont="1" applyProtection="1">
      <protection locked="0"/>
    </xf>
    <xf numFmtId="0" fontId="30" fillId="0" borderId="1" xfId="0" applyFont="1" applyBorder="1"/>
    <xf numFmtId="0" fontId="36" fillId="0" borderId="1" xfId="0" applyFont="1" applyBorder="1" applyProtection="1">
      <protection locked="0"/>
    </xf>
    <xf numFmtId="172" fontId="41" fillId="0" borderId="0" xfId="0" applyNumberFormat="1" applyFont="1" applyProtection="1">
      <protection locked="0"/>
    </xf>
    <xf numFmtId="0" fontId="39" fillId="2" borderId="0" xfId="0" applyFont="1" applyFill="1" applyAlignment="1" applyProtection="1">
      <alignment horizontal="right"/>
      <protection locked="0"/>
    </xf>
    <xf numFmtId="174" fontId="41" fillId="0" borderId="0" xfId="0" applyNumberFormat="1" applyFont="1" applyProtection="1">
      <protection locked="0"/>
    </xf>
    <xf numFmtId="37" fontId="30" fillId="0" borderId="9" xfId="0" applyNumberFormat="1" applyFont="1" applyBorder="1" applyProtection="1">
      <protection locked="0"/>
    </xf>
    <xf numFmtId="0" fontId="46" fillId="0" borderId="3" xfId="0" applyFont="1" applyBorder="1"/>
    <xf numFmtId="3" fontId="41" fillId="0" borderId="0" xfId="0" applyNumberFormat="1" applyFont="1" applyProtection="1">
      <protection locked="0"/>
    </xf>
    <xf numFmtId="0" fontId="8" fillId="9" borderId="4" xfId="13" applyFont="1" applyFill="1" applyBorder="1"/>
    <xf numFmtId="0" fontId="8" fillId="9" borderId="4" xfId="13" applyFont="1" applyFill="1" applyBorder="1" applyAlignment="1">
      <alignment wrapText="1"/>
    </xf>
    <xf numFmtId="0" fontId="7" fillId="12" borderId="0" xfId="0" applyFont="1" applyFill="1"/>
    <xf numFmtId="169" fontId="4" fillId="0" borderId="0" xfId="0" applyNumberFormat="1" applyFont="1"/>
    <xf numFmtId="0" fontId="6" fillId="12" borderId="0" xfId="0" applyFont="1" applyFill="1"/>
    <xf numFmtId="0" fontId="4" fillId="12" borderId="0" xfId="0" applyFont="1" applyFill="1"/>
    <xf numFmtId="0" fontId="5" fillId="0" borderId="0" xfId="0" applyFont="1" applyAlignment="1">
      <alignment horizontal="left"/>
    </xf>
    <xf numFmtId="0" fontId="8" fillId="9" borderId="22" xfId="13" applyFont="1" applyFill="1" applyBorder="1"/>
    <xf numFmtId="0" fontId="0" fillId="9" borderId="24" xfId="0" applyFill="1" applyBorder="1"/>
    <xf numFmtId="0" fontId="8" fillId="9" borderId="16" xfId="13" applyFont="1" applyFill="1" applyBorder="1"/>
    <xf numFmtId="0" fontId="0" fillId="9" borderId="6" xfId="0" applyFill="1" applyBorder="1"/>
    <xf numFmtId="0" fontId="39" fillId="2" borderId="0" xfId="0" applyFont="1" applyFill="1"/>
    <xf numFmtId="0" fontId="36" fillId="0" borderId="0" xfId="0" applyFont="1" applyAlignment="1">
      <alignment horizontal="left" indent="1"/>
    </xf>
    <xf numFmtId="0" fontId="36" fillId="0" borderId="0" xfId="0" applyFont="1" applyAlignment="1">
      <alignment horizontal="center" vertical="center" wrapText="1"/>
    </xf>
    <xf numFmtId="0" fontId="30" fillId="0" borderId="0" xfId="0" applyFont="1" applyAlignment="1">
      <alignment horizontal="left" indent="1"/>
    </xf>
    <xf numFmtId="0" fontId="36" fillId="0" borderId="0" xfId="0" applyFont="1" applyAlignment="1">
      <alignment horizontal="left" vertical="top" indent="1"/>
    </xf>
    <xf numFmtId="0" fontId="29" fillId="0" borderId="0" xfId="5" applyFont="1" applyAlignment="1">
      <alignment vertical="center"/>
    </xf>
    <xf numFmtId="0" fontId="45" fillId="0" borderId="0" xfId="5" applyFont="1" applyAlignment="1">
      <alignment vertical="center"/>
    </xf>
    <xf numFmtId="0" fontId="30" fillId="10" borderId="0" xfId="0" applyFont="1" applyFill="1" applyAlignment="1">
      <alignment horizontal="center"/>
    </xf>
    <xf numFmtId="0" fontId="52" fillId="0" borderId="0" xfId="0" applyFont="1"/>
    <xf numFmtId="0" fontId="39" fillId="2" borderId="0" xfId="0" applyFont="1" applyFill="1" applyAlignment="1" applyProtection="1">
      <alignment horizontal="left"/>
      <protection locked="0"/>
    </xf>
    <xf numFmtId="0" fontId="39" fillId="2" borderId="0" xfId="0" applyFont="1" applyFill="1" applyAlignment="1" applyProtection="1">
      <alignment horizontal="left" indent="1"/>
      <protection locked="0"/>
    </xf>
    <xf numFmtId="164" fontId="39" fillId="2" borderId="0" xfId="0" applyNumberFormat="1" applyFont="1" applyFill="1" applyAlignment="1">
      <alignment horizontal="center"/>
    </xf>
    <xf numFmtId="0" fontId="53" fillId="2" borderId="0" xfId="0" applyFont="1" applyFill="1"/>
    <xf numFmtId="164" fontId="39" fillId="2" borderId="0" xfId="0" applyNumberFormat="1" applyFont="1" applyFill="1" applyAlignment="1" applyProtection="1">
      <alignment horizontal="center"/>
      <protection locked="0"/>
    </xf>
    <xf numFmtId="0" fontId="39" fillId="10" borderId="0" xfId="0" applyFont="1" applyFill="1" applyProtection="1">
      <protection locked="0"/>
    </xf>
    <xf numFmtId="0" fontId="37" fillId="10" borderId="0" xfId="0" applyFont="1" applyFill="1"/>
    <xf numFmtId="164" fontId="39" fillId="10" borderId="0" xfId="0" applyNumberFormat="1" applyFont="1" applyFill="1" applyProtection="1">
      <protection locked="0"/>
    </xf>
    <xf numFmtId="164" fontId="39" fillId="10" borderId="0" xfId="0" applyNumberFormat="1" applyFont="1" applyFill="1"/>
    <xf numFmtId="0" fontId="39" fillId="2" borderId="0" xfId="5" applyFont="1" applyFill="1" applyAlignment="1">
      <alignment vertical="center"/>
    </xf>
    <xf numFmtId="0" fontId="39" fillId="0" borderId="0" xfId="0" applyFont="1" applyAlignment="1" applyProtection="1">
      <alignment horizontal="left" indent="1"/>
      <protection locked="0"/>
    </xf>
    <xf numFmtId="0" fontId="29" fillId="10" borderId="0" xfId="5" applyFont="1" applyFill="1" applyAlignment="1">
      <alignment vertical="center"/>
    </xf>
    <xf numFmtId="0" fontId="45" fillId="10" borderId="0" xfId="5" applyFont="1" applyFill="1" applyAlignment="1">
      <alignment vertical="center"/>
    </xf>
    <xf numFmtId="0" fontId="29" fillId="0" borderId="25" xfId="5" applyFont="1" applyBorder="1" applyAlignment="1">
      <alignment vertical="center"/>
    </xf>
    <xf numFmtId="0" fontId="45" fillId="0" borderId="25" xfId="5" applyFont="1" applyBorder="1" applyAlignment="1">
      <alignment vertical="center"/>
    </xf>
    <xf numFmtId="0" fontId="29" fillId="0" borderId="0" xfId="5" applyFont="1" applyAlignment="1">
      <alignment horizontal="center" vertical="center"/>
    </xf>
    <xf numFmtId="0" fontId="29" fillId="0" borderId="0" xfId="5" applyFont="1" applyAlignment="1">
      <alignment horizontal="left" vertical="center" wrapText="1"/>
    </xf>
    <xf numFmtId="0" fontId="29" fillId="0" borderId="0" xfId="5" applyFont="1" applyAlignment="1">
      <alignment horizontal="left" vertical="top" wrapText="1"/>
    </xf>
    <xf numFmtId="0" fontId="27" fillId="0" borderId="0" xfId="0" applyFont="1" applyAlignment="1">
      <alignment horizontal="left" indent="1"/>
    </xf>
    <xf numFmtId="0" fontId="45" fillId="0" borderId="25" xfId="5" applyFont="1" applyBorder="1" applyAlignment="1">
      <alignment horizontal="right" vertical="center"/>
    </xf>
    <xf numFmtId="0" fontId="45" fillId="0" borderId="0" xfId="5" applyFont="1" applyAlignment="1">
      <alignment horizontal="left" vertical="center" indent="1"/>
    </xf>
    <xf numFmtId="0" fontId="55" fillId="0" borderId="0" xfId="5" applyFont="1" applyAlignment="1">
      <alignment vertical="center"/>
    </xf>
    <xf numFmtId="14" fontId="55" fillId="0" borderId="0" xfId="5" applyNumberFormat="1" applyFont="1" applyAlignment="1">
      <alignment horizontal="right" vertical="center"/>
    </xf>
    <xf numFmtId="0" fontId="8" fillId="9" borderId="21" xfId="13" applyFont="1" applyFill="1" applyBorder="1"/>
    <xf numFmtId="0" fontId="56" fillId="0" borderId="25" xfId="0" applyFont="1" applyBorder="1"/>
    <xf numFmtId="0" fontId="0" fillId="0" borderId="25" xfId="0" applyBorder="1"/>
    <xf numFmtId="0" fontId="5" fillId="0" borderId="25" xfId="0" applyFont="1" applyBorder="1"/>
    <xf numFmtId="39" fontId="0" fillId="0" borderId="0" xfId="0" applyNumberFormat="1" applyAlignment="1">
      <alignment horizontal="right"/>
    </xf>
    <xf numFmtId="0" fontId="57" fillId="2" borderId="0" xfId="0" applyFont="1" applyFill="1" applyAlignment="1">
      <alignment horizontal="right"/>
    </xf>
    <xf numFmtId="37" fontId="41" fillId="0" borderId="3" xfId="1" applyNumberFormat="1" applyFont="1" applyFill="1" applyBorder="1" applyProtection="1">
      <protection locked="0"/>
    </xf>
    <xf numFmtId="167" fontId="26" fillId="0" borderId="3" xfId="2" applyNumberFormat="1" applyFont="1" applyFill="1" applyBorder="1" applyProtection="1">
      <protection locked="0"/>
    </xf>
    <xf numFmtId="37" fontId="29" fillId="0" borderId="3" xfId="1" applyNumberFormat="1" applyFont="1" applyFill="1" applyBorder="1" applyProtection="1">
      <protection locked="0"/>
    </xf>
    <xf numFmtId="37" fontId="29" fillId="0" borderId="3" xfId="2" applyNumberFormat="1" applyFont="1" applyFill="1" applyBorder="1" applyProtection="1">
      <protection locked="0"/>
    </xf>
    <xf numFmtId="167" fontId="26" fillId="0" borderId="3" xfId="2" applyNumberFormat="1" applyFont="1" applyBorder="1" applyProtection="1">
      <protection locked="0"/>
    </xf>
    <xf numFmtId="37" fontId="29" fillId="0" borderId="3" xfId="0" applyNumberFormat="1" applyFont="1" applyBorder="1" applyProtection="1">
      <protection locked="0"/>
    </xf>
    <xf numFmtId="37" fontId="41" fillId="0" borderId="3" xfId="0" applyNumberFormat="1" applyFont="1" applyBorder="1" applyProtection="1">
      <protection locked="0"/>
    </xf>
    <xf numFmtId="37" fontId="27" fillId="0" borderId="3" xfId="0" applyNumberFormat="1" applyFont="1" applyBorder="1" applyProtection="1">
      <protection locked="0"/>
    </xf>
    <xf numFmtId="0" fontId="30" fillId="0" borderId="3" xfId="0" applyFont="1" applyBorder="1" applyProtection="1">
      <protection locked="0"/>
    </xf>
    <xf numFmtId="0" fontId="29" fillId="10" borderId="0" xfId="0" applyFont="1" applyFill="1"/>
    <xf numFmtId="0" fontId="37" fillId="0" borderId="0" xfId="0" applyFont="1"/>
    <xf numFmtId="0" fontId="39" fillId="10" borderId="0" xfId="0" applyFont="1" applyFill="1"/>
    <xf numFmtId="0" fontId="58" fillId="0" borderId="0" xfId="0" applyFont="1"/>
    <xf numFmtId="37" fontId="40" fillId="0" borderId="0" xfId="0" applyNumberFormat="1" applyFont="1"/>
    <xf numFmtId="37" fontId="36" fillId="0" borderId="0" xfId="0" applyNumberFormat="1" applyFont="1"/>
    <xf numFmtId="37" fontId="41" fillId="0" borderId="1" xfId="0" applyNumberFormat="1" applyFont="1" applyBorder="1"/>
    <xf numFmtId="167" fontId="28" fillId="0" borderId="0" xfId="2" applyNumberFormat="1" applyFont="1" applyAlignment="1">
      <alignment horizontal="right"/>
    </xf>
    <xf numFmtId="171" fontId="40" fillId="0" borderId="0" xfId="0" applyNumberFormat="1" applyFont="1"/>
    <xf numFmtId="171" fontId="28" fillId="0" borderId="0" xfId="0" applyNumberFormat="1" applyFont="1"/>
    <xf numFmtId="167" fontId="28" fillId="0" borderId="0" xfId="2" applyNumberFormat="1" applyFont="1" applyFill="1" applyBorder="1"/>
    <xf numFmtId="167" fontId="28" fillId="0" borderId="0" xfId="2" applyNumberFormat="1" applyFont="1"/>
    <xf numFmtId="172" fontId="29" fillId="0" borderId="0" xfId="0" applyNumberFormat="1" applyFont="1"/>
    <xf numFmtId="167" fontId="29" fillId="0" borderId="0" xfId="2" applyNumberFormat="1" applyFont="1"/>
    <xf numFmtId="0" fontId="29" fillId="0" borderId="1" xfId="0" applyFont="1" applyBorder="1"/>
    <xf numFmtId="37" fontId="40" fillId="0" borderId="1" xfId="0" applyNumberFormat="1" applyFont="1" applyBorder="1"/>
    <xf numFmtId="172" fontId="29" fillId="0" borderId="1" xfId="0" applyNumberFormat="1" applyFont="1" applyBorder="1"/>
    <xf numFmtId="167" fontId="29" fillId="0" borderId="1" xfId="2" applyNumberFormat="1" applyFont="1" applyBorder="1"/>
    <xf numFmtId="0" fontId="40" fillId="0" borderId="0" xfId="0" applyFont="1"/>
    <xf numFmtId="37" fontId="45" fillId="0" borderId="0" xfId="0" applyNumberFormat="1" applyFont="1"/>
    <xf numFmtId="172" fontId="45" fillId="0" borderId="0" xfId="0" applyNumberFormat="1" applyFont="1"/>
    <xf numFmtId="167" fontId="45" fillId="0" borderId="0" xfId="2" applyNumberFormat="1" applyFont="1"/>
    <xf numFmtId="0" fontId="29" fillId="0" borderId="19" xfId="0" applyFont="1" applyBorder="1"/>
    <xf numFmtId="37" fontId="40" fillId="0" borderId="7" xfId="0" applyNumberFormat="1" applyFont="1" applyBorder="1"/>
    <xf numFmtId="172" fontId="29" fillId="0" borderId="7" xfId="0" applyNumberFormat="1" applyFont="1" applyBorder="1"/>
    <xf numFmtId="167" fontId="29" fillId="0" borderId="17" xfId="2" applyNumberFormat="1" applyFont="1" applyBorder="1"/>
    <xf numFmtId="0" fontId="29" fillId="3" borderId="19" xfId="0" applyFont="1" applyFill="1" applyBorder="1"/>
    <xf numFmtId="0" fontId="29" fillId="3" borderId="7" xfId="0" applyFont="1" applyFill="1" applyBorder="1"/>
    <xf numFmtId="37" fontId="30" fillId="3" borderId="7" xfId="0" applyNumberFormat="1" applyFont="1" applyFill="1" applyBorder="1"/>
    <xf numFmtId="172" fontId="29" fillId="3" borderId="7" xfId="0" applyNumberFormat="1" applyFont="1" applyFill="1" applyBorder="1"/>
    <xf numFmtId="167" fontId="29" fillId="3" borderId="17" xfId="2" applyNumberFormat="1" applyFont="1" applyFill="1" applyBorder="1"/>
    <xf numFmtId="164" fontId="39" fillId="2" borderId="0" xfId="0" applyNumberFormat="1" applyFont="1" applyFill="1"/>
    <xf numFmtId="165" fontId="39" fillId="2" borderId="0" xfId="0" applyNumberFormat="1" applyFont="1" applyFill="1"/>
    <xf numFmtId="0" fontId="29" fillId="0" borderId="0" xfId="0" applyFont="1" applyAlignment="1">
      <alignment horizontal="left" indent="1"/>
    </xf>
    <xf numFmtId="10" fontId="29" fillId="0" borderId="0" xfId="2" applyNumberFormat="1" applyFont="1" applyFill="1" applyBorder="1" applyAlignment="1">
      <alignment horizontal="center"/>
    </xf>
    <xf numFmtId="167" fontId="26" fillId="0" borderId="0" xfId="2" applyNumberFormat="1" applyFont="1" applyFill="1" applyBorder="1"/>
    <xf numFmtId="0" fontId="26" fillId="0" borderId="0" xfId="0" applyFont="1"/>
    <xf numFmtId="10" fontId="59" fillId="11" borderId="7" xfId="2" applyNumberFormat="1" applyFont="1" applyFill="1" applyBorder="1" applyAlignment="1">
      <alignment horizontal="center"/>
    </xf>
    <xf numFmtId="0" fontId="59" fillId="11" borderId="7" xfId="0" applyFont="1" applyFill="1" applyBorder="1"/>
    <xf numFmtId="10" fontId="26" fillId="11" borderId="7" xfId="2" applyNumberFormat="1" applyFont="1" applyFill="1" applyBorder="1"/>
    <xf numFmtId="10" fontId="26" fillId="11" borderId="17" xfId="2" applyNumberFormat="1" applyFont="1" applyFill="1" applyBorder="1"/>
    <xf numFmtId="10" fontId="29" fillId="0" borderId="0" xfId="2" applyNumberFormat="1" applyFont="1" applyAlignment="1">
      <alignment horizontal="center"/>
    </xf>
    <xf numFmtId="4" fontId="41" fillId="0" borderId="0" xfId="0" applyNumberFormat="1" applyFont="1"/>
    <xf numFmtId="4" fontId="41" fillId="0" borderId="5" xfId="0" applyNumberFormat="1" applyFont="1" applyBorder="1"/>
    <xf numFmtId="2" fontId="29" fillId="4" borderId="0" xfId="0" applyNumberFormat="1" applyFont="1" applyFill="1"/>
    <xf numFmtId="2" fontId="29" fillId="0" borderId="0" xfId="0" applyNumberFormat="1" applyFont="1"/>
    <xf numFmtId="0" fontId="29" fillId="10" borderId="0" xfId="0" applyFont="1" applyFill="1" applyAlignment="1">
      <alignment horizontal="left" indent="1"/>
    </xf>
    <xf numFmtId="10" fontId="29" fillId="10" borderId="0" xfId="2" applyNumberFormat="1" applyFont="1" applyFill="1" applyAlignment="1">
      <alignment horizontal="center"/>
    </xf>
    <xf numFmtId="4" fontId="41" fillId="10" borderId="0" xfId="0" applyNumberFormat="1" applyFont="1" applyFill="1"/>
    <xf numFmtId="2" fontId="29" fillId="10" borderId="0" xfId="0" applyNumberFormat="1" applyFont="1" applyFill="1"/>
    <xf numFmtId="168" fontId="37" fillId="0" borderId="0" xfId="1" applyNumberFormat="1" applyFont="1"/>
    <xf numFmtId="168" fontId="29" fillId="0" borderId="0" xfId="1" applyNumberFormat="1" applyFont="1"/>
    <xf numFmtId="167" fontId="25" fillId="9" borderId="6" xfId="2" applyNumberFormat="1" applyFont="1" applyFill="1" applyBorder="1"/>
    <xf numFmtId="167" fontId="25" fillId="9" borderId="4" xfId="2" applyNumberFormat="1" applyFont="1" applyFill="1" applyBorder="1"/>
    <xf numFmtId="167" fontId="26" fillId="0" borderId="0" xfId="2" applyNumberFormat="1" applyFont="1"/>
    <xf numFmtId="0" fontId="30" fillId="4" borderId="0" xfId="0" applyFont="1" applyFill="1"/>
    <xf numFmtId="167" fontId="28" fillId="4" borderId="0" xfId="2" applyNumberFormat="1" applyFont="1" applyFill="1"/>
    <xf numFmtId="0" fontId="29" fillId="4" borderId="0" xfId="0" applyFont="1" applyFill="1"/>
    <xf numFmtId="167" fontId="30" fillId="0" borderId="0" xfId="2" applyNumberFormat="1" applyFont="1"/>
    <xf numFmtId="0" fontId="30" fillId="0" borderId="0" xfId="0" applyFont="1" applyAlignment="1">
      <alignment horizontal="left" indent="3"/>
    </xf>
    <xf numFmtId="168" fontId="60" fillId="0" borderId="0" xfId="1" applyNumberFormat="1" applyFont="1"/>
    <xf numFmtId="0" fontId="61" fillId="0" borderId="0" xfId="0" applyFont="1"/>
    <xf numFmtId="0" fontId="60" fillId="0" borderId="0" xfId="0" applyFont="1" applyAlignment="1">
      <alignment horizontal="left" indent="1"/>
    </xf>
    <xf numFmtId="167" fontId="26" fillId="0" borderId="5" xfId="2" applyNumberFormat="1" applyFont="1" applyBorder="1"/>
    <xf numFmtId="167" fontId="26" fillId="0" borderId="3" xfId="2" applyNumberFormat="1" applyFont="1" applyBorder="1"/>
    <xf numFmtId="167" fontId="26" fillId="0" borderId="3" xfId="2" applyNumberFormat="1" applyFont="1" applyFill="1" applyBorder="1"/>
    <xf numFmtId="9" fontId="30" fillId="0" borderId="0" xfId="2" applyFont="1"/>
    <xf numFmtId="9" fontId="30" fillId="0" borderId="3" xfId="2" applyFont="1" applyBorder="1"/>
    <xf numFmtId="0" fontId="27" fillId="10" borderId="0" xfId="0" applyFont="1" applyFill="1"/>
    <xf numFmtId="168" fontId="30" fillId="0" borderId="0" xfId="0" applyNumberFormat="1" applyFont="1"/>
    <xf numFmtId="3" fontId="25" fillId="9" borderId="6" xfId="0" applyNumberFormat="1" applyFont="1" applyFill="1" applyBorder="1"/>
    <xf numFmtId="3" fontId="25" fillId="0" borderId="0" xfId="0" applyNumberFormat="1" applyFont="1"/>
    <xf numFmtId="167" fontId="25" fillId="0" borderId="0" xfId="2" applyNumberFormat="1" applyFont="1"/>
    <xf numFmtId="0" fontId="41" fillId="10" borderId="0" xfId="0" applyFont="1" applyFill="1"/>
    <xf numFmtId="168" fontId="40" fillId="0" borderId="0" xfId="1" applyNumberFormat="1" applyFont="1"/>
    <xf numFmtId="167" fontId="62" fillId="0" borderId="0" xfId="2" applyNumberFormat="1" applyFont="1"/>
    <xf numFmtId="0" fontId="63" fillId="0" borderId="0" xfId="0" applyFont="1"/>
    <xf numFmtId="168" fontId="29" fillId="0" borderId="0" xfId="0" applyNumberFormat="1" applyFont="1"/>
    <xf numFmtId="167" fontId="28" fillId="0" borderId="0" xfId="0" applyNumberFormat="1" applyFont="1"/>
    <xf numFmtId="0" fontId="30" fillId="0" borderId="5" xfId="0" applyFont="1" applyBorder="1"/>
    <xf numFmtId="164" fontId="39" fillId="2" borderId="3" xfId="0" applyNumberFormat="1" applyFont="1" applyFill="1" applyBorder="1"/>
    <xf numFmtId="0" fontId="30" fillId="10" borderId="3" xfId="0" applyFont="1" applyFill="1" applyBorder="1"/>
    <xf numFmtId="168" fontId="40" fillId="0" borderId="5" xfId="1" applyNumberFormat="1" applyFont="1" applyBorder="1"/>
    <xf numFmtId="168" fontId="40" fillId="0" borderId="3" xfId="1" applyNumberFormat="1" applyFont="1" applyBorder="1"/>
    <xf numFmtId="168" fontId="29" fillId="0" borderId="3" xfId="1" applyNumberFormat="1" applyFont="1" applyBorder="1"/>
    <xf numFmtId="0" fontId="30" fillId="3" borderId="19" xfId="0" applyFont="1" applyFill="1" applyBorder="1" applyAlignment="1">
      <alignment horizontal="left" indent="1"/>
    </xf>
    <xf numFmtId="0" fontId="30" fillId="3" borderId="7" xfId="0" applyFont="1" applyFill="1" applyBorder="1"/>
    <xf numFmtId="168" fontId="30" fillId="3" borderId="7" xfId="0" applyNumberFormat="1" applyFont="1" applyFill="1" applyBorder="1"/>
    <xf numFmtId="168" fontId="30" fillId="3" borderId="20" xfId="0" applyNumberFormat="1" applyFont="1" applyFill="1" applyBorder="1"/>
    <xf numFmtId="168" fontId="30" fillId="3" borderId="17" xfId="0" applyNumberFormat="1" applyFont="1" applyFill="1" applyBorder="1"/>
    <xf numFmtId="0" fontId="37" fillId="0" borderId="5" xfId="0" applyFont="1" applyBorder="1"/>
    <xf numFmtId="0" fontId="30" fillId="0" borderId="0" xfId="0" applyFont="1" applyAlignment="1">
      <alignment horizontal="left" indent="2"/>
    </xf>
    <xf numFmtId="0" fontId="36" fillId="3" borderId="19" xfId="0" applyFont="1" applyFill="1" applyBorder="1" applyAlignment="1">
      <alignment horizontal="left" indent="2"/>
    </xf>
    <xf numFmtId="0" fontId="36" fillId="0" borderId="0" xfId="0" applyFont="1" applyAlignment="1">
      <alignment horizontal="left" indent="2"/>
    </xf>
    <xf numFmtId="168" fontId="30" fillId="0" borderId="5" xfId="0" applyNumberFormat="1" applyFont="1" applyBorder="1"/>
    <xf numFmtId="0" fontId="30" fillId="0" borderId="1" xfId="0" applyFont="1" applyBorder="1" applyAlignment="1">
      <alignment horizontal="left" indent="1"/>
    </xf>
    <xf numFmtId="171" fontId="40" fillId="0" borderId="1" xfId="0" applyNumberFormat="1" applyFont="1" applyBorder="1"/>
    <xf numFmtId="0" fontId="36" fillId="3" borderId="14" xfId="0" applyFont="1" applyFill="1" applyBorder="1" applyAlignment="1">
      <alignment horizontal="left" indent="1"/>
    </xf>
    <xf numFmtId="0" fontId="36" fillId="3" borderId="9" xfId="0" applyFont="1" applyFill="1" applyBorder="1"/>
    <xf numFmtId="171" fontId="45" fillId="3" borderId="12" xfId="0" applyNumberFormat="1" applyFont="1" applyFill="1" applyBorder="1"/>
    <xf numFmtId="0" fontId="36" fillId="3" borderId="15" xfId="0" applyFont="1" applyFill="1" applyBorder="1" applyAlignment="1">
      <alignment horizontal="left" indent="1"/>
    </xf>
    <xf numFmtId="0" fontId="36" fillId="3" borderId="1" xfId="0" applyFont="1" applyFill="1" applyBorder="1"/>
    <xf numFmtId="167" fontId="64" fillId="3" borderId="13" xfId="2" applyNumberFormat="1" applyFont="1" applyFill="1" applyBorder="1"/>
    <xf numFmtId="37" fontId="36" fillId="11" borderId="17" xfId="0" applyNumberFormat="1" applyFont="1" applyFill="1" applyBorder="1" applyProtection="1">
      <protection locked="0"/>
    </xf>
    <xf numFmtId="0" fontId="35" fillId="11" borderId="19" xfId="0" applyFont="1" applyFill="1" applyBorder="1" applyAlignment="1">
      <alignment horizontal="left" indent="1"/>
    </xf>
    <xf numFmtId="0" fontId="35" fillId="11" borderId="7" xfId="0" applyFont="1" applyFill="1" applyBorder="1"/>
    <xf numFmtId="0" fontId="35" fillId="11" borderId="7" xfId="0" applyFont="1" applyFill="1" applyBorder="1" applyProtection="1">
      <protection locked="0"/>
    </xf>
    <xf numFmtId="0" fontId="35" fillId="11" borderId="17" xfId="0" applyFont="1" applyFill="1" applyBorder="1"/>
    <xf numFmtId="37" fontId="35" fillId="11" borderId="7" xfId="0" applyNumberFormat="1" applyFont="1" applyFill="1" applyBorder="1" applyProtection="1">
      <protection locked="0"/>
    </xf>
    <xf numFmtId="37" fontId="35" fillId="11" borderId="7" xfId="0" applyNumberFormat="1" applyFont="1" applyFill="1" applyBorder="1"/>
    <xf numFmtId="0" fontId="35" fillId="11" borderId="17" xfId="0" applyFont="1" applyFill="1" applyBorder="1" applyProtection="1">
      <protection locked="0"/>
    </xf>
    <xf numFmtId="165" fontId="39" fillId="2" borderId="0" xfId="0" applyNumberFormat="1" applyFont="1" applyFill="1" applyAlignment="1">
      <alignment horizontal="center"/>
    </xf>
    <xf numFmtId="0" fontId="30" fillId="0" borderId="0" xfId="0" applyFont="1" applyAlignment="1">
      <alignment horizontal="left" vertical="top" wrapText="1"/>
    </xf>
    <xf numFmtId="0" fontId="30" fillId="0" borderId="0" xfId="0" applyFont="1" applyAlignment="1">
      <alignment horizontal="center"/>
    </xf>
    <xf numFmtId="0" fontId="55" fillId="0" borderId="0" xfId="5" applyFont="1" applyAlignment="1">
      <alignment horizontal="right" vertical="center"/>
    </xf>
    <xf numFmtId="0" fontId="26" fillId="0" borderId="0" xfId="5" applyFont="1" applyAlignment="1">
      <alignment vertical="center"/>
    </xf>
    <xf numFmtId="0" fontId="37" fillId="2" borderId="0" xfId="0" applyFont="1" applyFill="1" applyAlignment="1" applyProtection="1">
      <alignment horizontal="left" indent="1"/>
      <protection locked="0"/>
    </xf>
    <xf numFmtId="37" fontId="41" fillId="0" borderId="3" xfId="1" applyNumberFormat="1" applyFont="1" applyFill="1" applyBorder="1" applyProtection="1"/>
    <xf numFmtId="0" fontId="65" fillId="0" borderId="0" xfId="3" applyFont="1"/>
    <xf numFmtId="167" fontId="36" fillId="0" borderId="0" xfId="2" applyNumberFormat="1" applyFont="1"/>
    <xf numFmtId="1" fontId="39" fillId="2" borderId="0" xfId="0" applyNumberFormat="1" applyFont="1" applyFill="1"/>
    <xf numFmtId="1" fontId="39" fillId="2" borderId="0" xfId="0" applyNumberFormat="1" applyFont="1" applyFill="1" applyAlignment="1">
      <alignment horizontal="right"/>
    </xf>
    <xf numFmtId="1" fontId="39" fillId="0" borderId="0" xfId="0" applyNumberFormat="1" applyFont="1"/>
    <xf numFmtId="167" fontId="36" fillId="0" borderId="0" xfId="2" applyNumberFormat="1" applyFont="1" applyAlignment="1">
      <alignment horizontal="right"/>
    </xf>
    <xf numFmtId="0" fontId="30" fillId="0" borderId="3" xfId="0" applyFont="1" applyBorder="1" applyAlignment="1">
      <alignment horizontal="left" vertical="center"/>
    </xf>
    <xf numFmtId="0" fontId="30" fillId="9" borderId="4" xfId="0" applyFont="1" applyFill="1" applyBorder="1"/>
    <xf numFmtId="0" fontId="36" fillId="0" borderId="0" xfId="0" applyFont="1" applyAlignment="1">
      <alignment horizontal="left" vertical="center" indent="1"/>
    </xf>
    <xf numFmtId="0" fontId="27" fillId="0" borderId="0" xfId="0" applyFont="1" applyAlignment="1">
      <alignment horizontal="left" indent="2"/>
    </xf>
    <xf numFmtId="9" fontId="27" fillId="3" borderId="0" xfId="2" applyFont="1" applyFill="1"/>
    <xf numFmtId="37" fontId="36" fillId="3" borderId="0" xfId="2" applyNumberFormat="1" applyFont="1" applyFill="1"/>
    <xf numFmtId="0" fontId="36" fillId="0" borderId="0" xfId="0" applyFont="1" applyAlignment="1">
      <alignment horizontal="left" wrapText="1" indent="1"/>
    </xf>
    <xf numFmtId="167" fontId="27" fillId="0" borderId="0" xfId="2" applyNumberFormat="1" applyFont="1"/>
    <xf numFmtId="10" fontId="30" fillId="0" borderId="0" xfId="0" applyNumberFormat="1" applyFont="1"/>
    <xf numFmtId="164" fontId="42" fillId="0" borderId="0" xfId="0" applyNumberFormat="1" applyFont="1" applyAlignment="1">
      <alignment horizontal="center"/>
    </xf>
    <xf numFmtId="164" fontId="18" fillId="0" borderId="0" xfId="0" applyNumberFormat="1" applyFont="1" applyAlignment="1">
      <alignment horizontal="center"/>
    </xf>
    <xf numFmtId="0" fontId="30" fillId="0" borderId="0" xfId="0" applyFont="1" applyAlignment="1">
      <alignment vertical="top" wrapText="1"/>
    </xf>
    <xf numFmtId="0" fontId="53" fillId="0" borderId="0" xfId="3" applyFont="1" applyAlignment="1">
      <alignment horizontal="left" indent="1"/>
    </xf>
    <xf numFmtId="0" fontId="68" fillId="0" borderId="0" xfId="3" applyFont="1" applyAlignment="1">
      <alignment horizontal="left" indent="1"/>
    </xf>
    <xf numFmtId="0" fontId="66" fillId="0" borderId="0" xfId="3" applyFont="1" applyBorder="1" applyAlignment="1">
      <alignment horizontal="right"/>
    </xf>
    <xf numFmtId="169" fontId="10" fillId="0" borderId="0" xfId="0" applyNumberFormat="1" applyFont="1"/>
    <xf numFmtId="0" fontId="71" fillId="0" borderId="11" xfId="0" applyFont="1" applyBorder="1" applyAlignment="1">
      <alignment horizontal="right"/>
    </xf>
    <xf numFmtId="173" fontId="10" fillId="0" borderId="0" xfId="0" applyNumberFormat="1" applyFont="1"/>
    <xf numFmtId="39" fontId="10" fillId="0" borderId="0" xfId="0" applyNumberFormat="1" applyFont="1"/>
    <xf numFmtId="14" fontId="10" fillId="0" borderId="0" xfId="0" applyNumberFormat="1" applyFont="1"/>
    <xf numFmtId="0" fontId="70" fillId="0" borderId="0" xfId="0" applyFont="1"/>
    <xf numFmtId="0" fontId="57" fillId="2" borderId="0" xfId="0" applyFont="1" applyFill="1" applyAlignment="1">
      <alignment horizontal="left"/>
    </xf>
    <xf numFmtId="0" fontId="72" fillId="10" borderId="0" xfId="0" applyFont="1" applyFill="1"/>
    <xf numFmtId="0" fontId="73" fillId="0" borderId="0" xfId="0" applyFont="1"/>
    <xf numFmtId="0" fontId="72" fillId="0" borderId="0" xfId="0" applyFont="1"/>
    <xf numFmtId="0" fontId="74" fillId="0" borderId="0" xfId="0" applyFont="1"/>
    <xf numFmtId="9" fontId="29" fillId="3" borderId="0" xfId="2" applyFont="1" applyFill="1" applyProtection="1">
      <protection locked="0"/>
    </xf>
    <xf numFmtId="0" fontId="53" fillId="0" borderId="0" xfId="3" applyFont="1" applyAlignment="1">
      <alignment horizontal="left" vertical="top" indent="1"/>
    </xf>
    <xf numFmtId="0" fontId="68" fillId="0" borderId="0" xfId="3" applyFont="1" applyAlignment="1">
      <alignment horizontal="left" vertical="top" indent="1"/>
    </xf>
    <xf numFmtId="0" fontId="36" fillId="0" borderId="0" xfId="0" applyFont="1" applyAlignment="1">
      <alignment horizontal="left" vertical="center" wrapText="1" indent="1"/>
    </xf>
    <xf numFmtId="0" fontId="10" fillId="14" borderId="0" xfId="0" applyFont="1" applyFill="1"/>
    <xf numFmtId="0" fontId="52" fillId="10" borderId="0" xfId="0" applyFont="1" applyFill="1"/>
    <xf numFmtId="0" fontId="17" fillId="10" borderId="0" xfId="0" applyFont="1" applyFill="1" applyProtection="1">
      <protection locked="0"/>
    </xf>
    <xf numFmtId="0" fontId="17" fillId="10" borderId="0" xfId="0" applyFont="1" applyFill="1"/>
    <xf numFmtId="0" fontId="35" fillId="10" borderId="0" xfId="0" applyFont="1" applyFill="1" applyProtection="1">
      <protection locked="0"/>
    </xf>
    <xf numFmtId="0" fontId="10" fillId="10" borderId="0" xfId="0" applyFont="1" applyFill="1"/>
    <xf numFmtId="0" fontId="30" fillId="15" borderId="0" xfId="0" applyFont="1" applyFill="1"/>
    <xf numFmtId="9" fontId="30" fillId="0" borderId="0" xfId="2" applyFont="1" applyAlignment="1">
      <alignment horizontal="center"/>
    </xf>
    <xf numFmtId="172" fontId="30" fillId="0" borderId="0" xfId="2" applyNumberFormat="1" applyFont="1" applyAlignment="1">
      <alignment horizontal="center"/>
    </xf>
    <xf numFmtId="175" fontId="30" fillId="0" borderId="0" xfId="2" applyNumberFormat="1" applyFont="1" applyAlignment="1">
      <alignment horizontal="center"/>
    </xf>
    <xf numFmtId="9" fontId="10" fillId="0" borderId="0" xfId="2" applyFont="1"/>
    <xf numFmtId="2" fontId="82" fillId="0" borderId="0" xfId="0" applyNumberFormat="1" applyFont="1"/>
    <xf numFmtId="167" fontId="82" fillId="0" borderId="0" xfId="2" applyNumberFormat="1" applyFont="1"/>
    <xf numFmtId="0" fontId="82" fillId="0" borderId="0" xfId="0" applyFont="1"/>
    <xf numFmtId="3" fontId="82" fillId="0" borderId="0" xfId="0" applyNumberFormat="1" applyFont="1"/>
    <xf numFmtId="0" fontId="83" fillId="0" borderId="0" xfId="0" applyFont="1" applyAlignment="1">
      <alignment horizontal="right"/>
    </xf>
    <xf numFmtId="0" fontId="39" fillId="15" borderId="0" xfId="0" applyFont="1" applyFill="1"/>
    <xf numFmtId="176" fontId="30" fillId="0" borderId="0" xfId="2" applyNumberFormat="1" applyFont="1" applyAlignment="1">
      <alignment horizontal="center"/>
    </xf>
    <xf numFmtId="0" fontId="45" fillId="15" borderId="0" xfId="5" applyFont="1" applyFill="1" applyAlignment="1">
      <alignment vertical="center"/>
    </xf>
    <xf numFmtId="0" fontId="29" fillId="15" borderId="0" xfId="5" applyFont="1" applyFill="1" applyAlignment="1">
      <alignment vertical="center"/>
    </xf>
    <xf numFmtId="0" fontId="30" fillId="10" borderId="0" xfId="0" applyFont="1" applyFill="1" applyAlignment="1">
      <alignment horizontal="left" indent="1"/>
    </xf>
    <xf numFmtId="0" fontId="39" fillId="15" borderId="0" xfId="0" applyFont="1" applyFill="1" applyAlignment="1">
      <alignment horizontal="left"/>
    </xf>
    <xf numFmtId="0" fontId="69" fillId="15" borderId="0" xfId="0" applyFont="1" applyFill="1" applyAlignment="1">
      <alignment horizontal="center"/>
    </xf>
    <xf numFmtId="9" fontId="30" fillId="0" borderId="0" xfId="0" applyNumberFormat="1" applyFont="1" applyProtection="1">
      <protection locked="0"/>
    </xf>
    <xf numFmtId="39" fontId="30" fillId="0" borderId="0" xfId="0" applyNumberFormat="1" applyFont="1"/>
    <xf numFmtId="0" fontId="37" fillId="2" borderId="0" xfId="0" applyFont="1" applyFill="1" applyAlignment="1">
      <alignment horizontal="right"/>
    </xf>
    <xf numFmtId="9" fontId="37" fillId="2" borderId="0" xfId="0" applyNumberFormat="1" applyFont="1" applyFill="1" applyAlignment="1">
      <alignment horizontal="right"/>
    </xf>
    <xf numFmtId="167" fontId="28" fillId="9" borderId="4" xfId="0" applyNumberFormat="1" applyFont="1" applyFill="1" applyBorder="1" applyProtection="1">
      <protection locked="0"/>
    </xf>
    <xf numFmtId="172" fontId="28" fillId="9" borderId="4" xfId="0" applyNumberFormat="1" applyFont="1" applyFill="1" applyBorder="1" applyProtection="1">
      <protection locked="0"/>
    </xf>
    <xf numFmtId="167" fontId="29" fillId="0" borderId="0" xfId="0" applyNumberFormat="1" applyFont="1" applyProtection="1">
      <protection locked="0"/>
    </xf>
    <xf numFmtId="172" fontId="29" fillId="0" borderId="0" xfId="0" applyNumberFormat="1" applyFont="1" applyProtection="1">
      <protection locked="0"/>
    </xf>
    <xf numFmtId="177" fontId="10" fillId="10" borderId="0" xfId="0" applyNumberFormat="1" applyFont="1" applyFill="1"/>
    <xf numFmtId="177" fontId="7" fillId="10" borderId="0" xfId="0" applyNumberFormat="1" applyFont="1" applyFill="1"/>
    <xf numFmtId="0" fontId="45" fillId="0" borderId="0" xfId="0" applyFont="1" applyAlignment="1" applyProtection="1">
      <alignment horizontal="right"/>
      <protection locked="0"/>
    </xf>
    <xf numFmtId="0" fontId="28" fillId="0" borderId="0" xfId="0" applyFont="1" applyProtection="1">
      <protection locked="0"/>
    </xf>
    <xf numFmtId="167" fontId="29" fillId="0" borderId="0" xfId="2" applyNumberFormat="1" applyFont="1" applyProtection="1">
      <protection locked="0"/>
    </xf>
    <xf numFmtId="164" fontId="30" fillId="0" borderId="0" xfId="0" applyNumberFormat="1" applyFont="1" applyProtection="1">
      <protection locked="0"/>
    </xf>
    <xf numFmtId="165" fontId="30" fillId="0" borderId="0" xfId="0" applyNumberFormat="1" applyFont="1" applyProtection="1">
      <protection locked="0"/>
    </xf>
    <xf numFmtId="10" fontId="41" fillId="0" borderId="0" xfId="0" applyNumberFormat="1" applyFont="1"/>
    <xf numFmtId="0" fontId="36" fillId="16" borderId="19" xfId="0" applyFont="1" applyFill="1" applyBorder="1" applyAlignment="1">
      <alignment horizontal="left" indent="1"/>
    </xf>
    <xf numFmtId="167" fontId="25" fillId="0" borderId="0" xfId="2" applyNumberFormat="1" applyFont="1" applyFill="1" applyBorder="1" applyProtection="1">
      <protection locked="0"/>
    </xf>
    <xf numFmtId="3" fontId="37" fillId="0" borderId="0" xfId="0" applyNumberFormat="1" applyFont="1"/>
    <xf numFmtId="37" fontId="37" fillId="0" borderId="0" xfId="0" applyNumberFormat="1" applyFont="1"/>
    <xf numFmtId="178" fontId="25" fillId="9" borderId="4" xfId="2" applyNumberFormat="1" applyFont="1" applyFill="1" applyBorder="1" applyProtection="1">
      <protection locked="0"/>
    </xf>
    <xf numFmtId="0" fontId="84" fillId="0" borderId="0" xfId="0" applyFont="1"/>
    <xf numFmtId="2" fontId="28" fillId="9" borderId="4" xfId="0" applyNumberFormat="1" applyFont="1" applyFill="1" applyBorder="1" applyProtection="1">
      <protection locked="0"/>
    </xf>
    <xf numFmtId="2" fontId="28" fillId="9" borderId="4" xfId="0" applyNumberFormat="1" applyFont="1" applyFill="1" applyBorder="1"/>
    <xf numFmtId="0" fontId="44" fillId="2" borderId="0" xfId="0" applyFont="1" applyFill="1"/>
    <xf numFmtId="0" fontId="39" fillId="2" borderId="0" xfId="0" applyFont="1" applyFill="1" applyAlignment="1">
      <alignment horizontal="center"/>
    </xf>
    <xf numFmtId="0" fontId="30" fillId="0" borderId="0" xfId="0" applyFont="1" applyAlignment="1">
      <alignment horizontal="right"/>
    </xf>
    <xf numFmtId="37" fontId="30" fillId="0" borderId="0" xfId="1" applyNumberFormat="1" applyFont="1" applyAlignment="1">
      <alignment horizontal="right" wrapText="1"/>
    </xf>
    <xf numFmtId="171" fontId="30" fillId="0" borderId="0" xfId="1" applyNumberFormat="1" applyFont="1" applyAlignment="1">
      <alignment horizontal="right"/>
    </xf>
    <xf numFmtId="171" fontId="30" fillId="0" borderId="27" xfId="1" applyNumberFormat="1" applyFont="1" applyBorder="1" applyAlignment="1">
      <alignment horizontal="right"/>
    </xf>
    <xf numFmtId="0" fontId="30" fillId="0" borderId="27" xfId="0" applyFont="1" applyBorder="1"/>
    <xf numFmtId="0" fontId="36" fillId="11" borderId="14" xfId="0" applyFont="1" applyFill="1" applyBorder="1"/>
    <xf numFmtId="0" fontId="30" fillId="11" borderId="9" xfId="0" applyFont="1" applyFill="1" applyBorder="1"/>
    <xf numFmtId="171" fontId="36" fillId="11" borderId="9" xfId="0" applyNumberFormat="1" applyFont="1" applyFill="1" applyBorder="1"/>
    <xf numFmtId="171" fontId="36" fillId="11" borderId="28" xfId="0" applyNumberFormat="1" applyFont="1" applyFill="1" applyBorder="1"/>
    <xf numFmtId="167" fontId="36" fillId="11" borderId="9" xfId="2" applyNumberFormat="1" applyFont="1" applyFill="1" applyBorder="1"/>
    <xf numFmtId="0" fontId="30" fillId="11" borderId="28" xfId="0" applyFont="1" applyFill="1" applyBorder="1"/>
    <xf numFmtId="0" fontId="36" fillId="11" borderId="15" xfId="0" applyFont="1" applyFill="1" applyBorder="1"/>
    <xf numFmtId="0" fontId="30" fillId="11" borderId="1" xfId="0" applyFont="1" applyFill="1" applyBorder="1"/>
    <xf numFmtId="171" fontId="36" fillId="11" borderId="1" xfId="0" applyNumberFormat="1" applyFont="1" applyFill="1" applyBorder="1"/>
    <xf numFmtId="171" fontId="36" fillId="11" borderId="26" xfId="0" applyNumberFormat="1" applyFont="1" applyFill="1" applyBorder="1"/>
    <xf numFmtId="167" fontId="36" fillId="11" borderId="1" xfId="2" applyNumberFormat="1" applyFont="1" applyFill="1" applyBorder="1"/>
    <xf numFmtId="0" fontId="30" fillId="11" borderId="26" xfId="0" applyFont="1" applyFill="1" applyBorder="1"/>
    <xf numFmtId="0" fontId="30" fillId="0" borderId="26" xfId="0" applyFont="1" applyBorder="1"/>
    <xf numFmtId="9" fontId="30" fillId="11" borderId="12" xfId="0" applyNumberFormat="1" applyFont="1" applyFill="1" applyBorder="1"/>
    <xf numFmtId="9" fontId="30" fillId="11" borderId="13" xfId="0" applyNumberFormat="1" applyFont="1" applyFill="1" applyBorder="1"/>
    <xf numFmtId="14" fontId="30" fillId="0" borderId="0" xfId="0" applyNumberFormat="1" applyFont="1"/>
    <xf numFmtId="14" fontId="37" fillId="2" borderId="0" xfId="0" applyNumberFormat="1" applyFont="1" applyFill="1"/>
    <xf numFmtId="14" fontId="30" fillId="10" borderId="0" xfId="0" applyNumberFormat="1" applyFont="1" applyFill="1"/>
    <xf numFmtId="170" fontId="30" fillId="0" borderId="0" xfId="9" applyNumberFormat="1" applyFont="1" applyFill="1" applyAlignment="1">
      <alignment horizontal="right"/>
    </xf>
    <xf numFmtId="0" fontId="37" fillId="2" borderId="10" xfId="0" applyFont="1" applyFill="1" applyBorder="1"/>
    <xf numFmtId="0" fontId="39" fillId="2" borderId="10" xfId="0" applyFont="1" applyFill="1" applyBorder="1" applyAlignment="1">
      <alignment horizontal="right"/>
    </xf>
    <xf numFmtId="170" fontId="30" fillId="0" borderId="0" xfId="9" applyNumberFormat="1" applyFont="1" applyFill="1" applyAlignment="1">
      <alignment horizontal="left" indent="1"/>
    </xf>
    <xf numFmtId="10" fontId="28" fillId="9" borderId="4" xfId="2" applyNumberFormat="1" applyFont="1" applyFill="1" applyBorder="1"/>
    <xf numFmtId="167" fontId="30" fillId="0" borderId="0" xfId="2" applyNumberFormat="1" applyFont="1" applyFill="1" applyAlignment="1">
      <alignment horizontal="right"/>
    </xf>
    <xf numFmtId="0" fontId="60" fillId="0" borderId="0" xfId="0" applyFont="1" applyAlignment="1">
      <alignment horizontal="left" indent="3"/>
    </xf>
    <xf numFmtId="37" fontId="41" fillId="0" borderId="0" xfId="9" applyNumberFormat="1" applyFont="1" applyFill="1" applyAlignment="1">
      <alignment horizontal="right"/>
    </xf>
    <xf numFmtId="0" fontId="27" fillId="0" borderId="0" xfId="0" applyFont="1" applyAlignment="1">
      <alignment horizontal="left" indent="4"/>
    </xf>
    <xf numFmtId="4" fontId="41" fillId="0" borderId="0" xfId="2" applyNumberFormat="1" applyFont="1" applyFill="1" applyBorder="1"/>
    <xf numFmtId="4" fontId="30" fillId="0" borderId="0" xfId="2" applyNumberFormat="1" applyFont="1" applyFill="1" applyBorder="1"/>
    <xf numFmtId="10" fontId="30" fillId="0" borderId="0" xfId="2" applyNumberFormat="1" applyFont="1" applyFill="1" applyBorder="1"/>
    <xf numFmtId="10" fontId="40" fillId="0" borderId="1" xfId="2" applyNumberFormat="1" applyFont="1" applyFill="1" applyBorder="1"/>
    <xf numFmtId="2" fontId="30" fillId="0" borderId="0" xfId="0" applyNumberFormat="1" applyFont="1"/>
    <xf numFmtId="10" fontId="36" fillId="11" borderId="19" xfId="0" applyNumberFormat="1" applyFont="1" applyFill="1" applyBorder="1" applyAlignment="1">
      <alignment horizontal="left" indent="1"/>
    </xf>
    <xf numFmtId="10" fontId="36" fillId="11" borderId="7" xfId="0" applyNumberFormat="1" applyFont="1" applyFill="1" applyBorder="1"/>
    <xf numFmtId="0" fontId="36" fillId="0" borderId="0" xfId="0" applyFont="1" applyAlignment="1">
      <alignment horizontal="left" indent="5"/>
    </xf>
    <xf numFmtId="10" fontId="36" fillId="0" borderId="0" xfId="2" applyNumberFormat="1" applyFont="1" applyFill="1" applyBorder="1"/>
    <xf numFmtId="10" fontId="60" fillId="0" borderId="0" xfId="2" applyNumberFormat="1" applyFont="1" applyFill="1" applyBorder="1"/>
    <xf numFmtId="37" fontId="30" fillId="0" borderId="1" xfId="0" applyNumberFormat="1" applyFont="1" applyBorder="1"/>
    <xf numFmtId="3" fontId="30" fillId="0" borderId="0" xfId="0" applyNumberFormat="1" applyFont="1"/>
    <xf numFmtId="3" fontId="41" fillId="0" borderId="0" xfId="0" applyNumberFormat="1" applyFont="1"/>
    <xf numFmtId="3" fontId="28" fillId="9" borderId="4" xfId="0" applyNumberFormat="1" applyFont="1" applyFill="1" applyBorder="1"/>
    <xf numFmtId="167" fontId="41" fillId="0" borderId="1" xfId="2" applyNumberFormat="1" applyFont="1" applyFill="1" applyBorder="1"/>
    <xf numFmtId="10" fontId="30" fillId="9" borderId="4" xfId="2" applyNumberFormat="1" applyFont="1" applyFill="1" applyBorder="1"/>
    <xf numFmtId="0" fontId="36" fillId="11" borderId="19" xfId="0" applyFont="1" applyFill="1" applyBorder="1" applyAlignment="1">
      <alignment horizontal="left" indent="1"/>
    </xf>
    <xf numFmtId="0" fontId="30" fillId="11" borderId="7" xfId="0" applyFont="1" applyFill="1" applyBorder="1"/>
    <xf numFmtId="10" fontId="36" fillId="11" borderId="7" xfId="2" applyNumberFormat="1" applyFont="1" applyFill="1" applyBorder="1"/>
    <xf numFmtId="10" fontId="36" fillId="11" borderId="17" xfId="2" applyNumberFormat="1" applyFont="1" applyFill="1" applyBorder="1"/>
    <xf numFmtId="9" fontId="30" fillId="0" borderId="0" xfId="0" applyNumberFormat="1" applyFont="1"/>
    <xf numFmtId="0" fontId="30" fillId="16" borderId="7" xfId="0" applyFont="1" applyFill="1" applyBorder="1"/>
    <xf numFmtId="10" fontId="36" fillId="16" borderId="7" xfId="2" applyNumberFormat="1" applyFont="1" applyFill="1" applyBorder="1"/>
    <xf numFmtId="10" fontId="36" fillId="16" borderId="17" xfId="2" applyNumberFormat="1" applyFont="1" applyFill="1" applyBorder="1"/>
    <xf numFmtId="0" fontId="30" fillId="0" borderId="12" xfId="0" applyFont="1" applyBorder="1"/>
    <xf numFmtId="171" fontId="28" fillId="9" borderId="18" xfId="0" applyNumberFormat="1" applyFont="1" applyFill="1" applyBorder="1"/>
    <xf numFmtId="171" fontId="28" fillId="9" borderId="4" xfId="0" applyNumberFormat="1" applyFont="1" applyFill="1" applyBorder="1"/>
    <xf numFmtId="167" fontId="28" fillId="9" borderId="4" xfId="2" applyNumberFormat="1" applyFont="1" applyFill="1" applyBorder="1"/>
    <xf numFmtId="9" fontId="28" fillId="9" borderId="4" xfId="2" applyFont="1" applyFill="1" applyBorder="1"/>
    <xf numFmtId="1" fontId="30" fillId="0" borderId="0" xfId="0" applyNumberFormat="1" applyFont="1"/>
    <xf numFmtId="1" fontId="29" fillId="3" borderId="0" xfId="0" applyNumberFormat="1" applyFont="1" applyFill="1" applyProtection="1">
      <protection locked="0"/>
    </xf>
    <xf numFmtId="179" fontId="30" fillId="0" borderId="0" xfId="1" applyNumberFormat="1" applyFont="1" applyProtection="1">
      <protection locked="0"/>
    </xf>
    <xf numFmtId="0" fontId="30" fillId="0" borderId="0" xfId="0" applyFont="1" applyAlignment="1">
      <alignment horizontal="left" vertical="center" wrapText="1"/>
    </xf>
    <xf numFmtId="0" fontId="7" fillId="4" borderId="0" xfId="13" applyFont="1" applyFill="1"/>
    <xf numFmtId="0" fontId="7" fillId="4" borderId="0" xfId="0" applyFont="1" applyFill="1"/>
    <xf numFmtId="180" fontId="82" fillId="0" borderId="0" xfId="0" applyNumberFormat="1" applyFont="1"/>
    <xf numFmtId="180" fontId="82" fillId="0" borderId="0" xfId="14" applyNumberFormat="1" applyFont="1"/>
    <xf numFmtId="37" fontId="86" fillId="0" borderId="0" xfId="1" applyNumberFormat="1" applyFont="1" applyFill="1" applyProtection="1">
      <protection locked="0"/>
    </xf>
    <xf numFmtId="0" fontId="86" fillId="0" borderId="0" xfId="0" applyFont="1"/>
    <xf numFmtId="0" fontId="86" fillId="0" borderId="0" xfId="0" applyFont="1" applyProtection="1">
      <protection locked="0"/>
    </xf>
    <xf numFmtId="37" fontId="86" fillId="0" borderId="0" xfId="1" applyNumberFormat="1" applyFont="1" applyFill="1" applyProtection="1"/>
    <xf numFmtId="37" fontId="86" fillId="0" borderId="0" xfId="0" applyNumberFormat="1" applyFont="1" applyProtection="1">
      <protection locked="0"/>
    </xf>
    <xf numFmtId="0" fontId="9" fillId="0" borderId="0" xfId="3"/>
    <xf numFmtId="0" fontId="9" fillId="0" borderId="0" xfId="3" applyAlignment="1">
      <alignment horizontal="left" wrapText="1" indent="1"/>
    </xf>
    <xf numFmtId="0" fontId="87" fillId="18" borderId="0" xfId="15" applyAlignment="1" applyProtection="1">
      <alignment horizontal="left" indent="3"/>
      <protection locked="0"/>
    </xf>
    <xf numFmtId="0" fontId="87" fillId="18" borderId="0" xfId="15"/>
    <xf numFmtId="37" fontId="87" fillId="18" borderId="0" xfId="15" applyNumberFormat="1" applyProtection="1">
      <protection locked="0"/>
    </xf>
    <xf numFmtId="179" fontId="87" fillId="18" borderId="0" xfId="15" applyNumberFormat="1" applyProtection="1">
      <protection locked="0"/>
    </xf>
    <xf numFmtId="1" fontId="87" fillId="18" borderId="0" xfId="15" applyNumberFormat="1" applyProtection="1">
      <protection locked="0"/>
    </xf>
    <xf numFmtId="37" fontId="87" fillId="18" borderId="0" xfId="15" applyNumberFormat="1" applyBorder="1" applyProtection="1">
      <protection locked="0"/>
    </xf>
    <xf numFmtId="10" fontId="87" fillId="18" borderId="0" xfId="15" applyNumberFormat="1"/>
    <xf numFmtId="0" fontId="30" fillId="19" borderId="0" xfId="0" applyFont="1" applyFill="1" applyAlignment="1" applyProtection="1">
      <alignment horizontal="left" indent="3"/>
      <protection locked="0"/>
    </xf>
    <xf numFmtId="0" fontId="30" fillId="19" borderId="0" xfId="0" applyFont="1" applyFill="1"/>
    <xf numFmtId="37" fontId="29" fillId="19" borderId="0" xfId="0" applyNumberFormat="1" applyFont="1" applyFill="1" applyProtection="1">
      <protection locked="0"/>
    </xf>
    <xf numFmtId="37" fontId="29" fillId="19" borderId="0" xfId="1" applyNumberFormat="1" applyFont="1" applyFill="1" applyProtection="1">
      <protection locked="0"/>
    </xf>
    <xf numFmtId="37" fontId="41" fillId="19" borderId="0" xfId="0" applyNumberFormat="1" applyFont="1" applyFill="1" applyProtection="1">
      <protection locked="0"/>
    </xf>
    <xf numFmtId="37" fontId="41" fillId="19" borderId="0" xfId="1" applyNumberFormat="1" applyFont="1" applyFill="1" applyProtection="1">
      <protection locked="0"/>
    </xf>
    <xf numFmtId="179" fontId="29" fillId="19" borderId="0" xfId="1" applyNumberFormat="1" applyFont="1" applyFill="1" applyBorder="1" applyProtection="1">
      <protection locked="0"/>
    </xf>
    <xf numFmtId="37" fontId="29" fillId="19" borderId="0" xfId="1" applyNumberFormat="1" applyFont="1" applyFill="1" applyBorder="1" applyProtection="1">
      <protection locked="0"/>
    </xf>
    <xf numFmtId="0" fontId="30" fillId="19" borderId="3" xfId="0" applyFont="1" applyFill="1" applyBorder="1"/>
    <xf numFmtId="179" fontId="30" fillId="19" borderId="0" xfId="1" applyNumberFormat="1" applyFont="1" applyFill="1" applyProtection="1">
      <protection locked="0"/>
    </xf>
    <xf numFmtId="1" fontId="29" fillId="19" borderId="0" xfId="0" applyNumberFormat="1" applyFont="1" applyFill="1" applyProtection="1">
      <protection locked="0"/>
    </xf>
    <xf numFmtId="9" fontId="87" fillId="18" borderId="0" xfId="15" applyNumberFormat="1"/>
    <xf numFmtId="0" fontId="87" fillId="9" borderId="0" xfId="15" applyFill="1" applyAlignment="1" applyProtection="1">
      <alignment horizontal="left" indent="3"/>
      <protection locked="0"/>
    </xf>
    <xf numFmtId="37" fontId="87" fillId="9" borderId="0" xfId="15" applyNumberFormat="1" applyFill="1" applyProtection="1">
      <protection locked="0"/>
    </xf>
    <xf numFmtId="179" fontId="87" fillId="9" borderId="0" xfId="15" applyNumberFormat="1" applyFill="1" applyProtection="1">
      <protection locked="0"/>
    </xf>
    <xf numFmtId="10" fontId="87" fillId="9" borderId="0" xfId="15" applyNumberFormat="1" applyFill="1"/>
    <xf numFmtId="1" fontId="87" fillId="9" borderId="0" xfId="15" applyNumberFormat="1" applyFill="1" applyProtection="1">
      <protection locked="0"/>
    </xf>
    <xf numFmtId="37" fontId="87" fillId="9" borderId="0" xfId="15" applyNumberFormat="1" applyFill="1" applyBorder="1" applyProtection="1">
      <protection locked="0"/>
    </xf>
    <xf numFmtId="9" fontId="87" fillId="9" borderId="0" xfId="15" applyNumberFormat="1" applyFill="1"/>
    <xf numFmtId="0" fontId="87" fillId="9" borderId="0" xfId="15" applyFill="1"/>
    <xf numFmtId="10" fontId="27" fillId="3" borderId="0" xfId="2" applyNumberFormat="1" applyFont="1" applyFill="1" applyBorder="1"/>
    <xf numFmtId="9" fontId="27" fillId="3" borderId="0" xfId="2" applyFont="1" applyFill="1" applyBorder="1"/>
    <xf numFmtId="37" fontId="36" fillId="3" borderId="0" xfId="2" applyNumberFormat="1" applyFont="1" applyFill="1" applyBorder="1"/>
    <xf numFmtId="37" fontId="41" fillId="0" borderId="9" xfId="2" applyNumberFormat="1" applyFont="1" applyBorder="1" applyProtection="1">
      <protection locked="0"/>
    </xf>
    <xf numFmtId="1" fontId="88" fillId="0" borderId="0" xfId="0" applyNumberFormat="1" applyFont="1"/>
    <xf numFmtId="0" fontId="89" fillId="0" borderId="0" xfId="0" applyFont="1"/>
    <xf numFmtId="0" fontId="8" fillId="0" borderId="0" xfId="0" applyFont="1"/>
    <xf numFmtId="0" fontId="89" fillId="0" borderId="0" xfId="0" applyFont="1" applyAlignment="1">
      <alignment horizontal="center"/>
    </xf>
    <xf numFmtId="0" fontId="8" fillId="0" borderId="0" xfId="0" applyFont="1" applyAlignment="1">
      <alignment horizontal="left" indent="1"/>
    </xf>
    <xf numFmtId="0" fontId="8" fillId="20" borderId="0" xfId="0" applyFont="1" applyFill="1" applyAlignment="1">
      <alignment horizontal="center"/>
    </xf>
    <xf numFmtId="0" fontId="9" fillId="0" borderId="0" xfId="3" applyAlignment="1">
      <alignment horizontal="left" vertical="top" indent="1"/>
    </xf>
    <xf numFmtId="9" fontId="29" fillId="0" borderId="0" xfId="2" applyFont="1"/>
    <xf numFmtId="0" fontId="91" fillId="21" borderId="0" xfId="16" applyFont="1" applyProtection="1">
      <protection locked="0"/>
    </xf>
    <xf numFmtId="0" fontId="30" fillId="0" borderId="0" xfId="0" applyFont="1" applyAlignment="1">
      <alignment horizontal="center" vertical="top" wrapText="1"/>
    </xf>
    <xf numFmtId="167" fontId="26" fillId="4" borderId="0" xfId="2" applyNumberFormat="1" applyFont="1" applyFill="1" applyProtection="1">
      <protection locked="0"/>
    </xf>
    <xf numFmtId="170" fontId="30" fillId="0" borderId="0" xfId="9" applyNumberFormat="1" applyFont="1" applyAlignment="1">
      <alignment horizontal="left" indent="1"/>
    </xf>
    <xf numFmtId="167" fontId="30" fillId="0" borderId="0" xfId="2" applyNumberFormat="1" applyFont="1" applyAlignment="1">
      <alignment horizontal="right"/>
    </xf>
    <xf numFmtId="9" fontId="30" fillId="5" borderId="0" xfId="2" applyFont="1" applyFill="1" applyAlignment="1">
      <alignment horizontal="center"/>
    </xf>
    <xf numFmtId="176" fontId="30" fillId="5" borderId="0" xfId="2" applyNumberFormat="1" applyFont="1" applyFill="1" applyAlignment="1">
      <alignment horizontal="center"/>
    </xf>
    <xf numFmtId="0" fontId="30" fillId="5" borderId="0" xfId="2" applyNumberFormat="1" applyFont="1" applyFill="1" applyAlignment="1">
      <alignment horizontal="center"/>
    </xf>
    <xf numFmtId="37" fontId="29" fillId="0" borderId="0" xfId="1" applyNumberFormat="1" applyFont="1" applyProtection="1">
      <protection locked="0"/>
    </xf>
    <xf numFmtId="9" fontId="86" fillId="0" borderId="0" xfId="0" applyNumberFormat="1" applyFont="1"/>
    <xf numFmtId="9" fontId="41" fillId="0" borderId="9" xfId="2" applyFont="1" applyBorder="1" applyProtection="1">
      <protection locked="0"/>
    </xf>
    <xf numFmtId="37" fontId="41" fillId="0" borderId="0" xfId="1" applyNumberFormat="1" applyFont="1" applyProtection="1">
      <protection locked="0"/>
    </xf>
    <xf numFmtId="2" fontId="26" fillId="3" borderId="0" xfId="2" applyNumberFormat="1" applyFont="1" applyFill="1" applyProtection="1">
      <protection locked="0"/>
    </xf>
    <xf numFmtId="2" fontId="26" fillId="0" borderId="0" xfId="2" applyNumberFormat="1" applyFont="1" applyProtection="1">
      <protection locked="0"/>
    </xf>
    <xf numFmtId="2" fontId="30" fillId="0" borderId="3" xfId="0" applyNumberFormat="1" applyFont="1" applyBorder="1"/>
    <xf numFmtId="2" fontId="25" fillId="9" borderId="4" xfId="0" applyNumberFormat="1" applyFont="1" applyFill="1" applyBorder="1" applyProtection="1">
      <protection locked="0"/>
    </xf>
    <xf numFmtId="0" fontId="30" fillId="0" borderId="0" xfId="2" applyNumberFormat="1" applyFont="1" applyFill="1" applyAlignment="1">
      <alignment horizontal="center"/>
    </xf>
    <xf numFmtId="9" fontId="30" fillId="0" borderId="0" xfId="2" applyFont="1" applyFill="1" applyAlignment="1">
      <alignment horizontal="center"/>
    </xf>
    <xf numFmtId="169" fontId="30" fillId="9" borderId="4" xfId="0" applyNumberFormat="1" applyFont="1" applyFill="1" applyBorder="1"/>
    <xf numFmtId="37" fontId="93" fillId="0" borderId="0" xfId="1" applyNumberFormat="1" applyFont="1" applyProtection="1">
      <protection locked="0"/>
    </xf>
    <xf numFmtId="9" fontId="94" fillId="4" borderId="0" xfId="0" applyNumberFormat="1" applyFont="1" applyFill="1"/>
    <xf numFmtId="0" fontId="92" fillId="0" borderId="3" xfId="0" applyFont="1" applyBorder="1"/>
    <xf numFmtId="0" fontId="92" fillId="0" borderId="0" xfId="0" applyFont="1" applyProtection="1">
      <protection locked="0"/>
    </xf>
    <xf numFmtId="169" fontId="89" fillId="0" borderId="0" xfId="0" applyNumberFormat="1" applyFont="1" applyAlignment="1">
      <alignment horizontal="center"/>
    </xf>
    <xf numFmtId="0" fontId="95" fillId="0" borderId="0" xfId="0" applyFont="1" applyAlignment="1">
      <alignment horizontal="left" indent="2"/>
    </xf>
    <xf numFmtId="167" fontId="92" fillId="0" borderId="0" xfId="0" applyNumberFormat="1" applyFont="1" applyProtection="1">
      <protection locked="0"/>
    </xf>
    <xf numFmtId="178" fontId="30" fillId="0" borderId="0" xfId="0" applyNumberFormat="1" applyFont="1" applyProtection="1">
      <protection locked="0"/>
    </xf>
    <xf numFmtId="1" fontId="30" fillId="19" borderId="0" xfId="0" applyNumberFormat="1" applyFont="1" applyFill="1" applyProtection="1">
      <protection locked="0"/>
    </xf>
    <xf numFmtId="0" fontId="8" fillId="0" borderId="0" xfId="0" applyFont="1" applyAlignment="1">
      <alignment horizontal="left" vertical="center"/>
    </xf>
    <xf numFmtId="0" fontId="9" fillId="0" borderId="0" xfId="3" applyBorder="1"/>
    <xf numFmtId="0" fontId="89" fillId="0" borderId="0" xfId="0" applyFont="1" applyAlignment="1">
      <alignment vertical="center"/>
    </xf>
    <xf numFmtId="0" fontId="30" fillId="0" borderId="0" xfId="0" applyFont="1" applyAlignment="1">
      <alignment horizontal="left" vertical="center"/>
    </xf>
    <xf numFmtId="169" fontId="30" fillId="0" borderId="0" xfId="2" applyNumberFormat="1" applyFont="1" applyAlignment="1">
      <alignment horizontal="center"/>
    </xf>
    <xf numFmtId="169" fontId="30" fillId="5" borderId="0" xfId="2" applyNumberFormat="1" applyFont="1" applyFill="1" applyAlignment="1">
      <alignment horizontal="center"/>
    </xf>
    <xf numFmtId="37" fontId="17" fillId="0" borderId="0" xfId="0" applyNumberFormat="1" applyFont="1" applyProtection="1">
      <protection locked="0"/>
    </xf>
    <xf numFmtId="0" fontId="10" fillId="0" borderId="0" xfId="0" applyFont="1" applyAlignment="1">
      <alignment horizontal="right"/>
    </xf>
    <xf numFmtId="181" fontId="17" fillId="0" borderId="0" xfId="0" applyNumberFormat="1" applyFont="1" applyProtection="1">
      <protection locked="0"/>
    </xf>
    <xf numFmtId="39" fontId="17" fillId="0" borderId="0" xfId="0" applyNumberFormat="1" applyFont="1" applyProtection="1">
      <protection locked="0"/>
    </xf>
    <xf numFmtId="10" fontId="17" fillId="0" borderId="0" xfId="0" applyNumberFormat="1" applyFont="1" applyProtection="1">
      <protection locked="0"/>
    </xf>
    <xf numFmtId="9" fontId="17" fillId="0" borderId="0" xfId="0" applyNumberFormat="1" applyFont="1" applyProtection="1">
      <protection locked="0"/>
    </xf>
    <xf numFmtId="9" fontId="1" fillId="4" borderId="0" xfId="17" applyNumberFormat="1" applyFont="1" applyFill="1"/>
    <xf numFmtId="9" fontId="1" fillId="4" borderId="0" xfId="17" applyNumberFormat="1" applyFont="1" applyFill="1" applyProtection="1">
      <protection locked="0"/>
    </xf>
    <xf numFmtId="2" fontId="36" fillId="0" borderId="0" xfId="0" applyNumberFormat="1" applyFont="1" applyProtection="1">
      <protection locked="0"/>
    </xf>
    <xf numFmtId="0" fontId="26" fillId="4" borderId="0" xfId="0" applyFont="1" applyFill="1" applyAlignment="1">
      <alignment horizontal="left" indent="2"/>
    </xf>
    <xf numFmtId="0" fontId="30" fillId="4" borderId="3" xfId="0" applyFont="1" applyFill="1" applyBorder="1"/>
    <xf numFmtId="167" fontId="30" fillId="4" borderId="0" xfId="2" applyNumberFormat="1" applyFont="1" applyFill="1" applyProtection="1">
      <protection locked="0"/>
    </xf>
    <xf numFmtId="0" fontId="30" fillId="4" borderId="0" xfId="0" applyFont="1" applyFill="1" applyProtection="1">
      <protection locked="0"/>
    </xf>
    <xf numFmtId="10" fontId="29" fillId="3" borderId="0" xfId="0" applyNumberFormat="1" applyFont="1" applyFill="1" applyProtection="1">
      <protection locked="0"/>
    </xf>
    <xf numFmtId="167" fontId="25" fillId="4" borderId="0" xfId="2" applyNumberFormat="1" applyFont="1" applyFill="1" applyBorder="1" applyProtection="1">
      <protection locked="0"/>
    </xf>
    <xf numFmtId="167" fontId="25" fillId="9" borderId="30" xfId="2" applyNumberFormat="1" applyFont="1" applyFill="1" applyBorder="1" applyProtection="1">
      <protection locked="0"/>
    </xf>
    <xf numFmtId="167" fontId="25" fillId="9" borderId="31" xfId="2" applyNumberFormat="1" applyFont="1" applyFill="1" applyBorder="1" applyProtection="1">
      <protection locked="0"/>
    </xf>
    <xf numFmtId="167" fontId="25" fillId="9" borderId="32" xfId="2" applyNumberFormat="1" applyFont="1" applyFill="1" applyBorder="1" applyProtection="1">
      <protection locked="0"/>
    </xf>
    <xf numFmtId="37" fontId="29" fillId="4" borderId="0" xfId="0" applyNumberFormat="1" applyFont="1" applyFill="1" applyProtection="1">
      <protection locked="0"/>
    </xf>
    <xf numFmtId="39" fontId="27" fillId="4" borderId="0" xfId="0" applyNumberFormat="1" applyFont="1" applyFill="1" applyProtection="1">
      <protection locked="0"/>
    </xf>
    <xf numFmtId="174" fontId="27" fillId="4" borderId="0" xfId="0" applyNumberFormat="1" applyFont="1" applyFill="1" applyProtection="1">
      <protection locked="0"/>
    </xf>
    <xf numFmtId="37" fontId="30" fillId="4" borderId="0" xfId="0" applyNumberFormat="1" applyFont="1" applyFill="1" applyProtection="1">
      <protection locked="0"/>
    </xf>
    <xf numFmtId="169" fontId="26" fillId="3" borderId="0" xfId="2" applyNumberFormat="1" applyFont="1" applyFill="1" applyProtection="1">
      <protection locked="0"/>
    </xf>
    <xf numFmtId="169" fontId="25" fillId="9" borderId="4" xfId="0" applyNumberFormat="1" applyFont="1" applyFill="1" applyBorder="1" applyProtection="1">
      <protection locked="0"/>
    </xf>
    <xf numFmtId="37" fontId="96" fillId="0" borderId="0" xfId="0" applyNumberFormat="1" applyFont="1" applyProtection="1">
      <protection locked="0"/>
    </xf>
    <xf numFmtId="37" fontId="97" fillId="0" borderId="0" xfId="0" applyNumberFormat="1" applyFont="1" applyProtection="1">
      <protection locked="0"/>
    </xf>
    <xf numFmtId="37" fontId="97" fillId="3" borderId="0" xfId="2" applyNumberFormat="1" applyFont="1" applyFill="1" applyProtection="1">
      <protection locked="0"/>
    </xf>
    <xf numFmtId="167" fontId="26" fillId="4" borderId="0" xfId="2" applyNumberFormat="1" applyFont="1" applyFill="1" applyBorder="1" applyProtection="1">
      <protection locked="0"/>
    </xf>
    <xf numFmtId="167" fontId="25" fillId="9" borderId="16" xfId="2" applyNumberFormat="1" applyFont="1" applyFill="1" applyBorder="1" applyProtection="1">
      <protection locked="0"/>
    </xf>
    <xf numFmtId="167" fontId="25" fillId="4" borderId="33" xfId="2" applyNumberFormat="1" applyFont="1" applyFill="1" applyBorder="1" applyProtection="1">
      <protection locked="0"/>
    </xf>
    <xf numFmtId="167" fontId="25" fillId="9" borderId="34" xfId="2" applyNumberFormat="1" applyFont="1" applyFill="1" applyBorder="1" applyProtection="1">
      <protection locked="0"/>
    </xf>
    <xf numFmtId="167" fontId="30" fillId="0" borderId="0" xfId="0" applyNumberFormat="1" applyFont="1"/>
    <xf numFmtId="0" fontId="78" fillId="0" borderId="0" xfId="0" applyFont="1" applyAlignment="1">
      <alignment horizontal="left" vertical="top" wrapText="1"/>
    </xf>
    <xf numFmtId="0" fontId="8" fillId="0" borderId="29" xfId="0" applyFont="1" applyBorder="1" applyAlignment="1">
      <alignment horizontal="center" vertical="center" wrapText="1"/>
    </xf>
    <xf numFmtId="0" fontId="8" fillId="0" borderId="0" xfId="0" applyFont="1" applyAlignment="1">
      <alignment horizontal="center" vertical="center" wrapText="1"/>
    </xf>
    <xf numFmtId="0" fontId="30" fillId="0" borderId="0" xfId="0" applyFont="1" applyAlignment="1">
      <alignment horizontal="center" wrapText="1"/>
    </xf>
    <xf numFmtId="0" fontId="30" fillId="0" borderId="0" xfId="0" applyFont="1" applyAlignment="1">
      <alignment horizontal="left" vertical="top" wrapText="1" indent="1"/>
    </xf>
    <xf numFmtId="0" fontId="30" fillId="0" borderId="0" xfId="0" applyFont="1" applyAlignment="1">
      <alignment horizontal="center" vertical="top" wrapText="1"/>
    </xf>
    <xf numFmtId="0" fontId="30" fillId="0" borderId="0" xfId="0" applyFont="1" applyAlignment="1" applyProtection="1">
      <alignment horizontal="center" vertical="center" wrapText="1"/>
      <protection locked="0"/>
    </xf>
    <xf numFmtId="165" fontId="18" fillId="2" borderId="10" xfId="0" applyNumberFormat="1" applyFont="1" applyFill="1" applyBorder="1" applyAlignment="1">
      <alignment horizontal="center"/>
    </xf>
    <xf numFmtId="164" fontId="18" fillId="2" borderId="10" xfId="0" applyNumberFormat="1" applyFont="1" applyFill="1" applyBorder="1" applyAlignment="1">
      <alignment horizontal="center"/>
    </xf>
    <xf numFmtId="0" fontId="92" fillId="0" borderId="0" xfId="0" applyFont="1" applyAlignment="1" applyProtection="1">
      <alignment horizontal="center" wrapText="1"/>
      <protection locked="0"/>
    </xf>
    <xf numFmtId="0" fontId="39" fillId="2" borderId="10" xfId="0" applyFont="1" applyFill="1" applyBorder="1" applyAlignment="1">
      <alignment horizontal="center"/>
    </xf>
    <xf numFmtId="0" fontId="29" fillId="0" borderId="0" xfId="5" applyFont="1" applyAlignment="1">
      <alignment horizontal="left" vertical="top" wrapText="1"/>
    </xf>
    <xf numFmtId="0" fontId="29" fillId="13" borderId="0" xfId="5" applyFont="1" applyFill="1" applyAlignment="1">
      <alignment horizontal="left" vertical="center"/>
    </xf>
    <xf numFmtId="0" fontId="54" fillId="8" borderId="0" xfId="5" applyFont="1" applyFill="1" applyAlignment="1">
      <alignment horizontal="left" vertical="center"/>
    </xf>
    <xf numFmtId="0" fontId="29" fillId="17" borderId="0" xfId="5" applyFont="1" applyFill="1" applyAlignment="1">
      <alignment horizontal="left" vertical="center"/>
    </xf>
    <xf numFmtId="0" fontId="29" fillId="5" borderId="0" xfId="5" applyFont="1" applyFill="1" applyAlignment="1">
      <alignment horizontal="left" vertical="center"/>
    </xf>
    <xf numFmtId="0" fontId="29" fillId="0" borderId="0" xfId="5" applyFont="1" applyAlignment="1">
      <alignment horizontal="left" vertical="center" wrapText="1"/>
    </xf>
    <xf numFmtId="0" fontId="36" fillId="0" borderId="0" xfId="0" applyFont="1" applyAlignment="1">
      <alignment horizontal="left" vertical="top" wrapText="1" indent="1"/>
    </xf>
    <xf numFmtId="0" fontId="29" fillId="7" borderId="0" xfId="5" applyFont="1" applyFill="1" applyAlignment="1">
      <alignment horizontal="center" vertical="center"/>
    </xf>
    <xf numFmtId="0" fontId="29" fillId="8" borderId="0" xfId="5" applyFont="1" applyFill="1" applyAlignment="1">
      <alignment horizontal="center" vertical="center"/>
    </xf>
    <xf numFmtId="0" fontId="29" fillId="17" borderId="0" xfId="5" applyFont="1" applyFill="1" applyAlignment="1">
      <alignment horizontal="center" vertical="center"/>
    </xf>
    <xf numFmtId="0" fontId="29" fillId="7" borderId="0" xfId="5" applyFont="1" applyFill="1" applyAlignment="1">
      <alignment horizontal="left" vertical="center"/>
    </xf>
    <xf numFmtId="0" fontId="30" fillId="0" borderId="0" xfId="0" applyFont="1" applyAlignment="1">
      <alignment horizontal="left" vertical="top" wrapText="1"/>
    </xf>
    <xf numFmtId="0" fontId="29" fillId="13" borderId="0" xfId="5" applyFont="1" applyFill="1" applyAlignment="1">
      <alignment horizontal="center" vertical="center"/>
    </xf>
    <xf numFmtId="0" fontId="29" fillId="0" borderId="2" xfId="5" applyFont="1" applyBorder="1" applyAlignment="1">
      <alignment horizontal="left" vertical="top" wrapText="1"/>
    </xf>
    <xf numFmtId="0" fontId="29" fillId="0" borderId="2" xfId="5" applyFont="1" applyBorder="1" applyAlignment="1">
      <alignment horizontal="left" vertical="center" wrapText="1"/>
    </xf>
    <xf numFmtId="0" fontId="29" fillId="5" borderId="0" xfId="5" applyFont="1" applyFill="1" applyAlignment="1">
      <alignment horizontal="center" vertical="center"/>
    </xf>
    <xf numFmtId="3" fontId="55" fillId="0" borderId="0" xfId="5" applyNumberFormat="1" applyFont="1" applyAlignment="1">
      <alignment horizontal="right" vertical="center"/>
    </xf>
    <xf numFmtId="0" fontId="55" fillId="0" borderId="0" xfId="5" applyFont="1" applyAlignment="1">
      <alignment horizontal="right" vertical="center"/>
    </xf>
    <xf numFmtId="0" fontId="55" fillId="0" borderId="0" xfId="3" applyFont="1" applyAlignment="1">
      <alignment horizontal="right" vertical="center"/>
    </xf>
    <xf numFmtId="0" fontId="36" fillId="0" borderId="2" xfId="0" applyFont="1" applyBorder="1" applyAlignment="1">
      <alignment horizontal="left" vertical="top" wrapText="1" indent="1"/>
    </xf>
    <xf numFmtId="0" fontId="29" fillId="13" borderId="2" xfId="5" applyFont="1" applyFill="1" applyBorder="1" applyAlignment="1">
      <alignment horizontal="center" vertical="center"/>
    </xf>
    <xf numFmtId="0" fontId="36" fillId="13" borderId="0" xfId="0" applyFont="1" applyFill="1" applyAlignment="1">
      <alignment horizontal="right"/>
    </xf>
    <xf numFmtId="1" fontId="45" fillId="7" borderId="0" xfId="0" applyNumberFormat="1" applyFont="1" applyFill="1" applyAlignment="1">
      <alignment horizontal="right"/>
    </xf>
    <xf numFmtId="1" fontId="26" fillId="0" borderId="0" xfId="5" applyNumberFormat="1" applyFont="1" applyAlignment="1">
      <alignment horizontal="right" vertical="center"/>
    </xf>
    <xf numFmtId="0" fontId="29" fillId="0" borderId="0" xfId="5" applyFont="1" applyAlignment="1">
      <alignment horizontal="center" vertical="center"/>
    </xf>
    <xf numFmtId="0" fontId="30" fillId="0" borderId="0" xfId="0" applyFont="1" applyAlignment="1">
      <alignment horizontal="center"/>
    </xf>
    <xf numFmtId="9" fontId="36" fillId="7" borderId="0" xfId="0" applyNumberFormat="1" applyFont="1" applyFill="1" applyAlignment="1">
      <alignment horizontal="right"/>
    </xf>
    <xf numFmtId="0" fontId="55" fillId="0" borderId="0" xfId="5" applyFont="1" applyAlignment="1">
      <alignment horizontal="center" vertical="center"/>
    </xf>
    <xf numFmtId="0" fontId="30" fillId="0" borderId="2" xfId="0" applyFont="1" applyBorder="1" applyAlignment="1">
      <alignment horizontal="center"/>
    </xf>
    <xf numFmtId="0" fontId="29" fillId="0" borderId="2" xfId="5" applyFont="1" applyBorder="1" applyAlignment="1">
      <alignment horizontal="center" vertical="center"/>
    </xf>
    <xf numFmtId="0" fontId="70" fillId="0" borderId="11" xfId="0" applyFont="1" applyBorder="1" applyAlignment="1">
      <alignment horizontal="center"/>
    </xf>
    <xf numFmtId="0" fontId="10" fillId="0" borderId="11" xfId="0" applyFont="1" applyBorder="1" applyAlignment="1">
      <alignment horizontal="center"/>
    </xf>
  </cellXfs>
  <cellStyles count="18">
    <cellStyle name="40% - Accent2" xfId="17" builtinId="35"/>
    <cellStyle name="Bad" xfId="16" builtinId="27"/>
    <cellStyle name="blp_column_header" xfId="12" xr:uid="{00000000-0005-0000-0000-000000000000}"/>
    <cellStyle name="Comma" xfId="1" builtinId="3"/>
    <cellStyle name="Currency" xfId="14" builtinId="4"/>
    <cellStyle name="Currency 2" xfId="9" xr:uid="{00000000-0005-0000-0000-000002000000}"/>
    <cellStyle name="fa_column_header_bottom" xfId="11" xr:uid="{00000000-0005-0000-0000-000003000000}"/>
    <cellStyle name="Hyperlink" xfId="3" builtinId="8"/>
    <cellStyle name="Neutral" xfId="15" builtinId="28"/>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 cent" xfId="2" builtinId="5"/>
    <cellStyle name="Percent 2" xfId="4" xr:uid="{00000000-0005-0000-0000-00000C000000}"/>
    <cellStyle name="Porcentaje 3" xfId="7" xr:uid="{00000000-0005-0000-0000-00000D000000}"/>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8DEB91"/>
      <color rgb="FF7B1314"/>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A7-48D8-8DB3-A062E57FF0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A7-48D8-8DB3-A062E57FF01C}"/>
              </c:ext>
            </c:extLst>
          </c:dPt>
          <c:val>
            <c:numRef>
              <c:f>FCFF!$R$162:$R$163</c:f>
              <c:numCache>
                <c:formatCode>0.0%</c:formatCode>
                <c:ptCount val="2"/>
                <c:pt idx="0">
                  <c:v>-0.1826259567345917</c:v>
                </c:pt>
                <c:pt idx="1">
                  <c:v>1.1826259567345918</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FCFF!$AR$16</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FCFF!$AS$16:$AZ$16</c:f>
              <c:numCache>
                <c:formatCode>#,##0_);\(#,##0\)</c:formatCode>
                <c:ptCount val="8"/>
                <c:pt idx="0">
                  <c:v>11931</c:v>
                </c:pt>
                <c:pt idx="1">
                  <c:v>17667</c:v>
                </c:pt>
                <c:pt idx="2">
                  <c:v>14920</c:v>
                </c:pt>
                <c:pt idx="3">
                  <c:v>11796.963763</c:v>
                </c:pt>
                <c:pt idx="4">
                  <c:v>11486.573952000001</c:v>
                </c:pt>
                <c:pt idx="5">
                  <c:v>11238.639237999998</c:v>
                </c:pt>
                <c:pt idx="6">
                  <c:v>13785.317128000004</c:v>
                </c:pt>
                <c:pt idx="7">
                  <c:v>16124.042864332976</c:v>
                </c:pt>
              </c:numCache>
            </c:numRef>
          </c:val>
          <c:extLst>
            <c:ext xmlns:c16="http://schemas.microsoft.com/office/drawing/2014/chart" uri="{C3380CC4-5D6E-409C-BE32-E72D297353CC}">
              <c16:uniqueId val="{00000000-EDEC-4D47-9C20-D8D9D241E889}"/>
            </c:ext>
          </c:extLst>
        </c:ser>
        <c:ser>
          <c:idx val="1"/>
          <c:order val="1"/>
          <c:tx>
            <c:strRef>
              <c:f>FCFF!$AR$17</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FCFF!$AS$17:$AZ$17</c:f>
              <c:numCache>
                <c:formatCode>#,##0_);\(#,##0\)</c:formatCode>
                <c:ptCount val="8"/>
                <c:pt idx="0">
                  <c:v>7784.4201782928467</c:v>
                </c:pt>
                <c:pt idx="1">
                  <c:v>11659.318249053747</c:v>
                </c:pt>
                <c:pt idx="2">
                  <c:v>12551.190929273707</c:v>
                </c:pt>
                <c:pt idx="3">
                  <c:v>7263.9046002238974</c:v>
                </c:pt>
                <c:pt idx="4">
                  <c:v>8748.3363141739119</c:v>
                </c:pt>
                <c:pt idx="5">
                  <c:v>9563.0609855952953</c:v>
                </c:pt>
                <c:pt idx="6">
                  <c:v>10219.693495761874</c:v>
                </c:pt>
                <c:pt idx="7">
                  <c:v>12287.846746227737</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FCFF!$AR$18</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FCFF!$AS$18:$AZ$18</c:f>
              <c:numCache>
                <c:formatCode>0.0%</c:formatCode>
                <c:ptCount val="8"/>
                <c:pt idx="0">
                  <c:v>0.19428039251317464</c:v>
                </c:pt>
                <c:pt idx="1">
                  <c:v>0.16497708123323895</c:v>
                </c:pt>
                <c:pt idx="2">
                  <c:v>-0.15567092782158654</c:v>
                </c:pt>
                <c:pt idx="3">
                  <c:v>-0.12727395776935568</c:v>
                </c:pt>
                <c:pt idx="4">
                  <c:v>6.1564145797283087E-2</c:v>
                </c:pt>
                <c:pt idx="5">
                  <c:v>0.10802435187622117</c:v>
                </c:pt>
                <c:pt idx="6">
                  <c:v>0.1343975361779679</c:v>
                </c:pt>
                <c:pt idx="7">
                  <c:v>4.7337246311667691E-2</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9"/>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1E-4803-90CD-9436E842C6A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45957</c:v>
                </c:pt>
                <c:pt idx="1">
                  <c:v>45956</c:v>
                </c:pt>
                <c:pt idx="2">
                  <c:v>45955</c:v>
                </c:pt>
                <c:pt idx="3">
                  <c:v>45954</c:v>
                </c:pt>
                <c:pt idx="4">
                  <c:v>45953</c:v>
                </c:pt>
                <c:pt idx="5">
                  <c:v>45952</c:v>
                </c:pt>
                <c:pt idx="6">
                  <c:v>45951</c:v>
                </c:pt>
                <c:pt idx="7">
                  <c:v>45950</c:v>
                </c:pt>
                <c:pt idx="8">
                  <c:v>45949</c:v>
                </c:pt>
                <c:pt idx="9">
                  <c:v>45948</c:v>
                </c:pt>
                <c:pt idx="10">
                  <c:v>45947</c:v>
                </c:pt>
                <c:pt idx="11">
                  <c:v>45946</c:v>
                </c:pt>
                <c:pt idx="12">
                  <c:v>45945</c:v>
                </c:pt>
                <c:pt idx="13">
                  <c:v>45944</c:v>
                </c:pt>
                <c:pt idx="14">
                  <c:v>45943</c:v>
                </c:pt>
                <c:pt idx="15">
                  <c:v>45942</c:v>
                </c:pt>
                <c:pt idx="16">
                  <c:v>45941</c:v>
                </c:pt>
                <c:pt idx="17">
                  <c:v>45940</c:v>
                </c:pt>
                <c:pt idx="18">
                  <c:v>45939</c:v>
                </c:pt>
                <c:pt idx="19">
                  <c:v>45938</c:v>
                </c:pt>
                <c:pt idx="20">
                  <c:v>45937</c:v>
                </c:pt>
                <c:pt idx="21">
                  <c:v>45936</c:v>
                </c:pt>
                <c:pt idx="22">
                  <c:v>45935</c:v>
                </c:pt>
                <c:pt idx="23">
                  <c:v>45934</c:v>
                </c:pt>
                <c:pt idx="24">
                  <c:v>45933</c:v>
                </c:pt>
                <c:pt idx="25">
                  <c:v>45932</c:v>
                </c:pt>
                <c:pt idx="26">
                  <c:v>45931</c:v>
                </c:pt>
                <c:pt idx="27">
                  <c:v>45930</c:v>
                </c:pt>
                <c:pt idx="28">
                  <c:v>45929</c:v>
                </c:pt>
                <c:pt idx="29">
                  <c:v>45928</c:v>
                </c:pt>
                <c:pt idx="30">
                  <c:v>45927</c:v>
                </c:pt>
                <c:pt idx="31">
                  <c:v>45926</c:v>
                </c:pt>
                <c:pt idx="32">
                  <c:v>45925</c:v>
                </c:pt>
                <c:pt idx="33">
                  <c:v>45924</c:v>
                </c:pt>
                <c:pt idx="34">
                  <c:v>45923</c:v>
                </c:pt>
                <c:pt idx="35">
                  <c:v>45922</c:v>
                </c:pt>
                <c:pt idx="36">
                  <c:v>45921</c:v>
                </c:pt>
                <c:pt idx="37">
                  <c:v>45920</c:v>
                </c:pt>
                <c:pt idx="38">
                  <c:v>45919</c:v>
                </c:pt>
                <c:pt idx="39">
                  <c:v>45918</c:v>
                </c:pt>
                <c:pt idx="40">
                  <c:v>45917</c:v>
                </c:pt>
                <c:pt idx="41">
                  <c:v>45916</c:v>
                </c:pt>
                <c:pt idx="42">
                  <c:v>45915</c:v>
                </c:pt>
                <c:pt idx="43">
                  <c:v>45914</c:v>
                </c:pt>
                <c:pt idx="44">
                  <c:v>45913</c:v>
                </c:pt>
                <c:pt idx="45">
                  <c:v>45912</c:v>
                </c:pt>
                <c:pt idx="46">
                  <c:v>45911</c:v>
                </c:pt>
                <c:pt idx="47">
                  <c:v>45910</c:v>
                </c:pt>
                <c:pt idx="48">
                  <c:v>45909</c:v>
                </c:pt>
                <c:pt idx="49">
                  <c:v>45908</c:v>
                </c:pt>
                <c:pt idx="50">
                  <c:v>45907</c:v>
                </c:pt>
                <c:pt idx="51">
                  <c:v>45906</c:v>
                </c:pt>
                <c:pt idx="52">
                  <c:v>45905</c:v>
                </c:pt>
                <c:pt idx="53">
                  <c:v>45904</c:v>
                </c:pt>
                <c:pt idx="54">
                  <c:v>45903</c:v>
                </c:pt>
                <c:pt idx="55">
                  <c:v>45902</c:v>
                </c:pt>
                <c:pt idx="56">
                  <c:v>45901</c:v>
                </c:pt>
                <c:pt idx="57">
                  <c:v>45900</c:v>
                </c:pt>
                <c:pt idx="58">
                  <c:v>45899</c:v>
                </c:pt>
                <c:pt idx="59">
                  <c:v>45898</c:v>
                </c:pt>
                <c:pt idx="60">
                  <c:v>45897</c:v>
                </c:pt>
                <c:pt idx="61">
                  <c:v>45896</c:v>
                </c:pt>
                <c:pt idx="62">
                  <c:v>45895</c:v>
                </c:pt>
                <c:pt idx="63">
                  <c:v>45894</c:v>
                </c:pt>
                <c:pt idx="64">
                  <c:v>45893</c:v>
                </c:pt>
                <c:pt idx="65">
                  <c:v>45892</c:v>
                </c:pt>
                <c:pt idx="66">
                  <c:v>45891</c:v>
                </c:pt>
                <c:pt idx="67">
                  <c:v>45890</c:v>
                </c:pt>
                <c:pt idx="68">
                  <c:v>45889</c:v>
                </c:pt>
                <c:pt idx="69">
                  <c:v>45888</c:v>
                </c:pt>
                <c:pt idx="70">
                  <c:v>45887</c:v>
                </c:pt>
                <c:pt idx="71">
                  <c:v>45886</c:v>
                </c:pt>
                <c:pt idx="72">
                  <c:v>45885</c:v>
                </c:pt>
                <c:pt idx="73">
                  <c:v>45884</c:v>
                </c:pt>
                <c:pt idx="74">
                  <c:v>45883</c:v>
                </c:pt>
                <c:pt idx="75">
                  <c:v>45882</c:v>
                </c:pt>
                <c:pt idx="76">
                  <c:v>45881</c:v>
                </c:pt>
                <c:pt idx="77">
                  <c:v>45880</c:v>
                </c:pt>
                <c:pt idx="78">
                  <c:v>45879</c:v>
                </c:pt>
                <c:pt idx="79">
                  <c:v>45878</c:v>
                </c:pt>
                <c:pt idx="80">
                  <c:v>45877</c:v>
                </c:pt>
                <c:pt idx="81">
                  <c:v>45876</c:v>
                </c:pt>
                <c:pt idx="82">
                  <c:v>45875</c:v>
                </c:pt>
                <c:pt idx="83">
                  <c:v>45874</c:v>
                </c:pt>
                <c:pt idx="84">
                  <c:v>45873</c:v>
                </c:pt>
                <c:pt idx="85">
                  <c:v>45872</c:v>
                </c:pt>
                <c:pt idx="86">
                  <c:v>45871</c:v>
                </c:pt>
                <c:pt idx="87">
                  <c:v>45870</c:v>
                </c:pt>
                <c:pt idx="88">
                  <c:v>45869</c:v>
                </c:pt>
                <c:pt idx="89">
                  <c:v>45868</c:v>
                </c:pt>
                <c:pt idx="90">
                  <c:v>45867</c:v>
                </c:pt>
                <c:pt idx="91">
                  <c:v>45866</c:v>
                </c:pt>
                <c:pt idx="92">
                  <c:v>45865</c:v>
                </c:pt>
                <c:pt idx="93">
                  <c:v>45864</c:v>
                </c:pt>
                <c:pt idx="94">
                  <c:v>45863</c:v>
                </c:pt>
                <c:pt idx="95">
                  <c:v>45862</c:v>
                </c:pt>
                <c:pt idx="96">
                  <c:v>45861</c:v>
                </c:pt>
                <c:pt idx="97">
                  <c:v>45860</c:v>
                </c:pt>
                <c:pt idx="98">
                  <c:v>45859</c:v>
                </c:pt>
                <c:pt idx="99">
                  <c:v>45858</c:v>
                </c:pt>
                <c:pt idx="100">
                  <c:v>45857</c:v>
                </c:pt>
                <c:pt idx="101">
                  <c:v>45856</c:v>
                </c:pt>
                <c:pt idx="102">
                  <c:v>45855</c:v>
                </c:pt>
                <c:pt idx="103">
                  <c:v>45854</c:v>
                </c:pt>
                <c:pt idx="104">
                  <c:v>45853</c:v>
                </c:pt>
                <c:pt idx="105">
                  <c:v>45852</c:v>
                </c:pt>
                <c:pt idx="106">
                  <c:v>45851</c:v>
                </c:pt>
                <c:pt idx="107">
                  <c:v>45850</c:v>
                </c:pt>
                <c:pt idx="108">
                  <c:v>45849</c:v>
                </c:pt>
                <c:pt idx="109">
                  <c:v>45848</c:v>
                </c:pt>
                <c:pt idx="110">
                  <c:v>45847</c:v>
                </c:pt>
                <c:pt idx="111">
                  <c:v>45846</c:v>
                </c:pt>
                <c:pt idx="112">
                  <c:v>45845</c:v>
                </c:pt>
                <c:pt idx="113">
                  <c:v>45844</c:v>
                </c:pt>
                <c:pt idx="114">
                  <c:v>45843</c:v>
                </c:pt>
                <c:pt idx="115">
                  <c:v>45842</c:v>
                </c:pt>
                <c:pt idx="116">
                  <c:v>45841</c:v>
                </c:pt>
                <c:pt idx="117">
                  <c:v>45840</c:v>
                </c:pt>
                <c:pt idx="118">
                  <c:v>45839</c:v>
                </c:pt>
                <c:pt idx="119">
                  <c:v>45838</c:v>
                </c:pt>
                <c:pt idx="120">
                  <c:v>45837</c:v>
                </c:pt>
                <c:pt idx="121">
                  <c:v>45836</c:v>
                </c:pt>
                <c:pt idx="122">
                  <c:v>45835</c:v>
                </c:pt>
                <c:pt idx="123">
                  <c:v>45834</c:v>
                </c:pt>
                <c:pt idx="124">
                  <c:v>45833</c:v>
                </c:pt>
                <c:pt idx="125">
                  <c:v>45832</c:v>
                </c:pt>
                <c:pt idx="126">
                  <c:v>45831</c:v>
                </c:pt>
                <c:pt idx="127">
                  <c:v>45830</c:v>
                </c:pt>
                <c:pt idx="128">
                  <c:v>45829</c:v>
                </c:pt>
                <c:pt idx="129">
                  <c:v>45828</c:v>
                </c:pt>
                <c:pt idx="130">
                  <c:v>45827</c:v>
                </c:pt>
                <c:pt idx="131">
                  <c:v>45826</c:v>
                </c:pt>
                <c:pt idx="132">
                  <c:v>45825</c:v>
                </c:pt>
                <c:pt idx="133">
                  <c:v>45824</c:v>
                </c:pt>
                <c:pt idx="134">
                  <c:v>45823</c:v>
                </c:pt>
                <c:pt idx="135">
                  <c:v>45822</c:v>
                </c:pt>
                <c:pt idx="136">
                  <c:v>45821</c:v>
                </c:pt>
                <c:pt idx="137">
                  <c:v>45820</c:v>
                </c:pt>
                <c:pt idx="138">
                  <c:v>45819</c:v>
                </c:pt>
                <c:pt idx="139">
                  <c:v>45818</c:v>
                </c:pt>
                <c:pt idx="140">
                  <c:v>45817</c:v>
                </c:pt>
                <c:pt idx="141">
                  <c:v>45816</c:v>
                </c:pt>
                <c:pt idx="142">
                  <c:v>45815</c:v>
                </c:pt>
                <c:pt idx="143">
                  <c:v>45814</c:v>
                </c:pt>
                <c:pt idx="144">
                  <c:v>45813</c:v>
                </c:pt>
                <c:pt idx="145">
                  <c:v>45812</c:v>
                </c:pt>
                <c:pt idx="146">
                  <c:v>45811</c:v>
                </c:pt>
                <c:pt idx="147">
                  <c:v>45810</c:v>
                </c:pt>
                <c:pt idx="148">
                  <c:v>45809</c:v>
                </c:pt>
                <c:pt idx="149">
                  <c:v>45808</c:v>
                </c:pt>
                <c:pt idx="150">
                  <c:v>45807</c:v>
                </c:pt>
                <c:pt idx="151">
                  <c:v>45806</c:v>
                </c:pt>
                <c:pt idx="152">
                  <c:v>45805</c:v>
                </c:pt>
                <c:pt idx="153">
                  <c:v>45804</c:v>
                </c:pt>
                <c:pt idx="154">
                  <c:v>45803</c:v>
                </c:pt>
                <c:pt idx="155">
                  <c:v>45802</c:v>
                </c:pt>
                <c:pt idx="156">
                  <c:v>45801</c:v>
                </c:pt>
                <c:pt idx="157">
                  <c:v>45800</c:v>
                </c:pt>
                <c:pt idx="158">
                  <c:v>45799</c:v>
                </c:pt>
                <c:pt idx="159">
                  <c:v>45798</c:v>
                </c:pt>
                <c:pt idx="160">
                  <c:v>45797</c:v>
                </c:pt>
                <c:pt idx="161">
                  <c:v>45796</c:v>
                </c:pt>
                <c:pt idx="162">
                  <c:v>45795</c:v>
                </c:pt>
                <c:pt idx="163">
                  <c:v>45794</c:v>
                </c:pt>
                <c:pt idx="164">
                  <c:v>45793</c:v>
                </c:pt>
                <c:pt idx="165">
                  <c:v>45792</c:v>
                </c:pt>
                <c:pt idx="166">
                  <c:v>45791</c:v>
                </c:pt>
                <c:pt idx="167">
                  <c:v>45790</c:v>
                </c:pt>
                <c:pt idx="168">
                  <c:v>45789</c:v>
                </c:pt>
                <c:pt idx="169">
                  <c:v>45788</c:v>
                </c:pt>
                <c:pt idx="170">
                  <c:v>45787</c:v>
                </c:pt>
                <c:pt idx="171">
                  <c:v>45786</c:v>
                </c:pt>
                <c:pt idx="172">
                  <c:v>45785</c:v>
                </c:pt>
                <c:pt idx="173">
                  <c:v>45784</c:v>
                </c:pt>
                <c:pt idx="174">
                  <c:v>45783</c:v>
                </c:pt>
                <c:pt idx="175">
                  <c:v>45782</c:v>
                </c:pt>
                <c:pt idx="176">
                  <c:v>45781</c:v>
                </c:pt>
                <c:pt idx="177">
                  <c:v>45780</c:v>
                </c:pt>
                <c:pt idx="178">
                  <c:v>45779</c:v>
                </c:pt>
                <c:pt idx="179">
                  <c:v>45778</c:v>
                </c:pt>
                <c:pt idx="180">
                  <c:v>45777</c:v>
                </c:pt>
                <c:pt idx="181">
                  <c:v>45776</c:v>
                </c:pt>
                <c:pt idx="182">
                  <c:v>45775</c:v>
                </c:pt>
                <c:pt idx="183">
                  <c:v>45774</c:v>
                </c:pt>
                <c:pt idx="184">
                  <c:v>45773</c:v>
                </c:pt>
                <c:pt idx="185">
                  <c:v>45772</c:v>
                </c:pt>
                <c:pt idx="186">
                  <c:v>45771</c:v>
                </c:pt>
                <c:pt idx="187">
                  <c:v>45770</c:v>
                </c:pt>
                <c:pt idx="188">
                  <c:v>45769</c:v>
                </c:pt>
                <c:pt idx="189">
                  <c:v>45768</c:v>
                </c:pt>
                <c:pt idx="190">
                  <c:v>45767</c:v>
                </c:pt>
                <c:pt idx="191">
                  <c:v>45766</c:v>
                </c:pt>
                <c:pt idx="192">
                  <c:v>45765</c:v>
                </c:pt>
                <c:pt idx="193">
                  <c:v>45764</c:v>
                </c:pt>
                <c:pt idx="194">
                  <c:v>45763</c:v>
                </c:pt>
                <c:pt idx="195">
                  <c:v>45762</c:v>
                </c:pt>
                <c:pt idx="196">
                  <c:v>45761</c:v>
                </c:pt>
                <c:pt idx="197">
                  <c:v>45760</c:v>
                </c:pt>
                <c:pt idx="198">
                  <c:v>45759</c:v>
                </c:pt>
                <c:pt idx="199">
                  <c:v>45758</c:v>
                </c:pt>
                <c:pt idx="200">
                  <c:v>45757</c:v>
                </c:pt>
                <c:pt idx="201">
                  <c:v>45756</c:v>
                </c:pt>
                <c:pt idx="202">
                  <c:v>45755</c:v>
                </c:pt>
                <c:pt idx="203">
                  <c:v>45754</c:v>
                </c:pt>
                <c:pt idx="204">
                  <c:v>45753</c:v>
                </c:pt>
                <c:pt idx="205">
                  <c:v>45752</c:v>
                </c:pt>
                <c:pt idx="206">
                  <c:v>45751</c:v>
                </c:pt>
                <c:pt idx="207">
                  <c:v>45750</c:v>
                </c:pt>
                <c:pt idx="208">
                  <c:v>45749</c:v>
                </c:pt>
                <c:pt idx="209">
                  <c:v>45748</c:v>
                </c:pt>
                <c:pt idx="210">
                  <c:v>45747</c:v>
                </c:pt>
                <c:pt idx="211">
                  <c:v>45746</c:v>
                </c:pt>
                <c:pt idx="212">
                  <c:v>45745</c:v>
                </c:pt>
                <c:pt idx="213">
                  <c:v>45744</c:v>
                </c:pt>
                <c:pt idx="214">
                  <c:v>45743</c:v>
                </c:pt>
                <c:pt idx="215">
                  <c:v>45742</c:v>
                </c:pt>
                <c:pt idx="216">
                  <c:v>45741</c:v>
                </c:pt>
                <c:pt idx="217">
                  <c:v>45740</c:v>
                </c:pt>
                <c:pt idx="218">
                  <c:v>45739</c:v>
                </c:pt>
                <c:pt idx="219">
                  <c:v>45738</c:v>
                </c:pt>
                <c:pt idx="220">
                  <c:v>45737</c:v>
                </c:pt>
                <c:pt idx="221">
                  <c:v>45736</c:v>
                </c:pt>
                <c:pt idx="222">
                  <c:v>45735</c:v>
                </c:pt>
                <c:pt idx="223">
                  <c:v>45734</c:v>
                </c:pt>
                <c:pt idx="224">
                  <c:v>45733</c:v>
                </c:pt>
                <c:pt idx="225">
                  <c:v>45732</c:v>
                </c:pt>
                <c:pt idx="226">
                  <c:v>45731</c:v>
                </c:pt>
                <c:pt idx="227">
                  <c:v>45730</c:v>
                </c:pt>
                <c:pt idx="228">
                  <c:v>45729</c:v>
                </c:pt>
                <c:pt idx="229">
                  <c:v>45728</c:v>
                </c:pt>
                <c:pt idx="230">
                  <c:v>45727</c:v>
                </c:pt>
                <c:pt idx="231">
                  <c:v>45726</c:v>
                </c:pt>
                <c:pt idx="232">
                  <c:v>45725</c:v>
                </c:pt>
                <c:pt idx="233">
                  <c:v>45724</c:v>
                </c:pt>
                <c:pt idx="234">
                  <c:v>45723</c:v>
                </c:pt>
                <c:pt idx="235">
                  <c:v>45722</c:v>
                </c:pt>
                <c:pt idx="236">
                  <c:v>45721</c:v>
                </c:pt>
                <c:pt idx="237">
                  <c:v>45720</c:v>
                </c:pt>
                <c:pt idx="238">
                  <c:v>45719</c:v>
                </c:pt>
                <c:pt idx="239">
                  <c:v>45718</c:v>
                </c:pt>
                <c:pt idx="240">
                  <c:v>45717</c:v>
                </c:pt>
                <c:pt idx="241">
                  <c:v>45716</c:v>
                </c:pt>
                <c:pt idx="242">
                  <c:v>45715</c:v>
                </c:pt>
                <c:pt idx="243">
                  <c:v>45714</c:v>
                </c:pt>
                <c:pt idx="244">
                  <c:v>45713</c:v>
                </c:pt>
                <c:pt idx="245">
                  <c:v>45712</c:v>
                </c:pt>
                <c:pt idx="246">
                  <c:v>45711</c:v>
                </c:pt>
                <c:pt idx="247">
                  <c:v>45710</c:v>
                </c:pt>
                <c:pt idx="248">
                  <c:v>45709</c:v>
                </c:pt>
                <c:pt idx="249">
                  <c:v>45708</c:v>
                </c:pt>
                <c:pt idx="250">
                  <c:v>45707</c:v>
                </c:pt>
                <c:pt idx="251">
                  <c:v>45706</c:v>
                </c:pt>
                <c:pt idx="252">
                  <c:v>45705</c:v>
                </c:pt>
                <c:pt idx="253">
                  <c:v>45704</c:v>
                </c:pt>
                <c:pt idx="254">
                  <c:v>45703</c:v>
                </c:pt>
                <c:pt idx="255">
                  <c:v>45702</c:v>
                </c:pt>
                <c:pt idx="256">
                  <c:v>45701</c:v>
                </c:pt>
                <c:pt idx="257">
                  <c:v>45700</c:v>
                </c:pt>
                <c:pt idx="258">
                  <c:v>45699</c:v>
                </c:pt>
                <c:pt idx="259">
                  <c:v>45698</c:v>
                </c:pt>
                <c:pt idx="260">
                  <c:v>45697</c:v>
                </c:pt>
                <c:pt idx="261">
                  <c:v>45696</c:v>
                </c:pt>
                <c:pt idx="262">
                  <c:v>45695</c:v>
                </c:pt>
                <c:pt idx="263">
                  <c:v>45694</c:v>
                </c:pt>
                <c:pt idx="264">
                  <c:v>45693</c:v>
                </c:pt>
                <c:pt idx="265">
                  <c:v>45692</c:v>
                </c:pt>
                <c:pt idx="266">
                  <c:v>45691</c:v>
                </c:pt>
                <c:pt idx="267">
                  <c:v>45690</c:v>
                </c:pt>
                <c:pt idx="268">
                  <c:v>45689</c:v>
                </c:pt>
                <c:pt idx="269">
                  <c:v>45688</c:v>
                </c:pt>
                <c:pt idx="270">
                  <c:v>45687</c:v>
                </c:pt>
                <c:pt idx="271">
                  <c:v>45686</c:v>
                </c:pt>
                <c:pt idx="272">
                  <c:v>45685</c:v>
                </c:pt>
                <c:pt idx="273">
                  <c:v>45684</c:v>
                </c:pt>
                <c:pt idx="274">
                  <c:v>45683</c:v>
                </c:pt>
                <c:pt idx="275">
                  <c:v>45682</c:v>
                </c:pt>
                <c:pt idx="276">
                  <c:v>45681</c:v>
                </c:pt>
                <c:pt idx="277">
                  <c:v>45680</c:v>
                </c:pt>
                <c:pt idx="278">
                  <c:v>45679</c:v>
                </c:pt>
                <c:pt idx="279">
                  <c:v>45678</c:v>
                </c:pt>
                <c:pt idx="280">
                  <c:v>45677</c:v>
                </c:pt>
                <c:pt idx="281">
                  <c:v>45676</c:v>
                </c:pt>
                <c:pt idx="282">
                  <c:v>45675</c:v>
                </c:pt>
                <c:pt idx="283">
                  <c:v>45674</c:v>
                </c:pt>
                <c:pt idx="284">
                  <c:v>45673</c:v>
                </c:pt>
                <c:pt idx="285">
                  <c:v>45672</c:v>
                </c:pt>
                <c:pt idx="286">
                  <c:v>45671</c:v>
                </c:pt>
                <c:pt idx="287">
                  <c:v>45670</c:v>
                </c:pt>
                <c:pt idx="288">
                  <c:v>45669</c:v>
                </c:pt>
                <c:pt idx="289">
                  <c:v>45668</c:v>
                </c:pt>
                <c:pt idx="290">
                  <c:v>45667</c:v>
                </c:pt>
                <c:pt idx="291">
                  <c:v>45666</c:v>
                </c:pt>
                <c:pt idx="292">
                  <c:v>45665</c:v>
                </c:pt>
                <c:pt idx="293">
                  <c:v>45664</c:v>
                </c:pt>
                <c:pt idx="294">
                  <c:v>45663</c:v>
                </c:pt>
                <c:pt idx="295">
                  <c:v>45662</c:v>
                </c:pt>
                <c:pt idx="296">
                  <c:v>45661</c:v>
                </c:pt>
                <c:pt idx="297">
                  <c:v>45660</c:v>
                </c:pt>
                <c:pt idx="298">
                  <c:v>45659</c:v>
                </c:pt>
                <c:pt idx="299">
                  <c:v>45658</c:v>
                </c:pt>
                <c:pt idx="300">
                  <c:v>45657</c:v>
                </c:pt>
                <c:pt idx="301">
                  <c:v>45656</c:v>
                </c:pt>
                <c:pt idx="302">
                  <c:v>45655</c:v>
                </c:pt>
                <c:pt idx="303">
                  <c:v>45654</c:v>
                </c:pt>
                <c:pt idx="304">
                  <c:v>45653</c:v>
                </c:pt>
                <c:pt idx="305">
                  <c:v>45652</c:v>
                </c:pt>
                <c:pt idx="306">
                  <c:v>45651</c:v>
                </c:pt>
                <c:pt idx="307">
                  <c:v>45650</c:v>
                </c:pt>
                <c:pt idx="308">
                  <c:v>45649</c:v>
                </c:pt>
                <c:pt idx="309">
                  <c:v>45648</c:v>
                </c:pt>
                <c:pt idx="310">
                  <c:v>45647</c:v>
                </c:pt>
                <c:pt idx="311">
                  <c:v>45646</c:v>
                </c:pt>
                <c:pt idx="312">
                  <c:v>45645</c:v>
                </c:pt>
                <c:pt idx="313">
                  <c:v>45644</c:v>
                </c:pt>
                <c:pt idx="314">
                  <c:v>45643</c:v>
                </c:pt>
                <c:pt idx="315">
                  <c:v>45642</c:v>
                </c:pt>
                <c:pt idx="316">
                  <c:v>45641</c:v>
                </c:pt>
                <c:pt idx="317">
                  <c:v>45640</c:v>
                </c:pt>
                <c:pt idx="318">
                  <c:v>45639</c:v>
                </c:pt>
                <c:pt idx="319">
                  <c:v>45638</c:v>
                </c:pt>
                <c:pt idx="320">
                  <c:v>45637</c:v>
                </c:pt>
                <c:pt idx="321">
                  <c:v>45636</c:v>
                </c:pt>
                <c:pt idx="322">
                  <c:v>45635</c:v>
                </c:pt>
                <c:pt idx="323">
                  <c:v>45634</c:v>
                </c:pt>
                <c:pt idx="324">
                  <c:v>45633</c:v>
                </c:pt>
                <c:pt idx="325">
                  <c:v>45632</c:v>
                </c:pt>
                <c:pt idx="326">
                  <c:v>45631</c:v>
                </c:pt>
                <c:pt idx="327">
                  <c:v>45630</c:v>
                </c:pt>
                <c:pt idx="328">
                  <c:v>45629</c:v>
                </c:pt>
                <c:pt idx="329">
                  <c:v>45628</c:v>
                </c:pt>
                <c:pt idx="330">
                  <c:v>45627</c:v>
                </c:pt>
                <c:pt idx="331">
                  <c:v>45626</c:v>
                </c:pt>
                <c:pt idx="332">
                  <c:v>45625</c:v>
                </c:pt>
                <c:pt idx="333">
                  <c:v>45624</c:v>
                </c:pt>
                <c:pt idx="334">
                  <c:v>45623</c:v>
                </c:pt>
                <c:pt idx="335">
                  <c:v>45622</c:v>
                </c:pt>
                <c:pt idx="336">
                  <c:v>45621</c:v>
                </c:pt>
                <c:pt idx="337">
                  <c:v>45620</c:v>
                </c:pt>
                <c:pt idx="338">
                  <c:v>45619</c:v>
                </c:pt>
                <c:pt idx="339">
                  <c:v>45618</c:v>
                </c:pt>
                <c:pt idx="340">
                  <c:v>45617</c:v>
                </c:pt>
                <c:pt idx="341">
                  <c:v>45616</c:v>
                </c:pt>
                <c:pt idx="342">
                  <c:v>45615</c:v>
                </c:pt>
                <c:pt idx="343">
                  <c:v>45614</c:v>
                </c:pt>
                <c:pt idx="344">
                  <c:v>45613</c:v>
                </c:pt>
                <c:pt idx="345">
                  <c:v>45612</c:v>
                </c:pt>
                <c:pt idx="346">
                  <c:v>45611</c:v>
                </c:pt>
                <c:pt idx="347">
                  <c:v>45610</c:v>
                </c:pt>
                <c:pt idx="348">
                  <c:v>45609</c:v>
                </c:pt>
                <c:pt idx="349">
                  <c:v>45608</c:v>
                </c:pt>
                <c:pt idx="350">
                  <c:v>45607</c:v>
                </c:pt>
                <c:pt idx="351">
                  <c:v>45606</c:v>
                </c:pt>
                <c:pt idx="352">
                  <c:v>45605</c:v>
                </c:pt>
                <c:pt idx="353">
                  <c:v>45604</c:v>
                </c:pt>
                <c:pt idx="354">
                  <c:v>45603</c:v>
                </c:pt>
                <c:pt idx="355">
                  <c:v>45602</c:v>
                </c:pt>
                <c:pt idx="356">
                  <c:v>45601</c:v>
                </c:pt>
                <c:pt idx="357">
                  <c:v>45600</c:v>
                </c:pt>
                <c:pt idx="358">
                  <c:v>45599</c:v>
                </c:pt>
                <c:pt idx="359">
                  <c:v>45598</c:v>
                </c:pt>
                <c:pt idx="360">
                  <c:v>45597</c:v>
                </c:pt>
                <c:pt idx="361">
                  <c:v>45596</c:v>
                </c:pt>
                <c:pt idx="362">
                  <c:v>45595</c:v>
                </c:pt>
                <c:pt idx="363">
                  <c:v>45594</c:v>
                </c:pt>
                <c:pt idx="364">
                  <c:v>45593</c:v>
                </c:pt>
                <c:pt idx="365">
                  <c:v>45592</c:v>
                </c:pt>
                <c:pt idx="366">
                  <c:v>45591</c:v>
                </c:pt>
                <c:pt idx="367">
                  <c:v>45590</c:v>
                </c:pt>
                <c:pt idx="368">
                  <c:v>45589</c:v>
                </c:pt>
                <c:pt idx="369">
                  <c:v>45588</c:v>
                </c:pt>
                <c:pt idx="370">
                  <c:v>45587</c:v>
                </c:pt>
                <c:pt idx="371">
                  <c:v>45586</c:v>
                </c:pt>
                <c:pt idx="372">
                  <c:v>45585</c:v>
                </c:pt>
                <c:pt idx="373">
                  <c:v>45584</c:v>
                </c:pt>
                <c:pt idx="374">
                  <c:v>45583</c:v>
                </c:pt>
                <c:pt idx="375">
                  <c:v>45582</c:v>
                </c:pt>
                <c:pt idx="376">
                  <c:v>45581</c:v>
                </c:pt>
                <c:pt idx="377">
                  <c:v>45580</c:v>
                </c:pt>
                <c:pt idx="378">
                  <c:v>45579</c:v>
                </c:pt>
                <c:pt idx="379">
                  <c:v>45578</c:v>
                </c:pt>
                <c:pt idx="380">
                  <c:v>45577</c:v>
                </c:pt>
                <c:pt idx="381">
                  <c:v>45576</c:v>
                </c:pt>
                <c:pt idx="382">
                  <c:v>45575</c:v>
                </c:pt>
                <c:pt idx="383">
                  <c:v>45574</c:v>
                </c:pt>
                <c:pt idx="384">
                  <c:v>45573</c:v>
                </c:pt>
                <c:pt idx="385">
                  <c:v>45572</c:v>
                </c:pt>
                <c:pt idx="386">
                  <c:v>45571</c:v>
                </c:pt>
                <c:pt idx="387">
                  <c:v>45570</c:v>
                </c:pt>
                <c:pt idx="388">
                  <c:v>45569</c:v>
                </c:pt>
                <c:pt idx="389">
                  <c:v>45568</c:v>
                </c:pt>
                <c:pt idx="390">
                  <c:v>45567</c:v>
                </c:pt>
                <c:pt idx="391">
                  <c:v>45566</c:v>
                </c:pt>
                <c:pt idx="392">
                  <c:v>45565</c:v>
                </c:pt>
                <c:pt idx="393">
                  <c:v>45564</c:v>
                </c:pt>
                <c:pt idx="394">
                  <c:v>45563</c:v>
                </c:pt>
                <c:pt idx="395">
                  <c:v>45562</c:v>
                </c:pt>
                <c:pt idx="396">
                  <c:v>45561</c:v>
                </c:pt>
                <c:pt idx="397">
                  <c:v>45560</c:v>
                </c:pt>
                <c:pt idx="398">
                  <c:v>45559</c:v>
                </c:pt>
                <c:pt idx="399">
                  <c:v>45558</c:v>
                </c:pt>
                <c:pt idx="400">
                  <c:v>45557</c:v>
                </c:pt>
                <c:pt idx="401">
                  <c:v>45556</c:v>
                </c:pt>
                <c:pt idx="402">
                  <c:v>45555</c:v>
                </c:pt>
                <c:pt idx="403">
                  <c:v>45554</c:v>
                </c:pt>
                <c:pt idx="404">
                  <c:v>45553</c:v>
                </c:pt>
              </c:numCache>
            </c:numRef>
          </c:cat>
          <c:val>
            <c:numRef>
              <c:f>Dashboard!$E$154:$E$558</c:f>
              <c:numCache>
                <c:formatCode>General</c:formatCode>
                <c:ptCount val="405"/>
                <c:pt idx="8">
                  <c:v>393.57377557272673</c:v>
                </c:pt>
                <c:pt idx="9">
                  <c:v>396.41042797360728</c:v>
                </c:pt>
                <c:pt idx="10">
                  <c:v>399.24708037448704</c:v>
                </c:pt>
                <c:pt idx="11">
                  <c:v>402.0837327753668</c:v>
                </c:pt>
                <c:pt idx="12">
                  <c:v>404.92038517624655</c:v>
                </c:pt>
                <c:pt idx="13">
                  <c:v>407.75703757712631</c:v>
                </c:pt>
                <c:pt idx="14">
                  <c:v>410.59368997800607</c:v>
                </c:pt>
                <c:pt idx="15">
                  <c:v>413.43034237888583</c:v>
                </c:pt>
                <c:pt idx="16">
                  <c:v>416.26699477976558</c:v>
                </c:pt>
                <c:pt idx="17">
                  <c:v>419.10364718064534</c:v>
                </c:pt>
                <c:pt idx="18">
                  <c:v>421.9402995815251</c:v>
                </c:pt>
                <c:pt idx="19">
                  <c:v>424.77695198240485</c:v>
                </c:pt>
                <c:pt idx="20">
                  <c:v>427.61360438328461</c:v>
                </c:pt>
                <c:pt idx="21">
                  <c:v>430.45025678416437</c:v>
                </c:pt>
                <c:pt idx="22">
                  <c:v>433.28690918504412</c:v>
                </c:pt>
                <c:pt idx="23">
                  <c:v>436.12356158592388</c:v>
                </c:pt>
                <c:pt idx="24">
                  <c:v>438.96021398680364</c:v>
                </c:pt>
                <c:pt idx="25">
                  <c:v>441.79686638768339</c:v>
                </c:pt>
                <c:pt idx="26">
                  <c:v>444.63351878856315</c:v>
                </c:pt>
                <c:pt idx="27">
                  <c:v>447.47017118944291</c:v>
                </c:pt>
                <c:pt idx="28">
                  <c:v>450.30682359032267</c:v>
                </c:pt>
                <c:pt idx="29">
                  <c:v>453.14347599120242</c:v>
                </c:pt>
                <c:pt idx="30">
                  <c:v>455.98012839208218</c:v>
                </c:pt>
                <c:pt idx="31">
                  <c:v>458.81678079296194</c:v>
                </c:pt>
                <c:pt idx="32">
                  <c:v>461.65343319384169</c:v>
                </c:pt>
                <c:pt idx="33">
                  <c:v>464.49008559472145</c:v>
                </c:pt>
                <c:pt idx="34">
                  <c:v>467.32673799560121</c:v>
                </c:pt>
                <c:pt idx="35">
                  <c:v>470.16339039648096</c:v>
                </c:pt>
                <c:pt idx="36">
                  <c:v>473.00004279736072</c:v>
                </c:pt>
                <c:pt idx="37">
                  <c:v>475.83669519824048</c:v>
                </c:pt>
                <c:pt idx="38">
                  <c:v>478.67334759912023</c:v>
                </c:pt>
                <c:pt idx="39">
                  <c:v>481.51</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45957</c:v>
                </c:pt>
                <c:pt idx="1">
                  <c:v>45956</c:v>
                </c:pt>
                <c:pt idx="2">
                  <c:v>45955</c:v>
                </c:pt>
                <c:pt idx="3">
                  <c:v>45954</c:v>
                </c:pt>
                <c:pt idx="4">
                  <c:v>45953</c:v>
                </c:pt>
                <c:pt idx="5">
                  <c:v>45952</c:v>
                </c:pt>
                <c:pt idx="6">
                  <c:v>45951</c:v>
                </c:pt>
                <c:pt idx="7">
                  <c:v>45950</c:v>
                </c:pt>
                <c:pt idx="8">
                  <c:v>45949</c:v>
                </c:pt>
                <c:pt idx="9">
                  <c:v>45948</c:v>
                </c:pt>
                <c:pt idx="10">
                  <c:v>45947</c:v>
                </c:pt>
                <c:pt idx="11">
                  <c:v>45946</c:v>
                </c:pt>
                <c:pt idx="12">
                  <c:v>45945</c:v>
                </c:pt>
                <c:pt idx="13">
                  <c:v>45944</c:v>
                </c:pt>
                <c:pt idx="14">
                  <c:v>45943</c:v>
                </c:pt>
                <c:pt idx="15">
                  <c:v>45942</c:v>
                </c:pt>
                <c:pt idx="16">
                  <c:v>45941</c:v>
                </c:pt>
                <c:pt idx="17">
                  <c:v>45940</c:v>
                </c:pt>
                <c:pt idx="18">
                  <c:v>45939</c:v>
                </c:pt>
                <c:pt idx="19">
                  <c:v>45938</c:v>
                </c:pt>
                <c:pt idx="20">
                  <c:v>45937</c:v>
                </c:pt>
                <c:pt idx="21">
                  <c:v>45936</c:v>
                </c:pt>
                <c:pt idx="22">
                  <c:v>45935</c:v>
                </c:pt>
                <c:pt idx="23">
                  <c:v>45934</c:v>
                </c:pt>
                <c:pt idx="24">
                  <c:v>45933</c:v>
                </c:pt>
                <c:pt idx="25">
                  <c:v>45932</c:v>
                </c:pt>
                <c:pt idx="26">
                  <c:v>45931</c:v>
                </c:pt>
                <c:pt idx="27">
                  <c:v>45930</c:v>
                </c:pt>
                <c:pt idx="28">
                  <c:v>45929</c:v>
                </c:pt>
                <c:pt idx="29">
                  <c:v>45928</c:v>
                </c:pt>
                <c:pt idx="30">
                  <c:v>45927</c:v>
                </c:pt>
                <c:pt idx="31">
                  <c:v>45926</c:v>
                </c:pt>
                <c:pt idx="32">
                  <c:v>45925</c:v>
                </c:pt>
                <c:pt idx="33">
                  <c:v>45924</c:v>
                </c:pt>
                <c:pt idx="34">
                  <c:v>45923</c:v>
                </c:pt>
                <c:pt idx="35">
                  <c:v>45922</c:v>
                </c:pt>
                <c:pt idx="36">
                  <c:v>45921</c:v>
                </c:pt>
                <c:pt idx="37">
                  <c:v>45920</c:v>
                </c:pt>
                <c:pt idx="38">
                  <c:v>45919</c:v>
                </c:pt>
                <c:pt idx="39">
                  <c:v>45918</c:v>
                </c:pt>
                <c:pt idx="40">
                  <c:v>45917</c:v>
                </c:pt>
                <c:pt idx="41">
                  <c:v>45916</c:v>
                </c:pt>
                <c:pt idx="42">
                  <c:v>45915</c:v>
                </c:pt>
                <c:pt idx="43">
                  <c:v>45914</c:v>
                </c:pt>
                <c:pt idx="44">
                  <c:v>45913</c:v>
                </c:pt>
                <c:pt idx="45">
                  <c:v>45912</c:v>
                </c:pt>
                <c:pt idx="46">
                  <c:v>45911</c:v>
                </c:pt>
                <c:pt idx="47">
                  <c:v>45910</c:v>
                </c:pt>
                <c:pt idx="48">
                  <c:v>45909</c:v>
                </c:pt>
                <c:pt idx="49">
                  <c:v>45908</c:v>
                </c:pt>
                <c:pt idx="50">
                  <c:v>45907</c:v>
                </c:pt>
                <c:pt idx="51">
                  <c:v>45906</c:v>
                </c:pt>
                <c:pt idx="52">
                  <c:v>45905</c:v>
                </c:pt>
                <c:pt idx="53">
                  <c:v>45904</c:v>
                </c:pt>
                <c:pt idx="54">
                  <c:v>45903</c:v>
                </c:pt>
                <c:pt idx="55">
                  <c:v>45902</c:v>
                </c:pt>
                <c:pt idx="56">
                  <c:v>45901</c:v>
                </c:pt>
                <c:pt idx="57">
                  <c:v>45900</c:v>
                </c:pt>
                <c:pt idx="58">
                  <c:v>45899</c:v>
                </c:pt>
                <c:pt idx="59">
                  <c:v>45898</c:v>
                </c:pt>
                <c:pt idx="60">
                  <c:v>45897</c:v>
                </c:pt>
                <c:pt idx="61">
                  <c:v>45896</c:v>
                </c:pt>
                <c:pt idx="62">
                  <c:v>45895</c:v>
                </c:pt>
                <c:pt idx="63">
                  <c:v>45894</c:v>
                </c:pt>
                <c:pt idx="64">
                  <c:v>45893</c:v>
                </c:pt>
                <c:pt idx="65">
                  <c:v>45892</c:v>
                </c:pt>
                <c:pt idx="66">
                  <c:v>45891</c:v>
                </c:pt>
                <c:pt idx="67">
                  <c:v>45890</c:v>
                </c:pt>
                <c:pt idx="68">
                  <c:v>45889</c:v>
                </c:pt>
                <c:pt idx="69">
                  <c:v>45888</c:v>
                </c:pt>
                <c:pt idx="70">
                  <c:v>45887</c:v>
                </c:pt>
                <c:pt idx="71">
                  <c:v>45886</c:v>
                </c:pt>
                <c:pt idx="72">
                  <c:v>45885</c:v>
                </c:pt>
                <c:pt idx="73">
                  <c:v>45884</c:v>
                </c:pt>
                <c:pt idx="74">
                  <c:v>45883</c:v>
                </c:pt>
                <c:pt idx="75">
                  <c:v>45882</c:v>
                </c:pt>
                <c:pt idx="76">
                  <c:v>45881</c:v>
                </c:pt>
                <c:pt idx="77">
                  <c:v>45880</c:v>
                </c:pt>
                <c:pt idx="78">
                  <c:v>45879</c:v>
                </c:pt>
                <c:pt idx="79">
                  <c:v>45878</c:v>
                </c:pt>
                <c:pt idx="80">
                  <c:v>45877</c:v>
                </c:pt>
                <c:pt idx="81">
                  <c:v>45876</c:v>
                </c:pt>
                <c:pt idx="82">
                  <c:v>45875</c:v>
                </c:pt>
                <c:pt idx="83">
                  <c:v>45874</c:v>
                </c:pt>
                <c:pt idx="84">
                  <c:v>45873</c:v>
                </c:pt>
                <c:pt idx="85">
                  <c:v>45872</c:v>
                </c:pt>
                <c:pt idx="86">
                  <c:v>45871</c:v>
                </c:pt>
                <c:pt idx="87">
                  <c:v>45870</c:v>
                </c:pt>
                <c:pt idx="88">
                  <c:v>45869</c:v>
                </c:pt>
                <c:pt idx="89">
                  <c:v>45868</c:v>
                </c:pt>
                <c:pt idx="90">
                  <c:v>45867</c:v>
                </c:pt>
                <c:pt idx="91">
                  <c:v>45866</c:v>
                </c:pt>
                <c:pt idx="92">
                  <c:v>45865</c:v>
                </c:pt>
                <c:pt idx="93">
                  <c:v>45864</c:v>
                </c:pt>
                <c:pt idx="94">
                  <c:v>45863</c:v>
                </c:pt>
                <c:pt idx="95">
                  <c:v>45862</c:v>
                </c:pt>
                <c:pt idx="96">
                  <c:v>45861</c:v>
                </c:pt>
                <c:pt idx="97">
                  <c:v>45860</c:v>
                </c:pt>
                <c:pt idx="98">
                  <c:v>45859</c:v>
                </c:pt>
                <c:pt idx="99">
                  <c:v>45858</c:v>
                </c:pt>
                <c:pt idx="100">
                  <c:v>45857</c:v>
                </c:pt>
                <c:pt idx="101">
                  <c:v>45856</c:v>
                </c:pt>
                <c:pt idx="102">
                  <c:v>45855</c:v>
                </c:pt>
                <c:pt idx="103">
                  <c:v>45854</c:v>
                </c:pt>
                <c:pt idx="104">
                  <c:v>45853</c:v>
                </c:pt>
                <c:pt idx="105">
                  <c:v>45852</c:v>
                </c:pt>
                <c:pt idx="106">
                  <c:v>45851</c:v>
                </c:pt>
                <c:pt idx="107">
                  <c:v>45850</c:v>
                </c:pt>
                <c:pt idx="108">
                  <c:v>45849</c:v>
                </c:pt>
                <c:pt idx="109">
                  <c:v>45848</c:v>
                </c:pt>
                <c:pt idx="110">
                  <c:v>45847</c:v>
                </c:pt>
                <c:pt idx="111">
                  <c:v>45846</c:v>
                </c:pt>
                <c:pt idx="112">
                  <c:v>45845</c:v>
                </c:pt>
                <c:pt idx="113">
                  <c:v>45844</c:v>
                </c:pt>
                <c:pt idx="114">
                  <c:v>45843</c:v>
                </c:pt>
                <c:pt idx="115">
                  <c:v>45842</c:v>
                </c:pt>
                <c:pt idx="116">
                  <c:v>45841</c:v>
                </c:pt>
                <c:pt idx="117">
                  <c:v>45840</c:v>
                </c:pt>
                <c:pt idx="118">
                  <c:v>45839</c:v>
                </c:pt>
                <c:pt idx="119">
                  <c:v>45838</c:v>
                </c:pt>
                <c:pt idx="120">
                  <c:v>45837</c:v>
                </c:pt>
                <c:pt idx="121">
                  <c:v>45836</c:v>
                </c:pt>
                <c:pt idx="122">
                  <c:v>45835</c:v>
                </c:pt>
                <c:pt idx="123">
                  <c:v>45834</c:v>
                </c:pt>
                <c:pt idx="124">
                  <c:v>45833</c:v>
                </c:pt>
                <c:pt idx="125">
                  <c:v>45832</c:v>
                </c:pt>
                <c:pt idx="126">
                  <c:v>45831</c:v>
                </c:pt>
                <c:pt idx="127">
                  <c:v>45830</c:v>
                </c:pt>
                <c:pt idx="128">
                  <c:v>45829</c:v>
                </c:pt>
                <c:pt idx="129">
                  <c:v>45828</c:v>
                </c:pt>
                <c:pt idx="130">
                  <c:v>45827</c:v>
                </c:pt>
                <c:pt idx="131">
                  <c:v>45826</c:v>
                </c:pt>
                <c:pt idx="132">
                  <c:v>45825</c:v>
                </c:pt>
                <c:pt idx="133">
                  <c:v>45824</c:v>
                </c:pt>
                <c:pt idx="134">
                  <c:v>45823</c:v>
                </c:pt>
                <c:pt idx="135">
                  <c:v>45822</c:v>
                </c:pt>
                <c:pt idx="136">
                  <c:v>45821</c:v>
                </c:pt>
                <c:pt idx="137">
                  <c:v>45820</c:v>
                </c:pt>
                <c:pt idx="138">
                  <c:v>45819</c:v>
                </c:pt>
                <c:pt idx="139">
                  <c:v>45818</c:v>
                </c:pt>
                <c:pt idx="140">
                  <c:v>45817</c:v>
                </c:pt>
                <c:pt idx="141">
                  <c:v>45816</c:v>
                </c:pt>
                <c:pt idx="142">
                  <c:v>45815</c:v>
                </c:pt>
                <c:pt idx="143">
                  <c:v>45814</c:v>
                </c:pt>
                <c:pt idx="144">
                  <c:v>45813</c:v>
                </c:pt>
                <c:pt idx="145">
                  <c:v>45812</c:v>
                </c:pt>
                <c:pt idx="146">
                  <c:v>45811</c:v>
                </c:pt>
                <c:pt idx="147">
                  <c:v>45810</c:v>
                </c:pt>
                <c:pt idx="148">
                  <c:v>45809</c:v>
                </c:pt>
                <c:pt idx="149">
                  <c:v>45808</c:v>
                </c:pt>
                <c:pt idx="150">
                  <c:v>45807</c:v>
                </c:pt>
                <c:pt idx="151">
                  <c:v>45806</c:v>
                </c:pt>
                <c:pt idx="152">
                  <c:v>45805</c:v>
                </c:pt>
                <c:pt idx="153">
                  <c:v>45804</c:v>
                </c:pt>
                <c:pt idx="154">
                  <c:v>45803</c:v>
                </c:pt>
                <c:pt idx="155">
                  <c:v>45802</c:v>
                </c:pt>
                <c:pt idx="156">
                  <c:v>45801</c:v>
                </c:pt>
                <c:pt idx="157">
                  <c:v>45800</c:v>
                </c:pt>
                <c:pt idx="158">
                  <c:v>45799</c:v>
                </c:pt>
                <c:pt idx="159">
                  <c:v>45798</c:v>
                </c:pt>
                <c:pt idx="160">
                  <c:v>45797</c:v>
                </c:pt>
                <c:pt idx="161">
                  <c:v>45796</c:v>
                </c:pt>
                <c:pt idx="162">
                  <c:v>45795</c:v>
                </c:pt>
                <c:pt idx="163">
                  <c:v>45794</c:v>
                </c:pt>
                <c:pt idx="164">
                  <c:v>45793</c:v>
                </c:pt>
                <c:pt idx="165">
                  <c:v>45792</c:v>
                </c:pt>
                <c:pt idx="166">
                  <c:v>45791</c:v>
                </c:pt>
                <c:pt idx="167">
                  <c:v>45790</c:v>
                </c:pt>
                <c:pt idx="168">
                  <c:v>45789</c:v>
                </c:pt>
                <c:pt idx="169">
                  <c:v>45788</c:v>
                </c:pt>
                <c:pt idx="170">
                  <c:v>45787</c:v>
                </c:pt>
                <c:pt idx="171">
                  <c:v>45786</c:v>
                </c:pt>
                <c:pt idx="172">
                  <c:v>45785</c:v>
                </c:pt>
                <c:pt idx="173">
                  <c:v>45784</c:v>
                </c:pt>
                <c:pt idx="174">
                  <c:v>45783</c:v>
                </c:pt>
                <c:pt idx="175">
                  <c:v>45782</c:v>
                </c:pt>
                <c:pt idx="176">
                  <c:v>45781</c:v>
                </c:pt>
                <c:pt idx="177">
                  <c:v>45780</c:v>
                </c:pt>
                <c:pt idx="178">
                  <c:v>45779</c:v>
                </c:pt>
                <c:pt idx="179">
                  <c:v>45778</c:v>
                </c:pt>
                <c:pt idx="180">
                  <c:v>45777</c:v>
                </c:pt>
                <c:pt idx="181">
                  <c:v>45776</c:v>
                </c:pt>
                <c:pt idx="182">
                  <c:v>45775</c:v>
                </c:pt>
                <c:pt idx="183">
                  <c:v>45774</c:v>
                </c:pt>
                <c:pt idx="184">
                  <c:v>45773</c:v>
                </c:pt>
                <c:pt idx="185">
                  <c:v>45772</c:v>
                </c:pt>
                <c:pt idx="186">
                  <c:v>45771</c:v>
                </c:pt>
                <c:pt idx="187">
                  <c:v>45770</c:v>
                </c:pt>
                <c:pt idx="188">
                  <c:v>45769</c:v>
                </c:pt>
                <c:pt idx="189">
                  <c:v>45768</c:v>
                </c:pt>
                <c:pt idx="190">
                  <c:v>45767</c:v>
                </c:pt>
                <c:pt idx="191">
                  <c:v>45766</c:v>
                </c:pt>
                <c:pt idx="192">
                  <c:v>45765</c:v>
                </c:pt>
                <c:pt idx="193">
                  <c:v>45764</c:v>
                </c:pt>
                <c:pt idx="194">
                  <c:v>45763</c:v>
                </c:pt>
                <c:pt idx="195">
                  <c:v>45762</c:v>
                </c:pt>
                <c:pt idx="196">
                  <c:v>45761</c:v>
                </c:pt>
                <c:pt idx="197">
                  <c:v>45760</c:v>
                </c:pt>
                <c:pt idx="198">
                  <c:v>45759</c:v>
                </c:pt>
                <c:pt idx="199">
                  <c:v>45758</c:v>
                </c:pt>
                <c:pt idx="200">
                  <c:v>45757</c:v>
                </c:pt>
                <c:pt idx="201">
                  <c:v>45756</c:v>
                </c:pt>
                <c:pt idx="202">
                  <c:v>45755</c:v>
                </c:pt>
                <c:pt idx="203">
                  <c:v>45754</c:v>
                </c:pt>
                <c:pt idx="204">
                  <c:v>45753</c:v>
                </c:pt>
                <c:pt idx="205">
                  <c:v>45752</c:v>
                </c:pt>
                <c:pt idx="206">
                  <c:v>45751</c:v>
                </c:pt>
                <c:pt idx="207">
                  <c:v>45750</c:v>
                </c:pt>
                <c:pt idx="208">
                  <c:v>45749</c:v>
                </c:pt>
                <c:pt idx="209">
                  <c:v>45748</c:v>
                </c:pt>
                <c:pt idx="210">
                  <c:v>45747</c:v>
                </c:pt>
                <c:pt idx="211">
                  <c:v>45746</c:v>
                </c:pt>
                <c:pt idx="212">
                  <c:v>45745</c:v>
                </c:pt>
                <c:pt idx="213">
                  <c:v>45744</c:v>
                </c:pt>
                <c:pt idx="214">
                  <c:v>45743</c:v>
                </c:pt>
                <c:pt idx="215">
                  <c:v>45742</c:v>
                </c:pt>
                <c:pt idx="216">
                  <c:v>45741</c:v>
                </c:pt>
                <c:pt idx="217">
                  <c:v>45740</c:v>
                </c:pt>
                <c:pt idx="218">
                  <c:v>45739</c:v>
                </c:pt>
                <c:pt idx="219">
                  <c:v>45738</c:v>
                </c:pt>
                <c:pt idx="220">
                  <c:v>45737</c:v>
                </c:pt>
                <c:pt idx="221">
                  <c:v>45736</c:v>
                </c:pt>
                <c:pt idx="222">
                  <c:v>45735</c:v>
                </c:pt>
                <c:pt idx="223">
                  <c:v>45734</c:v>
                </c:pt>
                <c:pt idx="224">
                  <c:v>45733</c:v>
                </c:pt>
                <c:pt idx="225">
                  <c:v>45732</c:v>
                </c:pt>
                <c:pt idx="226">
                  <c:v>45731</c:v>
                </c:pt>
                <c:pt idx="227">
                  <c:v>45730</c:v>
                </c:pt>
                <c:pt idx="228">
                  <c:v>45729</c:v>
                </c:pt>
                <c:pt idx="229">
                  <c:v>45728</c:v>
                </c:pt>
                <c:pt idx="230">
                  <c:v>45727</c:v>
                </c:pt>
                <c:pt idx="231">
                  <c:v>45726</c:v>
                </c:pt>
                <c:pt idx="232">
                  <c:v>45725</c:v>
                </c:pt>
                <c:pt idx="233">
                  <c:v>45724</c:v>
                </c:pt>
                <c:pt idx="234">
                  <c:v>45723</c:v>
                </c:pt>
                <c:pt idx="235">
                  <c:v>45722</c:v>
                </c:pt>
                <c:pt idx="236">
                  <c:v>45721</c:v>
                </c:pt>
                <c:pt idx="237">
                  <c:v>45720</c:v>
                </c:pt>
                <c:pt idx="238">
                  <c:v>45719</c:v>
                </c:pt>
                <c:pt idx="239">
                  <c:v>45718</c:v>
                </c:pt>
                <c:pt idx="240">
                  <c:v>45717</c:v>
                </c:pt>
                <c:pt idx="241">
                  <c:v>45716</c:v>
                </c:pt>
                <c:pt idx="242">
                  <c:v>45715</c:v>
                </c:pt>
                <c:pt idx="243">
                  <c:v>45714</c:v>
                </c:pt>
                <c:pt idx="244">
                  <c:v>45713</c:v>
                </c:pt>
                <c:pt idx="245">
                  <c:v>45712</c:v>
                </c:pt>
                <c:pt idx="246">
                  <c:v>45711</c:v>
                </c:pt>
                <c:pt idx="247">
                  <c:v>45710</c:v>
                </c:pt>
                <c:pt idx="248">
                  <c:v>45709</c:v>
                </c:pt>
                <c:pt idx="249">
                  <c:v>45708</c:v>
                </c:pt>
                <c:pt idx="250">
                  <c:v>45707</c:v>
                </c:pt>
                <c:pt idx="251">
                  <c:v>45706</c:v>
                </c:pt>
                <c:pt idx="252">
                  <c:v>45705</c:v>
                </c:pt>
                <c:pt idx="253">
                  <c:v>45704</c:v>
                </c:pt>
                <c:pt idx="254">
                  <c:v>45703</c:v>
                </c:pt>
                <c:pt idx="255">
                  <c:v>45702</c:v>
                </c:pt>
                <c:pt idx="256">
                  <c:v>45701</c:v>
                </c:pt>
                <c:pt idx="257">
                  <c:v>45700</c:v>
                </c:pt>
                <c:pt idx="258">
                  <c:v>45699</c:v>
                </c:pt>
                <c:pt idx="259">
                  <c:v>45698</c:v>
                </c:pt>
                <c:pt idx="260">
                  <c:v>45697</c:v>
                </c:pt>
                <c:pt idx="261">
                  <c:v>45696</c:v>
                </c:pt>
                <c:pt idx="262">
                  <c:v>45695</c:v>
                </c:pt>
                <c:pt idx="263">
                  <c:v>45694</c:v>
                </c:pt>
                <c:pt idx="264">
                  <c:v>45693</c:v>
                </c:pt>
                <c:pt idx="265">
                  <c:v>45692</c:v>
                </c:pt>
                <c:pt idx="266">
                  <c:v>45691</c:v>
                </c:pt>
                <c:pt idx="267">
                  <c:v>45690</c:v>
                </c:pt>
                <c:pt idx="268">
                  <c:v>45689</c:v>
                </c:pt>
                <c:pt idx="269">
                  <c:v>45688</c:v>
                </c:pt>
                <c:pt idx="270">
                  <c:v>45687</c:v>
                </c:pt>
                <c:pt idx="271">
                  <c:v>45686</c:v>
                </c:pt>
                <c:pt idx="272">
                  <c:v>45685</c:v>
                </c:pt>
                <c:pt idx="273">
                  <c:v>45684</c:v>
                </c:pt>
                <c:pt idx="274">
                  <c:v>45683</c:v>
                </c:pt>
                <c:pt idx="275">
                  <c:v>45682</c:v>
                </c:pt>
                <c:pt idx="276">
                  <c:v>45681</c:v>
                </c:pt>
                <c:pt idx="277">
                  <c:v>45680</c:v>
                </c:pt>
                <c:pt idx="278">
                  <c:v>45679</c:v>
                </c:pt>
                <c:pt idx="279">
                  <c:v>45678</c:v>
                </c:pt>
                <c:pt idx="280">
                  <c:v>45677</c:v>
                </c:pt>
                <c:pt idx="281">
                  <c:v>45676</c:v>
                </c:pt>
                <c:pt idx="282">
                  <c:v>45675</c:v>
                </c:pt>
                <c:pt idx="283">
                  <c:v>45674</c:v>
                </c:pt>
                <c:pt idx="284">
                  <c:v>45673</c:v>
                </c:pt>
                <c:pt idx="285">
                  <c:v>45672</c:v>
                </c:pt>
                <c:pt idx="286">
                  <c:v>45671</c:v>
                </c:pt>
                <c:pt idx="287">
                  <c:v>45670</c:v>
                </c:pt>
                <c:pt idx="288">
                  <c:v>45669</c:v>
                </c:pt>
                <c:pt idx="289">
                  <c:v>45668</c:v>
                </c:pt>
                <c:pt idx="290">
                  <c:v>45667</c:v>
                </c:pt>
                <c:pt idx="291">
                  <c:v>45666</c:v>
                </c:pt>
                <c:pt idx="292">
                  <c:v>45665</c:v>
                </c:pt>
                <c:pt idx="293">
                  <c:v>45664</c:v>
                </c:pt>
                <c:pt idx="294">
                  <c:v>45663</c:v>
                </c:pt>
                <c:pt idx="295">
                  <c:v>45662</c:v>
                </c:pt>
                <c:pt idx="296">
                  <c:v>45661</c:v>
                </c:pt>
                <c:pt idx="297">
                  <c:v>45660</c:v>
                </c:pt>
                <c:pt idx="298">
                  <c:v>45659</c:v>
                </c:pt>
                <c:pt idx="299">
                  <c:v>45658</c:v>
                </c:pt>
                <c:pt idx="300">
                  <c:v>45657</c:v>
                </c:pt>
                <c:pt idx="301">
                  <c:v>45656</c:v>
                </c:pt>
                <c:pt idx="302">
                  <c:v>45655</c:v>
                </c:pt>
                <c:pt idx="303">
                  <c:v>45654</c:v>
                </c:pt>
                <c:pt idx="304">
                  <c:v>45653</c:v>
                </c:pt>
                <c:pt idx="305">
                  <c:v>45652</c:v>
                </c:pt>
                <c:pt idx="306">
                  <c:v>45651</c:v>
                </c:pt>
                <c:pt idx="307">
                  <c:v>45650</c:v>
                </c:pt>
                <c:pt idx="308">
                  <c:v>45649</c:v>
                </c:pt>
                <c:pt idx="309">
                  <c:v>45648</c:v>
                </c:pt>
                <c:pt idx="310">
                  <c:v>45647</c:v>
                </c:pt>
                <c:pt idx="311">
                  <c:v>45646</c:v>
                </c:pt>
                <c:pt idx="312">
                  <c:v>45645</c:v>
                </c:pt>
                <c:pt idx="313">
                  <c:v>45644</c:v>
                </c:pt>
                <c:pt idx="314">
                  <c:v>45643</c:v>
                </c:pt>
                <c:pt idx="315">
                  <c:v>45642</c:v>
                </c:pt>
                <c:pt idx="316">
                  <c:v>45641</c:v>
                </c:pt>
                <c:pt idx="317">
                  <c:v>45640</c:v>
                </c:pt>
                <c:pt idx="318">
                  <c:v>45639</c:v>
                </c:pt>
                <c:pt idx="319">
                  <c:v>45638</c:v>
                </c:pt>
                <c:pt idx="320">
                  <c:v>45637</c:v>
                </c:pt>
                <c:pt idx="321">
                  <c:v>45636</c:v>
                </c:pt>
                <c:pt idx="322">
                  <c:v>45635</c:v>
                </c:pt>
                <c:pt idx="323">
                  <c:v>45634</c:v>
                </c:pt>
                <c:pt idx="324">
                  <c:v>45633</c:v>
                </c:pt>
                <c:pt idx="325">
                  <c:v>45632</c:v>
                </c:pt>
                <c:pt idx="326">
                  <c:v>45631</c:v>
                </c:pt>
                <c:pt idx="327">
                  <c:v>45630</c:v>
                </c:pt>
                <c:pt idx="328">
                  <c:v>45629</c:v>
                </c:pt>
                <c:pt idx="329">
                  <c:v>45628</c:v>
                </c:pt>
                <c:pt idx="330">
                  <c:v>45627</c:v>
                </c:pt>
                <c:pt idx="331">
                  <c:v>45626</c:v>
                </c:pt>
                <c:pt idx="332">
                  <c:v>45625</c:v>
                </c:pt>
                <c:pt idx="333">
                  <c:v>45624</c:v>
                </c:pt>
                <c:pt idx="334">
                  <c:v>45623</c:v>
                </c:pt>
                <c:pt idx="335">
                  <c:v>45622</c:v>
                </c:pt>
                <c:pt idx="336">
                  <c:v>45621</c:v>
                </c:pt>
                <c:pt idx="337">
                  <c:v>45620</c:v>
                </c:pt>
                <c:pt idx="338">
                  <c:v>45619</c:v>
                </c:pt>
                <c:pt idx="339">
                  <c:v>45618</c:v>
                </c:pt>
                <c:pt idx="340">
                  <c:v>45617</c:v>
                </c:pt>
                <c:pt idx="341">
                  <c:v>45616</c:v>
                </c:pt>
                <c:pt idx="342">
                  <c:v>45615</c:v>
                </c:pt>
                <c:pt idx="343">
                  <c:v>45614</c:v>
                </c:pt>
                <c:pt idx="344">
                  <c:v>45613</c:v>
                </c:pt>
                <c:pt idx="345">
                  <c:v>45612</c:v>
                </c:pt>
                <c:pt idx="346">
                  <c:v>45611</c:v>
                </c:pt>
                <c:pt idx="347">
                  <c:v>45610</c:v>
                </c:pt>
                <c:pt idx="348">
                  <c:v>45609</c:v>
                </c:pt>
                <c:pt idx="349">
                  <c:v>45608</c:v>
                </c:pt>
                <c:pt idx="350">
                  <c:v>45607</c:v>
                </c:pt>
                <c:pt idx="351">
                  <c:v>45606</c:v>
                </c:pt>
                <c:pt idx="352">
                  <c:v>45605</c:v>
                </c:pt>
                <c:pt idx="353">
                  <c:v>45604</c:v>
                </c:pt>
                <c:pt idx="354">
                  <c:v>45603</c:v>
                </c:pt>
                <c:pt idx="355">
                  <c:v>45602</c:v>
                </c:pt>
                <c:pt idx="356">
                  <c:v>45601</c:v>
                </c:pt>
                <c:pt idx="357">
                  <c:v>45600</c:v>
                </c:pt>
                <c:pt idx="358">
                  <c:v>45599</c:v>
                </c:pt>
                <c:pt idx="359">
                  <c:v>45598</c:v>
                </c:pt>
                <c:pt idx="360">
                  <c:v>45597</c:v>
                </c:pt>
                <c:pt idx="361">
                  <c:v>45596</c:v>
                </c:pt>
                <c:pt idx="362">
                  <c:v>45595</c:v>
                </c:pt>
                <c:pt idx="363">
                  <c:v>45594</c:v>
                </c:pt>
                <c:pt idx="364">
                  <c:v>45593</c:v>
                </c:pt>
                <c:pt idx="365">
                  <c:v>45592</c:v>
                </c:pt>
                <c:pt idx="366">
                  <c:v>45591</c:v>
                </c:pt>
                <c:pt idx="367">
                  <c:v>45590</c:v>
                </c:pt>
                <c:pt idx="368">
                  <c:v>45589</c:v>
                </c:pt>
                <c:pt idx="369">
                  <c:v>45588</c:v>
                </c:pt>
                <c:pt idx="370">
                  <c:v>45587</c:v>
                </c:pt>
                <c:pt idx="371">
                  <c:v>45586</c:v>
                </c:pt>
                <c:pt idx="372">
                  <c:v>45585</c:v>
                </c:pt>
                <c:pt idx="373">
                  <c:v>45584</c:v>
                </c:pt>
                <c:pt idx="374">
                  <c:v>45583</c:v>
                </c:pt>
                <c:pt idx="375">
                  <c:v>45582</c:v>
                </c:pt>
                <c:pt idx="376">
                  <c:v>45581</c:v>
                </c:pt>
                <c:pt idx="377">
                  <c:v>45580</c:v>
                </c:pt>
                <c:pt idx="378">
                  <c:v>45579</c:v>
                </c:pt>
                <c:pt idx="379">
                  <c:v>45578</c:v>
                </c:pt>
                <c:pt idx="380">
                  <c:v>45577</c:v>
                </c:pt>
                <c:pt idx="381">
                  <c:v>45576</c:v>
                </c:pt>
                <c:pt idx="382">
                  <c:v>45575</c:v>
                </c:pt>
                <c:pt idx="383">
                  <c:v>45574</c:v>
                </c:pt>
                <c:pt idx="384">
                  <c:v>45573</c:v>
                </c:pt>
                <c:pt idx="385">
                  <c:v>45572</c:v>
                </c:pt>
                <c:pt idx="386">
                  <c:v>45571</c:v>
                </c:pt>
                <c:pt idx="387">
                  <c:v>45570</c:v>
                </c:pt>
                <c:pt idx="388">
                  <c:v>45569</c:v>
                </c:pt>
                <c:pt idx="389">
                  <c:v>45568</c:v>
                </c:pt>
                <c:pt idx="390">
                  <c:v>45567</c:v>
                </c:pt>
                <c:pt idx="391">
                  <c:v>45566</c:v>
                </c:pt>
                <c:pt idx="392">
                  <c:v>45565</c:v>
                </c:pt>
                <c:pt idx="393">
                  <c:v>45564</c:v>
                </c:pt>
                <c:pt idx="394">
                  <c:v>45563</c:v>
                </c:pt>
                <c:pt idx="395">
                  <c:v>45562</c:v>
                </c:pt>
                <c:pt idx="396">
                  <c:v>45561</c:v>
                </c:pt>
                <c:pt idx="397">
                  <c:v>45560</c:v>
                </c:pt>
                <c:pt idx="398">
                  <c:v>45559</c:v>
                </c:pt>
                <c:pt idx="399">
                  <c:v>45558</c:v>
                </c:pt>
                <c:pt idx="400">
                  <c:v>45557</c:v>
                </c:pt>
                <c:pt idx="401">
                  <c:v>45556</c:v>
                </c:pt>
                <c:pt idx="402">
                  <c:v>45555</c:v>
                </c:pt>
                <c:pt idx="403">
                  <c:v>45554</c:v>
                </c:pt>
                <c:pt idx="404">
                  <c:v>45553</c:v>
                </c:pt>
              </c:numCache>
            </c:numRef>
          </c:cat>
          <c:val>
            <c:numRef>
              <c:f>Dashboard!$D$154:$D$558</c:f>
              <c:numCache>
                <c:formatCode>General</c:formatCode>
                <c:ptCount val="405"/>
                <c:pt idx="39">
                  <c:v>481.51</c:v>
                </c:pt>
                <c:pt idx="40">
                  <c:v>481.51</c:v>
                </c:pt>
                <c:pt idx="41">
                  <c:v>473.26</c:v>
                </c:pt>
                <c:pt idx="42">
                  <c:v>473.26</c:v>
                </c:pt>
                <c:pt idx="43">
                  <c:v>473.26</c:v>
                </c:pt>
                <c:pt idx="44">
                  <c:v>474.9</c:v>
                </c:pt>
                <c:pt idx="45">
                  <c:v>469.52</c:v>
                </c:pt>
                <c:pt idx="46">
                  <c:v>476.78</c:v>
                </c:pt>
                <c:pt idx="47">
                  <c:v>478.64</c:v>
                </c:pt>
                <c:pt idx="48">
                  <c:v>478.64</c:v>
                </c:pt>
                <c:pt idx="49">
                  <c:v>478.64</c:v>
                </c:pt>
                <c:pt idx="50">
                  <c:v>478.64</c:v>
                </c:pt>
                <c:pt idx="51">
                  <c:v>491.44</c:v>
                </c:pt>
                <c:pt idx="52">
                  <c:v>493.08</c:v>
                </c:pt>
                <c:pt idx="53">
                  <c:v>487.76</c:v>
                </c:pt>
                <c:pt idx="54">
                  <c:v>487.9</c:v>
                </c:pt>
                <c:pt idx="55">
                  <c:v>495.99</c:v>
                </c:pt>
                <c:pt idx="56">
                  <c:v>495.99</c:v>
                </c:pt>
                <c:pt idx="57">
                  <c:v>495.99</c:v>
                </c:pt>
                <c:pt idx="58">
                  <c:v>486.76</c:v>
                </c:pt>
                <c:pt idx="59">
                  <c:v>492.72</c:v>
                </c:pt>
                <c:pt idx="60">
                  <c:v>489.44</c:v>
                </c:pt>
                <c:pt idx="61">
                  <c:v>491.13</c:v>
                </c:pt>
                <c:pt idx="62">
                  <c:v>488.8</c:v>
                </c:pt>
                <c:pt idx="63">
                  <c:v>488.8</c:v>
                </c:pt>
                <c:pt idx="64">
                  <c:v>488.8</c:v>
                </c:pt>
                <c:pt idx="65">
                  <c:v>478.84</c:v>
                </c:pt>
                <c:pt idx="66">
                  <c:v>513.54</c:v>
                </c:pt>
                <c:pt idx="67">
                  <c:v>505.85</c:v>
                </c:pt>
                <c:pt idx="68">
                  <c:v>506.98</c:v>
                </c:pt>
                <c:pt idx="69">
                  <c:v>510.37</c:v>
                </c:pt>
                <c:pt idx="70">
                  <c:v>510.37</c:v>
                </c:pt>
                <c:pt idx="71">
                  <c:v>510.37</c:v>
                </c:pt>
                <c:pt idx="72">
                  <c:v>506.64</c:v>
                </c:pt>
                <c:pt idx="73">
                  <c:v>509.64</c:v>
                </c:pt>
                <c:pt idx="74">
                  <c:v>508.58</c:v>
                </c:pt>
                <c:pt idx="75">
                  <c:v>510.56</c:v>
                </c:pt>
                <c:pt idx="76">
                  <c:v>500.98</c:v>
                </c:pt>
                <c:pt idx="77">
                  <c:v>500.98</c:v>
                </c:pt>
                <c:pt idx="78">
                  <c:v>500.98</c:v>
                </c:pt>
                <c:pt idx="79">
                  <c:v>524.37</c:v>
                </c:pt>
                <c:pt idx="80">
                  <c:v>507.87</c:v>
                </c:pt>
                <c:pt idx="81">
                  <c:v>512.5</c:v>
                </c:pt>
                <c:pt idx="82">
                  <c:v>510.55</c:v>
                </c:pt>
                <c:pt idx="83">
                  <c:v>517.38</c:v>
                </c:pt>
                <c:pt idx="84">
                  <c:v>517.38</c:v>
                </c:pt>
                <c:pt idx="85">
                  <c:v>517.38</c:v>
                </c:pt>
                <c:pt idx="86">
                  <c:v>514.66</c:v>
                </c:pt>
                <c:pt idx="87">
                  <c:v>515.16999999999996</c:v>
                </c:pt>
                <c:pt idx="88">
                  <c:v>505.69</c:v>
                </c:pt>
                <c:pt idx="89">
                  <c:v>496.24</c:v>
                </c:pt>
                <c:pt idx="90">
                  <c:v>499.82</c:v>
                </c:pt>
                <c:pt idx="91">
                  <c:v>499.82</c:v>
                </c:pt>
                <c:pt idx="92">
                  <c:v>499.82</c:v>
                </c:pt>
                <c:pt idx="93">
                  <c:v>499.14</c:v>
                </c:pt>
                <c:pt idx="94">
                  <c:v>507.73</c:v>
                </c:pt>
                <c:pt idx="95">
                  <c:v>503.47</c:v>
                </c:pt>
                <c:pt idx="96">
                  <c:v>507.61</c:v>
                </c:pt>
                <c:pt idx="97">
                  <c:v>512.41</c:v>
                </c:pt>
                <c:pt idx="98">
                  <c:v>512.41</c:v>
                </c:pt>
                <c:pt idx="99">
                  <c:v>512.41</c:v>
                </c:pt>
                <c:pt idx="100">
                  <c:v>519.20000000000005</c:v>
                </c:pt>
                <c:pt idx="101">
                  <c:v>509.33</c:v>
                </c:pt>
                <c:pt idx="102">
                  <c:v>508.91</c:v>
                </c:pt>
                <c:pt idx="103">
                  <c:v>510.29</c:v>
                </c:pt>
                <c:pt idx="104">
                  <c:v>520.97</c:v>
                </c:pt>
                <c:pt idx="105">
                  <c:v>520.97</c:v>
                </c:pt>
                <c:pt idx="106">
                  <c:v>520.97</c:v>
                </c:pt>
                <c:pt idx="107">
                  <c:v>520.97</c:v>
                </c:pt>
                <c:pt idx="108">
                  <c:v>520.30999999999995</c:v>
                </c:pt>
                <c:pt idx="109">
                  <c:v>508.36</c:v>
                </c:pt>
                <c:pt idx="110">
                  <c:v>508.49</c:v>
                </c:pt>
                <c:pt idx="111">
                  <c:v>513.34</c:v>
                </c:pt>
                <c:pt idx="112">
                  <c:v>513.34</c:v>
                </c:pt>
                <c:pt idx="113">
                  <c:v>513.34</c:v>
                </c:pt>
                <c:pt idx="114">
                  <c:v>508.53</c:v>
                </c:pt>
                <c:pt idx="115">
                  <c:v>506.74</c:v>
                </c:pt>
                <c:pt idx="116">
                  <c:v>514.1</c:v>
                </c:pt>
                <c:pt idx="117">
                  <c:v>514.08000000000004</c:v>
                </c:pt>
                <c:pt idx="118">
                  <c:v>521.38</c:v>
                </c:pt>
                <c:pt idx="119">
                  <c:v>521.38</c:v>
                </c:pt>
                <c:pt idx="120">
                  <c:v>521.38</c:v>
                </c:pt>
                <c:pt idx="121">
                  <c:v>524.98</c:v>
                </c:pt>
                <c:pt idx="122">
                  <c:v>524.98</c:v>
                </c:pt>
                <c:pt idx="123">
                  <c:v>523.12</c:v>
                </c:pt>
                <c:pt idx="124">
                  <c:v>524.44000000000005</c:v>
                </c:pt>
                <c:pt idx="125">
                  <c:v>509.59</c:v>
                </c:pt>
                <c:pt idx="126">
                  <c:v>509.59</c:v>
                </c:pt>
                <c:pt idx="127">
                  <c:v>509.59</c:v>
                </c:pt>
                <c:pt idx="128">
                  <c:v>516.86</c:v>
                </c:pt>
                <c:pt idx="129">
                  <c:v>520.84</c:v>
                </c:pt>
                <c:pt idx="130">
                  <c:v>515.82000000000005</c:v>
                </c:pt>
                <c:pt idx="131">
                  <c:v>521.67999999999995</c:v>
                </c:pt>
                <c:pt idx="132">
                  <c:v>519.99</c:v>
                </c:pt>
                <c:pt idx="133">
                  <c:v>519.99</c:v>
                </c:pt>
                <c:pt idx="134">
                  <c:v>519.99</c:v>
                </c:pt>
                <c:pt idx="135">
                  <c:v>510.75</c:v>
                </c:pt>
                <c:pt idx="136">
                  <c:v>507.78</c:v>
                </c:pt>
                <c:pt idx="137">
                  <c:v>513.15</c:v>
                </c:pt>
                <c:pt idx="138">
                  <c:v>507.84</c:v>
                </c:pt>
                <c:pt idx="139">
                  <c:v>506.26</c:v>
                </c:pt>
                <c:pt idx="140">
                  <c:v>506.26</c:v>
                </c:pt>
                <c:pt idx="141">
                  <c:v>506.26</c:v>
                </c:pt>
                <c:pt idx="142">
                  <c:v>503.45</c:v>
                </c:pt>
                <c:pt idx="143">
                  <c:v>507.99</c:v>
                </c:pt>
                <c:pt idx="144">
                  <c:v>509.63</c:v>
                </c:pt>
                <c:pt idx="145">
                  <c:v>510.06</c:v>
                </c:pt>
                <c:pt idx="146">
                  <c:v>510.06</c:v>
                </c:pt>
                <c:pt idx="147">
                  <c:v>510.06</c:v>
                </c:pt>
                <c:pt idx="148">
                  <c:v>510.06</c:v>
                </c:pt>
                <c:pt idx="149">
                  <c:v>515.65</c:v>
                </c:pt>
                <c:pt idx="150">
                  <c:v>514.66</c:v>
                </c:pt>
                <c:pt idx="151">
                  <c:v>526.33000000000004</c:v>
                </c:pt>
                <c:pt idx="152">
                  <c:v>529.83000000000004</c:v>
                </c:pt>
                <c:pt idx="153">
                  <c:v>531.48</c:v>
                </c:pt>
                <c:pt idx="154">
                  <c:v>531.48</c:v>
                </c:pt>
                <c:pt idx="155">
                  <c:v>531.48</c:v>
                </c:pt>
                <c:pt idx="156">
                  <c:v>516.32000000000005</c:v>
                </c:pt>
                <c:pt idx="157">
                  <c:v>497.5</c:v>
                </c:pt>
                <c:pt idx="158">
                  <c:v>498.57</c:v>
                </c:pt>
                <c:pt idx="159">
                  <c:v>495.62</c:v>
                </c:pt>
                <c:pt idx="160">
                  <c:v>492.6</c:v>
                </c:pt>
                <c:pt idx="161">
                  <c:v>492.6</c:v>
                </c:pt>
                <c:pt idx="162">
                  <c:v>492.6</c:v>
                </c:pt>
                <c:pt idx="163">
                  <c:v>489.99</c:v>
                </c:pt>
                <c:pt idx="164">
                  <c:v>472.4</c:v>
                </c:pt>
                <c:pt idx="165">
                  <c:v>475.3</c:v>
                </c:pt>
                <c:pt idx="166">
                  <c:v>481.34</c:v>
                </c:pt>
                <c:pt idx="167">
                  <c:v>481.67</c:v>
                </c:pt>
                <c:pt idx="168">
                  <c:v>481.67</c:v>
                </c:pt>
                <c:pt idx="169">
                  <c:v>481.67</c:v>
                </c:pt>
                <c:pt idx="170">
                  <c:v>480.02</c:v>
                </c:pt>
                <c:pt idx="171">
                  <c:v>463.56</c:v>
                </c:pt>
                <c:pt idx="172">
                  <c:v>460.64</c:v>
                </c:pt>
                <c:pt idx="173">
                  <c:v>460.2</c:v>
                </c:pt>
                <c:pt idx="174">
                  <c:v>459.3</c:v>
                </c:pt>
                <c:pt idx="175">
                  <c:v>459.3</c:v>
                </c:pt>
                <c:pt idx="176">
                  <c:v>459.3</c:v>
                </c:pt>
                <c:pt idx="177">
                  <c:v>464.51</c:v>
                </c:pt>
                <c:pt idx="178">
                  <c:v>456.44</c:v>
                </c:pt>
                <c:pt idx="179">
                  <c:v>454.66</c:v>
                </c:pt>
                <c:pt idx="180">
                  <c:v>441.56</c:v>
                </c:pt>
                <c:pt idx="181">
                  <c:v>452.07</c:v>
                </c:pt>
                <c:pt idx="182">
                  <c:v>452.07</c:v>
                </c:pt>
                <c:pt idx="183">
                  <c:v>452.07</c:v>
                </c:pt>
                <c:pt idx="184">
                  <c:v>452.07</c:v>
                </c:pt>
                <c:pt idx="185">
                  <c:v>452.42</c:v>
                </c:pt>
                <c:pt idx="186">
                  <c:v>461.26</c:v>
                </c:pt>
                <c:pt idx="187">
                  <c:v>467.67</c:v>
                </c:pt>
                <c:pt idx="188">
                  <c:v>459.13</c:v>
                </c:pt>
                <c:pt idx="189">
                  <c:v>459.13</c:v>
                </c:pt>
                <c:pt idx="190">
                  <c:v>459.13</c:v>
                </c:pt>
                <c:pt idx="191">
                  <c:v>444.19</c:v>
                </c:pt>
                <c:pt idx="192">
                  <c:v>452.59</c:v>
                </c:pt>
                <c:pt idx="193">
                  <c:v>412.99</c:v>
                </c:pt>
                <c:pt idx="194">
                  <c:v>423.35</c:v>
                </c:pt>
                <c:pt idx="195">
                  <c:v>429.86</c:v>
                </c:pt>
                <c:pt idx="196">
                  <c:v>429.86</c:v>
                </c:pt>
                <c:pt idx="197">
                  <c:v>429.86</c:v>
                </c:pt>
                <c:pt idx="198">
                  <c:v>447.45</c:v>
                </c:pt>
                <c:pt idx="199">
                  <c:v>470.9</c:v>
                </c:pt>
                <c:pt idx="200">
                  <c:v>478.45</c:v>
                </c:pt>
                <c:pt idx="201">
                  <c:v>469.35</c:v>
                </c:pt>
                <c:pt idx="202">
                  <c:v>465.31</c:v>
                </c:pt>
                <c:pt idx="203">
                  <c:v>465.31</c:v>
                </c:pt>
                <c:pt idx="204">
                  <c:v>465.31</c:v>
                </c:pt>
                <c:pt idx="205">
                  <c:v>479.72</c:v>
                </c:pt>
                <c:pt idx="206">
                  <c:v>483.62</c:v>
                </c:pt>
                <c:pt idx="207">
                  <c:v>478.93</c:v>
                </c:pt>
                <c:pt idx="208">
                  <c:v>479.96</c:v>
                </c:pt>
                <c:pt idx="209">
                  <c:v>472.43</c:v>
                </c:pt>
                <c:pt idx="210">
                  <c:v>472.43</c:v>
                </c:pt>
                <c:pt idx="211">
                  <c:v>472.43</c:v>
                </c:pt>
                <c:pt idx="212">
                  <c:v>477.02</c:v>
                </c:pt>
                <c:pt idx="213">
                  <c:v>479.41</c:v>
                </c:pt>
                <c:pt idx="214">
                  <c:v>481.17</c:v>
                </c:pt>
                <c:pt idx="215">
                  <c:v>482.35</c:v>
                </c:pt>
                <c:pt idx="216">
                  <c:v>477.5</c:v>
                </c:pt>
                <c:pt idx="217">
                  <c:v>477.5</c:v>
                </c:pt>
                <c:pt idx="218">
                  <c:v>477.5</c:v>
                </c:pt>
                <c:pt idx="219">
                  <c:v>467.09</c:v>
                </c:pt>
                <c:pt idx="220">
                  <c:v>471.37</c:v>
                </c:pt>
                <c:pt idx="221">
                  <c:v>475.5</c:v>
                </c:pt>
                <c:pt idx="222">
                  <c:v>488.78</c:v>
                </c:pt>
                <c:pt idx="223">
                  <c:v>499.62</c:v>
                </c:pt>
                <c:pt idx="224">
                  <c:v>499.62</c:v>
                </c:pt>
                <c:pt idx="225">
                  <c:v>499.62</c:v>
                </c:pt>
                <c:pt idx="226">
                  <c:v>482.84</c:v>
                </c:pt>
                <c:pt idx="227">
                  <c:v>467.5</c:v>
                </c:pt>
                <c:pt idx="228">
                  <c:v>458.38</c:v>
                </c:pt>
                <c:pt idx="229">
                  <c:v>465.83</c:v>
                </c:pt>
                <c:pt idx="230">
                  <c:v>480.79</c:v>
                </c:pt>
                <c:pt idx="231">
                  <c:v>480.79</c:v>
                </c:pt>
                <c:pt idx="232">
                  <c:v>480.79</c:v>
                </c:pt>
                <c:pt idx="233">
                  <c:v>480.55</c:v>
                </c:pt>
                <c:pt idx="234">
                  <c:v>478.52</c:v>
                </c:pt>
                <c:pt idx="235">
                  <c:v>487.59</c:v>
                </c:pt>
                <c:pt idx="236">
                  <c:v>484.55</c:v>
                </c:pt>
                <c:pt idx="237">
                  <c:v>489.98</c:v>
                </c:pt>
                <c:pt idx="238">
                  <c:v>489.98</c:v>
                </c:pt>
                <c:pt idx="239">
                  <c:v>489.98</c:v>
                </c:pt>
                <c:pt idx="240">
                  <c:v>495.79</c:v>
                </c:pt>
                <c:pt idx="241">
                  <c:v>509.27</c:v>
                </c:pt>
                <c:pt idx="242">
                  <c:v>501.56</c:v>
                </c:pt>
                <c:pt idx="243">
                  <c:v>480.22</c:v>
                </c:pt>
                <c:pt idx="244">
                  <c:v>480.22</c:v>
                </c:pt>
                <c:pt idx="245">
                  <c:v>480.22</c:v>
                </c:pt>
                <c:pt idx="246">
                  <c:v>480.22</c:v>
                </c:pt>
                <c:pt idx="247">
                  <c:v>466.22</c:v>
                </c:pt>
                <c:pt idx="248">
                  <c:v>476.56</c:v>
                </c:pt>
                <c:pt idx="249">
                  <c:v>474.3</c:v>
                </c:pt>
                <c:pt idx="250">
                  <c:v>469.98</c:v>
                </c:pt>
                <c:pt idx="251">
                  <c:v>465.6</c:v>
                </c:pt>
                <c:pt idx="252">
                  <c:v>465.6</c:v>
                </c:pt>
                <c:pt idx="253">
                  <c:v>465.6</c:v>
                </c:pt>
                <c:pt idx="254">
                  <c:v>464.98</c:v>
                </c:pt>
                <c:pt idx="255">
                  <c:v>467.68</c:v>
                </c:pt>
                <c:pt idx="256">
                  <c:v>472.27</c:v>
                </c:pt>
                <c:pt idx="257">
                  <c:v>467.05</c:v>
                </c:pt>
                <c:pt idx="258">
                  <c:v>476.56</c:v>
                </c:pt>
                <c:pt idx="259">
                  <c:v>476.56</c:v>
                </c:pt>
                <c:pt idx="260">
                  <c:v>476.56</c:v>
                </c:pt>
                <c:pt idx="261">
                  <c:v>479.99</c:v>
                </c:pt>
                <c:pt idx="262">
                  <c:v>478.16</c:v>
                </c:pt>
                <c:pt idx="263">
                  <c:v>479.99</c:v>
                </c:pt>
                <c:pt idx="264">
                  <c:v>484.15</c:v>
                </c:pt>
                <c:pt idx="265">
                  <c:v>478.77</c:v>
                </c:pt>
                <c:pt idx="266">
                  <c:v>478.77</c:v>
                </c:pt>
                <c:pt idx="267">
                  <c:v>478.77</c:v>
                </c:pt>
                <c:pt idx="268">
                  <c:v>474.72</c:v>
                </c:pt>
                <c:pt idx="269">
                  <c:v>459.75</c:v>
                </c:pt>
                <c:pt idx="270">
                  <c:v>463.15</c:v>
                </c:pt>
                <c:pt idx="271">
                  <c:v>455.44</c:v>
                </c:pt>
                <c:pt idx="272">
                  <c:v>455.44</c:v>
                </c:pt>
                <c:pt idx="273">
                  <c:v>455.44</c:v>
                </c:pt>
                <c:pt idx="274">
                  <c:v>455.44</c:v>
                </c:pt>
                <c:pt idx="275">
                  <c:v>439.11</c:v>
                </c:pt>
                <c:pt idx="276">
                  <c:v>428.88</c:v>
                </c:pt>
                <c:pt idx="277">
                  <c:v>432.31</c:v>
                </c:pt>
                <c:pt idx="278">
                  <c:v>429.91</c:v>
                </c:pt>
                <c:pt idx="279">
                  <c:v>408.57</c:v>
                </c:pt>
                <c:pt idx="280">
                  <c:v>408.57</c:v>
                </c:pt>
                <c:pt idx="281">
                  <c:v>408.57</c:v>
                </c:pt>
                <c:pt idx="282">
                  <c:v>410</c:v>
                </c:pt>
                <c:pt idx="283">
                  <c:v>410</c:v>
                </c:pt>
                <c:pt idx="284">
                  <c:v>413.27</c:v>
                </c:pt>
                <c:pt idx="285">
                  <c:v>418</c:v>
                </c:pt>
                <c:pt idx="286">
                  <c:v>422.22</c:v>
                </c:pt>
                <c:pt idx="287">
                  <c:v>422.22</c:v>
                </c:pt>
                <c:pt idx="288">
                  <c:v>422.22</c:v>
                </c:pt>
                <c:pt idx="289">
                  <c:v>418.18</c:v>
                </c:pt>
                <c:pt idx="290">
                  <c:v>423.7</c:v>
                </c:pt>
                <c:pt idx="291">
                  <c:v>423.7</c:v>
                </c:pt>
                <c:pt idx="292">
                  <c:v>424.64</c:v>
                </c:pt>
                <c:pt idx="293">
                  <c:v>430.06</c:v>
                </c:pt>
                <c:pt idx="294">
                  <c:v>430.06</c:v>
                </c:pt>
                <c:pt idx="295">
                  <c:v>430.06</c:v>
                </c:pt>
                <c:pt idx="296">
                  <c:v>433.84</c:v>
                </c:pt>
                <c:pt idx="297">
                  <c:v>432.84</c:v>
                </c:pt>
                <c:pt idx="298">
                  <c:v>432.84</c:v>
                </c:pt>
                <c:pt idx="299">
                  <c:v>432.38</c:v>
                </c:pt>
                <c:pt idx="300">
                  <c:v>432.49</c:v>
                </c:pt>
                <c:pt idx="301">
                  <c:v>432.49</c:v>
                </c:pt>
                <c:pt idx="302">
                  <c:v>432.49</c:v>
                </c:pt>
                <c:pt idx="303">
                  <c:v>426.63</c:v>
                </c:pt>
                <c:pt idx="304">
                  <c:v>426</c:v>
                </c:pt>
                <c:pt idx="305">
                  <c:v>443.59</c:v>
                </c:pt>
                <c:pt idx="306">
                  <c:v>438.42</c:v>
                </c:pt>
                <c:pt idx="307">
                  <c:v>440.44</c:v>
                </c:pt>
                <c:pt idx="308">
                  <c:v>440.44</c:v>
                </c:pt>
                <c:pt idx="309">
                  <c:v>440.44</c:v>
                </c:pt>
                <c:pt idx="310">
                  <c:v>439.48</c:v>
                </c:pt>
                <c:pt idx="311">
                  <c:v>448.03</c:v>
                </c:pt>
                <c:pt idx="312">
                  <c:v>443.96</c:v>
                </c:pt>
                <c:pt idx="313">
                  <c:v>449.41</c:v>
                </c:pt>
                <c:pt idx="314">
                  <c:v>444</c:v>
                </c:pt>
                <c:pt idx="315">
                  <c:v>444</c:v>
                </c:pt>
                <c:pt idx="316">
                  <c:v>444</c:v>
                </c:pt>
                <c:pt idx="317">
                  <c:v>448.12</c:v>
                </c:pt>
                <c:pt idx="318">
                  <c:v>456.26</c:v>
                </c:pt>
                <c:pt idx="319">
                  <c:v>459.25</c:v>
                </c:pt>
                <c:pt idx="320">
                  <c:v>462.95</c:v>
                </c:pt>
                <c:pt idx="321">
                  <c:v>465.9</c:v>
                </c:pt>
                <c:pt idx="322">
                  <c:v>465.9</c:v>
                </c:pt>
                <c:pt idx="323">
                  <c:v>465.9</c:v>
                </c:pt>
                <c:pt idx="324">
                  <c:v>466</c:v>
                </c:pt>
                <c:pt idx="325">
                  <c:v>466</c:v>
                </c:pt>
                <c:pt idx="326">
                  <c:v>461.04</c:v>
                </c:pt>
                <c:pt idx="327">
                  <c:v>462.69</c:v>
                </c:pt>
                <c:pt idx="328">
                  <c:v>446.65</c:v>
                </c:pt>
                <c:pt idx="329">
                  <c:v>446.65</c:v>
                </c:pt>
                <c:pt idx="330">
                  <c:v>446.65</c:v>
                </c:pt>
                <c:pt idx="331">
                  <c:v>437.54</c:v>
                </c:pt>
                <c:pt idx="332">
                  <c:v>404.96</c:v>
                </c:pt>
                <c:pt idx="333">
                  <c:v>400.09</c:v>
                </c:pt>
                <c:pt idx="334">
                  <c:v>404.53</c:v>
                </c:pt>
                <c:pt idx="335">
                  <c:v>398.95</c:v>
                </c:pt>
                <c:pt idx="336">
                  <c:v>398.95</c:v>
                </c:pt>
                <c:pt idx="337">
                  <c:v>398.95</c:v>
                </c:pt>
                <c:pt idx="338">
                  <c:v>394.64</c:v>
                </c:pt>
                <c:pt idx="339">
                  <c:v>389.45</c:v>
                </c:pt>
                <c:pt idx="340">
                  <c:v>393.75</c:v>
                </c:pt>
                <c:pt idx="341">
                  <c:v>402.65</c:v>
                </c:pt>
                <c:pt idx="342">
                  <c:v>394.06</c:v>
                </c:pt>
                <c:pt idx="343">
                  <c:v>394.06</c:v>
                </c:pt>
                <c:pt idx="344">
                  <c:v>394.06</c:v>
                </c:pt>
                <c:pt idx="345">
                  <c:v>411.16</c:v>
                </c:pt>
                <c:pt idx="346">
                  <c:v>405.71</c:v>
                </c:pt>
                <c:pt idx="347">
                  <c:v>400.37</c:v>
                </c:pt>
                <c:pt idx="348">
                  <c:v>401.68</c:v>
                </c:pt>
                <c:pt idx="349">
                  <c:v>400.42</c:v>
                </c:pt>
                <c:pt idx="350">
                  <c:v>400.42</c:v>
                </c:pt>
                <c:pt idx="351">
                  <c:v>400.42</c:v>
                </c:pt>
                <c:pt idx="352">
                  <c:v>404.69</c:v>
                </c:pt>
                <c:pt idx="353">
                  <c:v>404.69</c:v>
                </c:pt>
                <c:pt idx="354">
                  <c:v>406.04</c:v>
                </c:pt>
                <c:pt idx="355">
                  <c:v>412.35</c:v>
                </c:pt>
                <c:pt idx="356">
                  <c:v>407.93</c:v>
                </c:pt>
                <c:pt idx="357">
                  <c:v>407.93</c:v>
                </c:pt>
                <c:pt idx="358">
                  <c:v>407.93</c:v>
                </c:pt>
                <c:pt idx="359">
                  <c:v>411.07</c:v>
                </c:pt>
                <c:pt idx="360">
                  <c:v>408.64</c:v>
                </c:pt>
                <c:pt idx="361">
                  <c:v>406.65</c:v>
                </c:pt>
                <c:pt idx="362">
                  <c:v>406.96</c:v>
                </c:pt>
                <c:pt idx="363">
                  <c:v>408.73</c:v>
                </c:pt>
                <c:pt idx="364">
                  <c:v>408.73</c:v>
                </c:pt>
                <c:pt idx="365">
                  <c:v>408.73</c:v>
                </c:pt>
                <c:pt idx="366">
                  <c:v>405.14</c:v>
                </c:pt>
                <c:pt idx="367">
                  <c:v>409.37</c:v>
                </c:pt>
                <c:pt idx="368">
                  <c:v>401.99</c:v>
                </c:pt>
                <c:pt idx="369">
                  <c:v>407.72</c:v>
                </c:pt>
                <c:pt idx="370">
                  <c:v>411.08</c:v>
                </c:pt>
                <c:pt idx="371">
                  <c:v>411.08</c:v>
                </c:pt>
                <c:pt idx="372">
                  <c:v>411.08</c:v>
                </c:pt>
                <c:pt idx="373">
                  <c:v>405.76</c:v>
                </c:pt>
                <c:pt idx="374">
                  <c:v>405.48</c:v>
                </c:pt>
                <c:pt idx="375">
                  <c:v>400.28</c:v>
                </c:pt>
                <c:pt idx="376">
                  <c:v>406.04</c:v>
                </c:pt>
                <c:pt idx="377">
                  <c:v>407.99</c:v>
                </c:pt>
                <c:pt idx="378">
                  <c:v>407.99</c:v>
                </c:pt>
                <c:pt idx="379">
                  <c:v>407.99</c:v>
                </c:pt>
                <c:pt idx="380">
                  <c:v>408.74</c:v>
                </c:pt>
                <c:pt idx="381">
                  <c:v>416.49</c:v>
                </c:pt>
                <c:pt idx="382">
                  <c:v>416.44</c:v>
                </c:pt>
                <c:pt idx="383">
                  <c:v>417.33</c:v>
                </c:pt>
                <c:pt idx="384">
                  <c:v>418</c:v>
                </c:pt>
                <c:pt idx="385">
                  <c:v>418</c:v>
                </c:pt>
                <c:pt idx="386">
                  <c:v>418</c:v>
                </c:pt>
                <c:pt idx="387">
                  <c:v>411.47</c:v>
                </c:pt>
                <c:pt idx="388">
                  <c:v>406.93</c:v>
                </c:pt>
                <c:pt idx="389">
                  <c:v>410.89</c:v>
                </c:pt>
                <c:pt idx="390">
                  <c:v>408.95</c:v>
                </c:pt>
                <c:pt idx="391">
                  <c:v>405.89</c:v>
                </c:pt>
                <c:pt idx="392">
                  <c:v>405.89</c:v>
                </c:pt>
                <c:pt idx="393">
                  <c:v>405.89</c:v>
                </c:pt>
                <c:pt idx="394">
                  <c:v>409.73</c:v>
                </c:pt>
                <c:pt idx="395">
                  <c:v>401.07</c:v>
                </c:pt>
                <c:pt idx="396">
                  <c:v>397.88</c:v>
                </c:pt>
                <c:pt idx="397">
                  <c:v>394.66</c:v>
                </c:pt>
                <c:pt idx="398">
                  <c:v>394.68</c:v>
                </c:pt>
                <c:pt idx="399">
                  <c:v>394.68</c:v>
                </c:pt>
                <c:pt idx="400">
                  <c:v>394.68</c:v>
                </c:pt>
                <c:pt idx="401">
                  <c:v>387</c:v>
                </c:pt>
                <c:pt idx="402">
                  <c:v>388.59</c:v>
                </c:pt>
                <c:pt idx="403">
                  <c:v>387.3</c:v>
                </c:pt>
                <c:pt idx="404">
                  <c:v>387.23</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Sensitivity!$AJ$28:$AJ$34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Sensitivity!$AK$28:$AK$34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7.4145167799931633E-2</c:v>
                </c:pt>
                <c:pt idx="1">
                  <c:v>7.4866135912261766E-2</c:v>
                </c:pt>
                <c:pt idx="2">
                  <c:v>6.8987767435764485E-2</c:v>
                </c:pt>
                <c:pt idx="3">
                  <c:v>6.8068283131487134E-2</c:v>
                </c:pt>
                <c:pt idx="4">
                  <c:v>7.3087430026014602E-2</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8.6281417711404754E-2</c:v>
                </c:pt>
                <c:pt idx="1">
                  <c:v>8.221907333683677E-2</c:v>
                </c:pt>
                <c:pt idx="2">
                  <c:v>8.4559254044014154E-2</c:v>
                </c:pt>
                <c:pt idx="3">
                  <c:v>9.8729785745381632E-2</c:v>
                </c:pt>
                <c:pt idx="4">
                  <c:v>0.10830864969534094</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45918</c:v>
                </c:pt>
                <c:pt idx="1">
                  <c:v>45917</c:v>
                </c:pt>
                <c:pt idx="2">
                  <c:v>45916</c:v>
                </c:pt>
                <c:pt idx="3">
                  <c:v>45915</c:v>
                </c:pt>
                <c:pt idx="4">
                  <c:v>45914</c:v>
                </c:pt>
                <c:pt idx="5">
                  <c:v>45913</c:v>
                </c:pt>
                <c:pt idx="6">
                  <c:v>45912</c:v>
                </c:pt>
                <c:pt idx="7">
                  <c:v>45911</c:v>
                </c:pt>
                <c:pt idx="8">
                  <c:v>45910</c:v>
                </c:pt>
                <c:pt idx="9">
                  <c:v>45909</c:v>
                </c:pt>
                <c:pt idx="10">
                  <c:v>45908</c:v>
                </c:pt>
                <c:pt idx="11">
                  <c:v>45907</c:v>
                </c:pt>
                <c:pt idx="12">
                  <c:v>45906</c:v>
                </c:pt>
                <c:pt idx="13">
                  <c:v>45905</c:v>
                </c:pt>
                <c:pt idx="14">
                  <c:v>45904</c:v>
                </c:pt>
                <c:pt idx="15">
                  <c:v>45903</c:v>
                </c:pt>
                <c:pt idx="16">
                  <c:v>45902</c:v>
                </c:pt>
                <c:pt idx="17">
                  <c:v>45901</c:v>
                </c:pt>
                <c:pt idx="18">
                  <c:v>45900</c:v>
                </c:pt>
                <c:pt idx="19">
                  <c:v>45899</c:v>
                </c:pt>
                <c:pt idx="20">
                  <c:v>45898</c:v>
                </c:pt>
                <c:pt idx="21">
                  <c:v>45897</c:v>
                </c:pt>
                <c:pt idx="22">
                  <c:v>45896</c:v>
                </c:pt>
                <c:pt idx="23">
                  <c:v>45895</c:v>
                </c:pt>
                <c:pt idx="24">
                  <c:v>45894</c:v>
                </c:pt>
                <c:pt idx="25">
                  <c:v>45893</c:v>
                </c:pt>
                <c:pt idx="26">
                  <c:v>45892</c:v>
                </c:pt>
                <c:pt idx="27">
                  <c:v>45891</c:v>
                </c:pt>
                <c:pt idx="28">
                  <c:v>45890</c:v>
                </c:pt>
                <c:pt idx="29">
                  <c:v>45889</c:v>
                </c:pt>
                <c:pt idx="30">
                  <c:v>45888</c:v>
                </c:pt>
                <c:pt idx="31">
                  <c:v>45887</c:v>
                </c:pt>
                <c:pt idx="32">
                  <c:v>45886</c:v>
                </c:pt>
                <c:pt idx="33">
                  <c:v>45885</c:v>
                </c:pt>
                <c:pt idx="34">
                  <c:v>45884</c:v>
                </c:pt>
                <c:pt idx="35">
                  <c:v>45883</c:v>
                </c:pt>
                <c:pt idx="36">
                  <c:v>45882</c:v>
                </c:pt>
                <c:pt idx="37">
                  <c:v>45881</c:v>
                </c:pt>
                <c:pt idx="38">
                  <c:v>45880</c:v>
                </c:pt>
                <c:pt idx="39">
                  <c:v>45879</c:v>
                </c:pt>
                <c:pt idx="40">
                  <c:v>45878</c:v>
                </c:pt>
                <c:pt idx="41">
                  <c:v>45877</c:v>
                </c:pt>
                <c:pt idx="42">
                  <c:v>45876</c:v>
                </c:pt>
                <c:pt idx="43">
                  <c:v>45875</c:v>
                </c:pt>
                <c:pt idx="44">
                  <c:v>45874</c:v>
                </c:pt>
                <c:pt idx="45">
                  <c:v>45873</c:v>
                </c:pt>
                <c:pt idx="46">
                  <c:v>45872</c:v>
                </c:pt>
                <c:pt idx="47">
                  <c:v>45871</c:v>
                </c:pt>
                <c:pt idx="48">
                  <c:v>45870</c:v>
                </c:pt>
                <c:pt idx="49">
                  <c:v>45869</c:v>
                </c:pt>
                <c:pt idx="50">
                  <c:v>45868</c:v>
                </c:pt>
                <c:pt idx="51">
                  <c:v>45867</c:v>
                </c:pt>
                <c:pt idx="52">
                  <c:v>45866</c:v>
                </c:pt>
                <c:pt idx="53">
                  <c:v>45865</c:v>
                </c:pt>
                <c:pt idx="54">
                  <c:v>45864</c:v>
                </c:pt>
                <c:pt idx="55">
                  <c:v>45863</c:v>
                </c:pt>
                <c:pt idx="56">
                  <c:v>45862</c:v>
                </c:pt>
                <c:pt idx="57">
                  <c:v>45861</c:v>
                </c:pt>
                <c:pt idx="58">
                  <c:v>45860</c:v>
                </c:pt>
                <c:pt idx="59">
                  <c:v>45859</c:v>
                </c:pt>
                <c:pt idx="60">
                  <c:v>45858</c:v>
                </c:pt>
                <c:pt idx="61">
                  <c:v>45857</c:v>
                </c:pt>
                <c:pt idx="62">
                  <c:v>45856</c:v>
                </c:pt>
                <c:pt idx="63">
                  <c:v>45855</c:v>
                </c:pt>
                <c:pt idx="64">
                  <c:v>45854</c:v>
                </c:pt>
                <c:pt idx="65">
                  <c:v>45853</c:v>
                </c:pt>
                <c:pt idx="66">
                  <c:v>45852</c:v>
                </c:pt>
                <c:pt idx="67">
                  <c:v>45851</c:v>
                </c:pt>
                <c:pt idx="68">
                  <c:v>45850</c:v>
                </c:pt>
                <c:pt idx="69">
                  <c:v>45849</c:v>
                </c:pt>
                <c:pt idx="70">
                  <c:v>45848</c:v>
                </c:pt>
                <c:pt idx="71">
                  <c:v>45847</c:v>
                </c:pt>
                <c:pt idx="72">
                  <c:v>45846</c:v>
                </c:pt>
                <c:pt idx="73">
                  <c:v>45845</c:v>
                </c:pt>
                <c:pt idx="74">
                  <c:v>45844</c:v>
                </c:pt>
                <c:pt idx="75">
                  <c:v>45843</c:v>
                </c:pt>
                <c:pt idx="76">
                  <c:v>45842</c:v>
                </c:pt>
                <c:pt idx="77">
                  <c:v>45841</c:v>
                </c:pt>
                <c:pt idx="78">
                  <c:v>45840</c:v>
                </c:pt>
                <c:pt idx="79">
                  <c:v>45839</c:v>
                </c:pt>
                <c:pt idx="80">
                  <c:v>45838</c:v>
                </c:pt>
                <c:pt idx="81">
                  <c:v>45837</c:v>
                </c:pt>
                <c:pt idx="82">
                  <c:v>45836</c:v>
                </c:pt>
                <c:pt idx="83">
                  <c:v>45835</c:v>
                </c:pt>
                <c:pt idx="84">
                  <c:v>45834</c:v>
                </c:pt>
                <c:pt idx="85">
                  <c:v>45833</c:v>
                </c:pt>
                <c:pt idx="86">
                  <c:v>45832</c:v>
                </c:pt>
                <c:pt idx="87">
                  <c:v>45831</c:v>
                </c:pt>
                <c:pt idx="88">
                  <c:v>45830</c:v>
                </c:pt>
                <c:pt idx="89">
                  <c:v>45829</c:v>
                </c:pt>
                <c:pt idx="90">
                  <c:v>45828</c:v>
                </c:pt>
                <c:pt idx="91">
                  <c:v>45827</c:v>
                </c:pt>
                <c:pt idx="92">
                  <c:v>45826</c:v>
                </c:pt>
                <c:pt idx="93">
                  <c:v>45825</c:v>
                </c:pt>
                <c:pt idx="94">
                  <c:v>45824</c:v>
                </c:pt>
                <c:pt idx="95">
                  <c:v>45823</c:v>
                </c:pt>
                <c:pt idx="96">
                  <c:v>45822</c:v>
                </c:pt>
                <c:pt idx="97">
                  <c:v>45821</c:v>
                </c:pt>
                <c:pt idx="98">
                  <c:v>45820</c:v>
                </c:pt>
                <c:pt idx="99">
                  <c:v>45819</c:v>
                </c:pt>
                <c:pt idx="100">
                  <c:v>45818</c:v>
                </c:pt>
                <c:pt idx="101">
                  <c:v>45817</c:v>
                </c:pt>
                <c:pt idx="102">
                  <c:v>45816</c:v>
                </c:pt>
                <c:pt idx="103">
                  <c:v>45815</c:v>
                </c:pt>
                <c:pt idx="104">
                  <c:v>45814</c:v>
                </c:pt>
                <c:pt idx="105">
                  <c:v>45813</c:v>
                </c:pt>
                <c:pt idx="106">
                  <c:v>45812</c:v>
                </c:pt>
                <c:pt idx="107">
                  <c:v>45811</c:v>
                </c:pt>
                <c:pt idx="108">
                  <c:v>45810</c:v>
                </c:pt>
                <c:pt idx="109">
                  <c:v>45809</c:v>
                </c:pt>
                <c:pt idx="110">
                  <c:v>45808</c:v>
                </c:pt>
                <c:pt idx="111">
                  <c:v>45807</c:v>
                </c:pt>
                <c:pt idx="112">
                  <c:v>45806</c:v>
                </c:pt>
                <c:pt idx="113">
                  <c:v>45805</c:v>
                </c:pt>
                <c:pt idx="114">
                  <c:v>45804</c:v>
                </c:pt>
                <c:pt idx="115">
                  <c:v>45803</c:v>
                </c:pt>
                <c:pt idx="116">
                  <c:v>45802</c:v>
                </c:pt>
                <c:pt idx="117">
                  <c:v>45801</c:v>
                </c:pt>
                <c:pt idx="118">
                  <c:v>45800</c:v>
                </c:pt>
                <c:pt idx="119">
                  <c:v>45799</c:v>
                </c:pt>
                <c:pt idx="120">
                  <c:v>45798</c:v>
                </c:pt>
                <c:pt idx="121">
                  <c:v>45797</c:v>
                </c:pt>
                <c:pt idx="122">
                  <c:v>45796</c:v>
                </c:pt>
                <c:pt idx="123">
                  <c:v>45795</c:v>
                </c:pt>
                <c:pt idx="124">
                  <c:v>45794</c:v>
                </c:pt>
                <c:pt idx="125">
                  <c:v>45793</c:v>
                </c:pt>
                <c:pt idx="126">
                  <c:v>45792</c:v>
                </c:pt>
                <c:pt idx="127">
                  <c:v>45791</c:v>
                </c:pt>
                <c:pt idx="128">
                  <c:v>45790</c:v>
                </c:pt>
                <c:pt idx="129">
                  <c:v>45789</c:v>
                </c:pt>
                <c:pt idx="130">
                  <c:v>45788</c:v>
                </c:pt>
                <c:pt idx="131">
                  <c:v>45787</c:v>
                </c:pt>
                <c:pt idx="132">
                  <c:v>45786</c:v>
                </c:pt>
                <c:pt idx="133">
                  <c:v>45785</c:v>
                </c:pt>
                <c:pt idx="134">
                  <c:v>45784</c:v>
                </c:pt>
                <c:pt idx="135">
                  <c:v>45783</c:v>
                </c:pt>
                <c:pt idx="136">
                  <c:v>45782</c:v>
                </c:pt>
                <c:pt idx="137">
                  <c:v>45781</c:v>
                </c:pt>
                <c:pt idx="138">
                  <c:v>45780</c:v>
                </c:pt>
                <c:pt idx="139">
                  <c:v>45779</c:v>
                </c:pt>
                <c:pt idx="140">
                  <c:v>45778</c:v>
                </c:pt>
                <c:pt idx="141">
                  <c:v>45777</c:v>
                </c:pt>
                <c:pt idx="142">
                  <c:v>45776</c:v>
                </c:pt>
                <c:pt idx="143">
                  <c:v>45775</c:v>
                </c:pt>
                <c:pt idx="144">
                  <c:v>45774</c:v>
                </c:pt>
                <c:pt idx="145">
                  <c:v>45773</c:v>
                </c:pt>
                <c:pt idx="146">
                  <c:v>45772</c:v>
                </c:pt>
                <c:pt idx="147">
                  <c:v>45771</c:v>
                </c:pt>
                <c:pt idx="148">
                  <c:v>45770</c:v>
                </c:pt>
                <c:pt idx="149">
                  <c:v>45769</c:v>
                </c:pt>
                <c:pt idx="150">
                  <c:v>45768</c:v>
                </c:pt>
                <c:pt idx="151">
                  <c:v>45767</c:v>
                </c:pt>
                <c:pt idx="152">
                  <c:v>45766</c:v>
                </c:pt>
                <c:pt idx="153">
                  <c:v>45765</c:v>
                </c:pt>
                <c:pt idx="154">
                  <c:v>45764</c:v>
                </c:pt>
                <c:pt idx="155">
                  <c:v>45763</c:v>
                </c:pt>
                <c:pt idx="156">
                  <c:v>45762</c:v>
                </c:pt>
                <c:pt idx="157">
                  <c:v>45761</c:v>
                </c:pt>
                <c:pt idx="158">
                  <c:v>45760</c:v>
                </c:pt>
                <c:pt idx="159">
                  <c:v>45759</c:v>
                </c:pt>
                <c:pt idx="160">
                  <c:v>45758</c:v>
                </c:pt>
                <c:pt idx="161">
                  <c:v>45757</c:v>
                </c:pt>
                <c:pt idx="162">
                  <c:v>45756</c:v>
                </c:pt>
                <c:pt idx="163">
                  <c:v>45755</c:v>
                </c:pt>
                <c:pt idx="164">
                  <c:v>45754</c:v>
                </c:pt>
                <c:pt idx="165">
                  <c:v>45753</c:v>
                </c:pt>
                <c:pt idx="166">
                  <c:v>45752</c:v>
                </c:pt>
                <c:pt idx="167">
                  <c:v>45751</c:v>
                </c:pt>
                <c:pt idx="168">
                  <c:v>45750</c:v>
                </c:pt>
                <c:pt idx="169">
                  <c:v>45749</c:v>
                </c:pt>
                <c:pt idx="170">
                  <c:v>45748</c:v>
                </c:pt>
                <c:pt idx="171">
                  <c:v>45747</c:v>
                </c:pt>
                <c:pt idx="172">
                  <c:v>45746</c:v>
                </c:pt>
                <c:pt idx="173">
                  <c:v>45745</c:v>
                </c:pt>
                <c:pt idx="174">
                  <c:v>45744</c:v>
                </c:pt>
                <c:pt idx="175">
                  <c:v>45743</c:v>
                </c:pt>
                <c:pt idx="176">
                  <c:v>45742</c:v>
                </c:pt>
                <c:pt idx="177">
                  <c:v>45741</c:v>
                </c:pt>
                <c:pt idx="178">
                  <c:v>45740</c:v>
                </c:pt>
                <c:pt idx="179">
                  <c:v>45739</c:v>
                </c:pt>
                <c:pt idx="180">
                  <c:v>45738</c:v>
                </c:pt>
                <c:pt idx="181">
                  <c:v>45737</c:v>
                </c:pt>
                <c:pt idx="182">
                  <c:v>45736</c:v>
                </c:pt>
                <c:pt idx="183">
                  <c:v>45735</c:v>
                </c:pt>
                <c:pt idx="184">
                  <c:v>45734</c:v>
                </c:pt>
                <c:pt idx="185">
                  <c:v>45733</c:v>
                </c:pt>
                <c:pt idx="186">
                  <c:v>45732</c:v>
                </c:pt>
                <c:pt idx="187">
                  <c:v>45731</c:v>
                </c:pt>
                <c:pt idx="188">
                  <c:v>45730</c:v>
                </c:pt>
                <c:pt idx="189">
                  <c:v>45729</c:v>
                </c:pt>
                <c:pt idx="190">
                  <c:v>45728</c:v>
                </c:pt>
                <c:pt idx="191">
                  <c:v>45727</c:v>
                </c:pt>
                <c:pt idx="192">
                  <c:v>45726</c:v>
                </c:pt>
                <c:pt idx="193">
                  <c:v>45725</c:v>
                </c:pt>
                <c:pt idx="194">
                  <c:v>45724</c:v>
                </c:pt>
                <c:pt idx="195">
                  <c:v>45723</c:v>
                </c:pt>
                <c:pt idx="196">
                  <c:v>45722</c:v>
                </c:pt>
                <c:pt idx="197">
                  <c:v>45721</c:v>
                </c:pt>
                <c:pt idx="198">
                  <c:v>45720</c:v>
                </c:pt>
                <c:pt idx="199">
                  <c:v>45719</c:v>
                </c:pt>
                <c:pt idx="200">
                  <c:v>45718</c:v>
                </c:pt>
                <c:pt idx="201">
                  <c:v>45717</c:v>
                </c:pt>
                <c:pt idx="202">
                  <c:v>45716</c:v>
                </c:pt>
                <c:pt idx="203">
                  <c:v>45715</c:v>
                </c:pt>
                <c:pt idx="204">
                  <c:v>45714</c:v>
                </c:pt>
                <c:pt idx="205">
                  <c:v>45713</c:v>
                </c:pt>
                <c:pt idx="206">
                  <c:v>45712</c:v>
                </c:pt>
                <c:pt idx="207">
                  <c:v>45711</c:v>
                </c:pt>
                <c:pt idx="208">
                  <c:v>45710</c:v>
                </c:pt>
                <c:pt idx="209">
                  <c:v>45709</c:v>
                </c:pt>
                <c:pt idx="210">
                  <c:v>45708</c:v>
                </c:pt>
                <c:pt idx="211">
                  <c:v>45707</c:v>
                </c:pt>
                <c:pt idx="212">
                  <c:v>45706</c:v>
                </c:pt>
                <c:pt idx="213">
                  <c:v>45705</c:v>
                </c:pt>
                <c:pt idx="214">
                  <c:v>45704</c:v>
                </c:pt>
                <c:pt idx="215">
                  <c:v>45703</c:v>
                </c:pt>
                <c:pt idx="216">
                  <c:v>45702</c:v>
                </c:pt>
                <c:pt idx="217">
                  <c:v>45701</c:v>
                </c:pt>
                <c:pt idx="218">
                  <c:v>45700</c:v>
                </c:pt>
                <c:pt idx="219">
                  <c:v>45699</c:v>
                </c:pt>
                <c:pt idx="220">
                  <c:v>45698</c:v>
                </c:pt>
                <c:pt idx="221">
                  <c:v>45697</c:v>
                </c:pt>
                <c:pt idx="222">
                  <c:v>45696</c:v>
                </c:pt>
                <c:pt idx="223">
                  <c:v>45695</c:v>
                </c:pt>
                <c:pt idx="224">
                  <c:v>45694</c:v>
                </c:pt>
                <c:pt idx="225">
                  <c:v>45693</c:v>
                </c:pt>
                <c:pt idx="226">
                  <c:v>45692</c:v>
                </c:pt>
                <c:pt idx="227">
                  <c:v>45691</c:v>
                </c:pt>
                <c:pt idx="228">
                  <c:v>45690</c:v>
                </c:pt>
                <c:pt idx="229">
                  <c:v>45689</c:v>
                </c:pt>
                <c:pt idx="230">
                  <c:v>45688</c:v>
                </c:pt>
                <c:pt idx="231">
                  <c:v>45687</c:v>
                </c:pt>
                <c:pt idx="232">
                  <c:v>45686</c:v>
                </c:pt>
                <c:pt idx="233">
                  <c:v>45685</c:v>
                </c:pt>
                <c:pt idx="234">
                  <c:v>45684</c:v>
                </c:pt>
                <c:pt idx="235">
                  <c:v>45683</c:v>
                </c:pt>
                <c:pt idx="236">
                  <c:v>45682</c:v>
                </c:pt>
                <c:pt idx="237">
                  <c:v>45681</c:v>
                </c:pt>
                <c:pt idx="238">
                  <c:v>45680</c:v>
                </c:pt>
                <c:pt idx="239">
                  <c:v>45679</c:v>
                </c:pt>
                <c:pt idx="240">
                  <c:v>45678</c:v>
                </c:pt>
                <c:pt idx="241">
                  <c:v>45677</c:v>
                </c:pt>
                <c:pt idx="242">
                  <c:v>45676</c:v>
                </c:pt>
                <c:pt idx="243">
                  <c:v>45675</c:v>
                </c:pt>
                <c:pt idx="244">
                  <c:v>45674</c:v>
                </c:pt>
                <c:pt idx="245">
                  <c:v>45673</c:v>
                </c:pt>
                <c:pt idx="246">
                  <c:v>45672</c:v>
                </c:pt>
                <c:pt idx="247">
                  <c:v>45671</c:v>
                </c:pt>
                <c:pt idx="248">
                  <c:v>45670</c:v>
                </c:pt>
                <c:pt idx="249">
                  <c:v>45669</c:v>
                </c:pt>
                <c:pt idx="250">
                  <c:v>45668</c:v>
                </c:pt>
                <c:pt idx="251">
                  <c:v>45667</c:v>
                </c:pt>
                <c:pt idx="252">
                  <c:v>45666</c:v>
                </c:pt>
                <c:pt idx="253">
                  <c:v>45665</c:v>
                </c:pt>
                <c:pt idx="254">
                  <c:v>45664</c:v>
                </c:pt>
                <c:pt idx="255">
                  <c:v>45663</c:v>
                </c:pt>
                <c:pt idx="256">
                  <c:v>45662</c:v>
                </c:pt>
                <c:pt idx="257">
                  <c:v>45661</c:v>
                </c:pt>
                <c:pt idx="258">
                  <c:v>45660</c:v>
                </c:pt>
                <c:pt idx="259">
                  <c:v>45659</c:v>
                </c:pt>
                <c:pt idx="260">
                  <c:v>45658</c:v>
                </c:pt>
                <c:pt idx="261">
                  <c:v>45657</c:v>
                </c:pt>
                <c:pt idx="262">
                  <c:v>45656</c:v>
                </c:pt>
                <c:pt idx="263">
                  <c:v>45655</c:v>
                </c:pt>
                <c:pt idx="264">
                  <c:v>45654</c:v>
                </c:pt>
                <c:pt idx="265">
                  <c:v>45653</c:v>
                </c:pt>
                <c:pt idx="266">
                  <c:v>45652</c:v>
                </c:pt>
                <c:pt idx="267">
                  <c:v>45651</c:v>
                </c:pt>
                <c:pt idx="268">
                  <c:v>45650</c:v>
                </c:pt>
                <c:pt idx="269">
                  <c:v>45649</c:v>
                </c:pt>
                <c:pt idx="270">
                  <c:v>45648</c:v>
                </c:pt>
                <c:pt idx="271">
                  <c:v>45647</c:v>
                </c:pt>
                <c:pt idx="272">
                  <c:v>45646</c:v>
                </c:pt>
                <c:pt idx="273">
                  <c:v>45645</c:v>
                </c:pt>
                <c:pt idx="274">
                  <c:v>45644</c:v>
                </c:pt>
                <c:pt idx="275">
                  <c:v>45643</c:v>
                </c:pt>
                <c:pt idx="276">
                  <c:v>45642</c:v>
                </c:pt>
                <c:pt idx="277">
                  <c:v>45641</c:v>
                </c:pt>
                <c:pt idx="278">
                  <c:v>45640</c:v>
                </c:pt>
                <c:pt idx="279">
                  <c:v>45639</c:v>
                </c:pt>
                <c:pt idx="280">
                  <c:v>45638</c:v>
                </c:pt>
                <c:pt idx="281">
                  <c:v>45637</c:v>
                </c:pt>
                <c:pt idx="282">
                  <c:v>45636</c:v>
                </c:pt>
                <c:pt idx="283">
                  <c:v>45635</c:v>
                </c:pt>
                <c:pt idx="284">
                  <c:v>45634</c:v>
                </c:pt>
                <c:pt idx="285">
                  <c:v>45633</c:v>
                </c:pt>
                <c:pt idx="286">
                  <c:v>45632</c:v>
                </c:pt>
                <c:pt idx="287">
                  <c:v>45631</c:v>
                </c:pt>
                <c:pt idx="288">
                  <c:v>45630</c:v>
                </c:pt>
                <c:pt idx="289">
                  <c:v>45629</c:v>
                </c:pt>
                <c:pt idx="290">
                  <c:v>45628</c:v>
                </c:pt>
                <c:pt idx="291">
                  <c:v>45627</c:v>
                </c:pt>
                <c:pt idx="292">
                  <c:v>45626</c:v>
                </c:pt>
                <c:pt idx="293">
                  <c:v>45625</c:v>
                </c:pt>
                <c:pt idx="294">
                  <c:v>45624</c:v>
                </c:pt>
                <c:pt idx="295">
                  <c:v>45623</c:v>
                </c:pt>
                <c:pt idx="296">
                  <c:v>45622</c:v>
                </c:pt>
                <c:pt idx="297">
                  <c:v>45621</c:v>
                </c:pt>
                <c:pt idx="298">
                  <c:v>45620</c:v>
                </c:pt>
                <c:pt idx="299">
                  <c:v>45619</c:v>
                </c:pt>
                <c:pt idx="300">
                  <c:v>45618</c:v>
                </c:pt>
                <c:pt idx="301">
                  <c:v>45617</c:v>
                </c:pt>
                <c:pt idx="302">
                  <c:v>45616</c:v>
                </c:pt>
                <c:pt idx="303">
                  <c:v>45615</c:v>
                </c:pt>
                <c:pt idx="304">
                  <c:v>45614</c:v>
                </c:pt>
                <c:pt idx="305">
                  <c:v>45613</c:v>
                </c:pt>
                <c:pt idx="306">
                  <c:v>45612</c:v>
                </c:pt>
                <c:pt idx="307">
                  <c:v>45611</c:v>
                </c:pt>
                <c:pt idx="308">
                  <c:v>45610</c:v>
                </c:pt>
                <c:pt idx="309">
                  <c:v>45609</c:v>
                </c:pt>
                <c:pt idx="310">
                  <c:v>45608</c:v>
                </c:pt>
                <c:pt idx="311">
                  <c:v>45607</c:v>
                </c:pt>
                <c:pt idx="312">
                  <c:v>45606</c:v>
                </c:pt>
                <c:pt idx="313">
                  <c:v>45605</c:v>
                </c:pt>
                <c:pt idx="314">
                  <c:v>45604</c:v>
                </c:pt>
                <c:pt idx="315">
                  <c:v>45603</c:v>
                </c:pt>
                <c:pt idx="316">
                  <c:v>45602</c:v>
                </c:pt>
                <c:pt idx="317">
                  <c:v>45601</c:v>
                </c:pt>
                <c:pt idx="318">
                  <c:v>45600</c:v>
                </c:pt>
                <c:pt idx="319">
                  <c:v>45599</c:v>
                </c:pt>
                <c:pt idx="320">
                  <c:v>45598</c:v>
                </c:pt>
                <c:pt idx="321">
                  <c:v>45597</c:v>
                </c:pt>
                <c:pt idx="322">
                  <c:v>45596</c:v>
                </c:pt>
                <c:pt idx="323">
                  <c:v>45595</c:v>
                </c:pt>
                <c:pt idx="324">
                  <c:v>45594</c:v>
                </c:pt>
                <c:pt idx="325">
                  <c:v>45593</c:v>
                </c:pt>
                <c:pt idx="326">
                  <c:v>45592</c:v>
                </c:pt>
                <c:pt idx="327">
                  <c:v>45591</c:v>
                </c:pt>
                <c:pt idx="328">
                  <c:v>45590</c:v>
                </c:pt>
                <c:pt idx="329">
                  <c:v>45589</c:v>
                </c:pt>
                <c:pt idx="330">
                  <c:v>45588</c:v>
                </c:pt>
                <c:pt idx="331">
                  <c:v>45587</c:v>
                </c:pt>
                <c:pt idx="332">
                  <c:v>45586</c:v>
                </c:pt>
                <c:pt idx="333">
                  <c:v>45585</c:v>
                </c:pt>
                <c:pt idx="334">
                  <c:v>45584</c:v>
                </c:pt>
                <c:pt idx="335">
                  <c:v>45583</c:v>
                </c:pt>
                <c:pt idx="336">
                  <c:v>45582</c:v>
                </c:pt>
                <c:pt idx="337">
                  <c:v>45581</c:v>
                </c:pt>
                <c:pt idx="338">
                  <c:v>45580</c:v>
                </c:pt>
                <c:pt idx="339">
                  <c:v>45579</c:v>
                </c:pt>
                <c:pt idx="340">
                  <c:v>45578</c:v>
                </c:pt>
                <c:pt idx="341">
                  <c:v>45577</c:v>
                </c:pt>
                <c:pt idx="342">
                  <c:v>45576</c:v>
                </c:pt>
                <c:pt idx="343">
                  <c:v>45575</c:v>
                </c:pt>
                <c:pt idx="344">
                  <c:v>45574</c:v>
                </c:pt>
                <c:pt idx="345">
                  <c:v>45573</c:v>
                </c:pt>
                <c:pt idx="346">
                  <c:v>45572</c:v>
                </c:pt>
                <c:pt idx="347">
                  <c:v>45571</c:v>
                </c:pt>
                <c:pt idx="348">
                  <c:v>45570</c:v>
                </c:pt>
                <c:pt idx="349">
                  <c:v>45569</c:v>
                </c:pt>
                <c:pt idx="350">
                  <c:v>45568</c:v>
                </c:pt>
                <c:pt idx="351">
                  <c:v>45567</c:v>
                </c:pt>
                <c:pt idx="352">
                  <c:v>45566</c:v>
                </c:pt>
                <c:pt idx="353">
                  <c:v>45565</c:v>
                </c:pt>
                <c:pt idx="354">
                  <c:v>45564</c:v>
                </c:pt>
                <c:pt idx="355">
                  <c:v>45563</c:v>
                </c:pt>
                <c:pt idx="356">
                  <c:v>45562</c:v>
                </c:pt>
                <c:pt idx="357">
                  <c:v>45561</c:v>
                </c:pt>
                <c:pt idx="358">
                  <c:v>45560</c:v>
                </c:pt>
                <c:pt idx="359">
                  <c:v>45559</c:v>
                </c:pt>
                <c:pt idx="360">
                  <c:v>45558</c:v>
                </c:pt>
                <c:pt idx="361">
                  <c:v>45557</c:v>
                </c:pt>
                <c:pt idx="362">
                  <c:v>45556</c:v>
                </c:pt>
                <c:pt idx="363">
                  <c:v>45555</c:v>
                </c:pt>
                <c:pt idx="364">
                  <c:v>45554</c:v>
                </c:pt>
                <c:pt idx="365">
                  <c:v>45553</c:v>
                </c:pt>
                <c:pt idx="366">
                  <c:v>45552</c:v>
                </c:pt>
                <c:pt idx="367">
                  <c:v>45551</c:v>
                </c:pt>
                <c:pt idx="368">
                  <c:v>45550</c:v>
                </c:pt>
                <c:pt idx="369">
                  <c:v>45549</c:v>
                </c:pt>
                <c:pt idx="370">
                  <c:v>45548</c:v>
                </c:pt>
                <c:pt idx="371">
                  <c:v>45547</c:v>
                </c:pt>
                <c:pt idx="372">
                  <c:v>45546</c:v>
                </c:pt>
                <c:pt idx="373">
                  <c:v>45545</c:v>
                </c:pt>
                <c:pt idx="374">
                  <c:v>45544</c:v>
                </c:pt>
                <c:pt idx="375">
                  <c:v>45543</c:v>
                </c:pt>
                <c:pt idx="376">
                  <c:v>45542</c:v>
                </c:pt>
                <c:pt idx="377">
                  <c:v>45541</c:v>
                </c:pt>
                <c:pt idx="378">
                  <c:v>45540</c:v>
                </c:pt>
                <c:pt idx="379">
                  <c:v>45539</c:v>
                </c:pt>
                <c:pt idx="380">
                  <c:v>45538</c:v>
                </c:pt>
                <c:pt idx="381">
                  <c:v>45537</c:v>
                </c:pt>
                <c:pt idx="382">
                  <c:v>45536</c:v>
                </c:pt>
                <c:pt idx="383">
                  <c:v>45535</c:v>
                </c:pt>
                <c:pt idx="384">
                  <c:v>45534</c:v>
                </c:pt>
                <c:pt idx="385">
                  <c:v>45533</c:v>
                </c:pt>
                <c:pt idx="386">
                  <c:v>45532</c:v>
                </c:pt>
                <c:pt idx="387">
                  <c:v>45531</c:v>
                </c:pt>
                <c:pt idx="388">
                  <c:v>45530</c:v>
                </c:pt>
                <c:pt idx="389">
                  <c:v>45529</c:v>
                </c:pt>
                <c:pt idx="390">
                  <c:v>45528</c:v>
                </c:pt>
                <c:pt idx="391">
                  <c:v>45527</c:v>
                </c:pt>
                <c:pt idx="392">
                  <c:v>45526</c:v>
                </c:pt>
                <c:pt idx="393">
                  <c:v>45525</c:v>
                </c:pt>
                <c:pt idx="394">
                  <c:v>45524</c:v>
                </c:pt>
                <c:pt idx="395">
                  <c:v>45523</c:v>
                </c:pt>
                <c:pt idx="396">
                  <c:v>45522</c:v>
                </c:pt>
                <c:pt idx="397">
                  <c:v>45521</c:v>
                </c:pt>
                <c:pt idx="398">
                  <c:v>45520</c:v>
                </c:pt>
                <c:pt idx="399">
                  <c:v>45519</c:v>
                </c:pt>
                <c:pt idx="400">
                  <c:v>45518</c:v>
                </c:pt>
                <c:pt idx="401">
                  <c:v>45517</c:v>
                </c:pt>
                <c:pt idx="402">
                  <c:v>45516</c:v>
                </c:pt>
                <c:pt idx="403">
                  <c:v>45515</c:v>
                </c:pt>
                <c:pt idx="404">
                  <c:v>45514</c:v>
                </c:pt>
                <c:pt idx="405">
                  <c:v>45513</c:v>
                </c:pt>
                <c:pt idx="406">
                  <c:v>45512</c:v>
                </c:pt>
                <c:pt idx="407">
                  <c:v>45511</c:v>
                </c:pt>
                <c:pt idx="408">
                  <c:v>45510</c:v>
                </c:pt>
                <c:pt idx="409">
                  <c:v>45509</c:v>
                </c:pt>
                <c:pt idx="410">
                  <c:v>45508</c:v>
                </c:pt>
                <c:pt idx="411">
                  <c:v>45507</c:v>
                </c:pt>
                <c:pt idx="412">
                  <c:v>45506</c:v>
                </c:pt>
                <c:pt idx="413">
                  <c:v>45505</c:v>
                </c:pt>
                <c:pt idx="414">
                  <c:v>45504</c:v>
                </c:pt>
                <c:pt idx="415">
                  <c:v>45503</c:v>
                </c:pt>
                <c:pt idx="416">
                  <c:v>45502</c:v>
                </c:pt>
                <c:pt idx="417">
                  <c:v>45501</c:v>
                </c:pt>
                <c:pt idx="418">
                  <c:v>45500</c:v>
                </c:pt>
                <c:pt idx="419">
                  <c:v>45499</c:v>
                </c:pt>
                <c:pt idx="420">
                  <c:v>45498</c:v>
                </c:pt>
                <c:pt idx="421">
                  <c:v>45497</c:v>
                </c:pt>
                <c:pt idx="422">
                  <c:v>45496</c:v>
                </c:pt>
                <c:pt idx="423">
                  <c:v>45495</c:v>
                </c:pt>
                <c:pt idx="424">
                  <c:v>45494</c:v>
                </c:pt>
                <c:pt idx="425">
                  <c:v>45493</c:v>
                </c:pt>
                <c:pt idx="426">
                  <c:v>45492</c:v>
                </c:pt>
                <c:pt idx="427">
                  <c:v>45491</c:v>
                </c:pt>
                <c:pt idx="428">
                  <c:v>45490</c:v>
                </c:pt>
                <c:pt idx="429">
                  <c:v>45489</c:v>
                </c:pt>
                <c:pt idx="430">
                  <c:v>45488</c:v>
                </c:pt>
                <c:pt idx="431">
                  <c:v>45487</c:v>
                </c:pt>
                <c:pt idx="432">
                  <c:v>45486</c:v>
                </c:pt>
                <c:pt idx="433">
                  <c:v>45485</c:v>
                </c:pt>
                <c:pt idx="434">
                  <c:v>45484</c:v>
                </c:pt>
                <c:pt idx="435">
                  <c:v>45483</c:v>
                </c:pt>
                <c:pt idx="436">
                  <c:v>45482</c:v>
                </c:pt>
                <c:pt idx="437">
                  <c:v>45481</c:v>
                </c:pt>
                <c:pt idx="438">
                  <c:v>45480</c:v>
                </c:pt>
                <c:pt idx="439">
                  <c:v>45479</c:v>
                </c:pt>
                <c:pt idx="440">
                  <c:v>45478</c:v>
                </c:pt>
                <c:pt idx="441">
                  <c:v>45477</c:v>
                </c:pt>
                <c:pt idx="442">
                  <c:v>45476</c:v>
                </c:pt>
                <c:pt idx="443">
                  <c:v>45475</c:v>
                </c:pt>
                <c:pt idx="444">
                  <c:v>45474</c:v>
                </c:pt>
                <c:pt idx="445">
                  <c:v>45473</c:v>
                </c:pt>
                <c:pt idx="446">
                  <c:v>45472</c:v>
                </c:pt>
                <c:pt idx="447">
                  <c:v>45471</c:v>
                </c:pt>
                <c:pt idx="448">
                  <c:v>45470</c:v>
                </c:pt>
                <c:pt idx="449">
                  <c:v>45469</c:v>
                </c:pt>
                <c:pt idx="450">
                  <c:v>45468</c:v>
                </c:pt>
                <c:pt idx="451">
                  <c:v>45467</c:v>
                </c:pt>
                <c:pt idx="452">
                  <c:v>45466</c:v>
                </c:pt>
                <c:pt idx="453">
                  <c:v>45465</c:v>
                </c:pt>
                <c:pt idx="454">
                  <c:v>45464</c:v>
                </c:pt>
                <c:pt idx="455">
                  <c:v>45463</c:v>
                </c:pt>
                <c:pt idx="456">
                  <c:v>45462</c:v>
                </c:pt>
                <c:pt idx="457">
                  <c:v>45461</c:v>
                </c:pt>
                <c:pt idx="458">
                  <c:v>45460</c:v>
                </c:pt>
                <c:pt idx="459">
                  <c:v>45459</c:v>
                </c:pt>
                <c:pt idx="460">
                  <c:v>45458</c:v>
                </c:pt>
                <c:pt idx="461">
                  <c:v>45457</c:v>
                </c:pt>
                <c:pt idx="462">
                  <c:v>45456</c:v>
                </c:pt>
                <c:pt idx="463">
                  <c:v>45455</c:v>
                </c:pt>
                <c:pt idx="464">
                  <c:v>45454</c:v>
                </c:pt>
                <c:pt idx="465">
                  <c:v>45453</c:v>
                </c:pt>
                <c:pt idx="466">
                  <c:v>45452</c:v>
                </c:pt>
                <c:pt idx="467">
                  <c:v>45451</c:v>
                </c:pt>
                <c:pt idx="468">
                  <c:v>45450</c:v>
                </c:pt>
                <c:pt idx="469">
                  <c:v>45449</c:v>
                </c:pt>
                <c:pt idx="470">
                  <c:v>45448</c:v>
                </c:pt>
                <c:pt idx="471">
                  <c:v>45447</c:v>
                </c:pt>
                <c:pt idx="472">
                  <c:v>45446</c:v>
                </c:pt>
                <c:pt idx="473">
                  <c:v>45445</c:v>
                </c:pt>
                <c:pt idx="474">
                  <c:v>45444</c:v>
                </c:pt>
                <c:pt idx="475">
                  <c:v>45443</c:v>
                </c:pt>
                <c:pt idx="476">
                  <c:v>45442</c:v>
                </c:pt>
                <c:pt idx="477">
                  <c:v>45441</c:v>
                </c:pt>
                <c:pt idx="478">
                  <c:v>45440</c:v>
                </c:pt>
                <c:pt idx="479">
                  <c:v>45439</c:v>
                </c:pt>
                <c:pt idx="480">
                  <c:v>45438</c:v>
                </c:pt>
                <c:pt idx="481">
                  <c:v>45437</c:v>
                </c:pt>
                <c:pt idx="482">
                  <c:v>45436</c:v>
                </c:pt>
                <c:pt idx="483">
                  <c:v>45435</c:v>
                </c:pt>
                <c:pt idx="484">
                  <c:v>45434</c:v>
                </c:pt>
                <c:pt idx="485">
                  <c:v>45433</c:v>
                </c:pt>
                <c:pt idx="486">
                  <c:v>45432</c:v>
                </c:pt>
                <c:pt idx="487">
                  <c:v>45431</c:v>
                </c:pt>
                <c:pt idx="488">
                  <c:v>45430</c:v>
                </c:pt>
                <c:pt idx="489">
                  <c:v>45429</c:v>
                </c:pt>
                <c:pt idx="490">
                  <c:v>45428</c:v>
                </c:pt>
                <c:pt idx="491">
                  <c:v>45427</c:v>
                </c:pt>
                <c:pt idx="492">
                  <c:v>45426</c:v>
                </c:pt>
                <c:pt idx="493">
                  <c:v>45425</c:v>
                </c:pt>
                <c:pt idx="494">
                  <c:v>45424</c:v>
                </c:pt>
                <c:pt idx="495">
                  <c:v>45423</c:v>
                </c:pt>
                <c:pt idx="496">
                  <c:v>45422</c:v>
                </c:pt>
                <c:pt idx="497">
                  <c:v>45421</c:v>
                </c:pt>
                <c:pt idx="498">
                  <c:v>45420</c:v>
                </c:pt>
                <c:pt idx="499">
                  <c:v>45419</c:v>
                </c:pt>
                <c:pt idx="500">
                  <c:v>45418</c:v>
                </c:pt>
                <c:pt idx="501">
                  <c:v>45417</c:v>
                </c:pt>
                <c:pt idx="502">
                  <c:v>45416</c:v>
                </c:pt>
                <c:pt idx="503">
                  <c:v>45415</c:v>
                </c:pt>
                <c:pt idx="504">
                  <c:v>45414</c:v>
                </c:pt>
                <c:pt idx="505">
                  <c:v>45413</c:v>
                </c:pt>
                <c:pt idx="506">
                  <c:v>45412</c:v>
                </c:pt>
                <c:pt idx="507">
                  <c:v>45411</c:v>
                </c:pt>
                <c:pt idx="508">
                  <c:v>45410</c:v>
                </c:pt>
                <c:pt idx="509">
                  <c:v>45409</c:v>
                </c:pt>
                <c:pt idx="510">
                  <c:v>45408</c:v>
                </c:pt>
                <c:pt idx="511">
                  <c:v>45407</c:v>
                </c:pt>
                <c:pt idx="512">
                  <c:v>45406</c:v>
                </c:pt>
                <c:pt idx="513">
                  <c:v>45405</c:v>
                </c:pt>
                <c:pt idx="514">
                  <c:v>45404</c:v>
                </c:pt>
                <c:pt idx="515">
                  <c:v>45403</c:v>
                </c:pt>
                <c:pt idx="516">
                  <c:v>45402</c:v>
                </c:pt>
                <c:pt idx="517">
                  <c:v>45401</c:v>
                </c:pt>
                <c:pt idx="518">
                  <c:v>45400</c:v>
                </c:pt>
                <c:pt idx="519">
                  <c:v>45399</c:v>
                </c:pt>
                <c:pt idx="520">
                  <c:v>45398</c:v>
                </c:pt>
                <c:pt idx="521">
                  <c:v>45397</c:v>
                </c:pt>
                <c:pt idx="522">
                  <c:v>45396</c:v>
                </c:pt>
                <c:pt idx="523">
                  <c:v>45395</c:v>
                </c:pt>
                <c:pt idx="524">
                  <c:v>45394</c:v>
                </c:pt>
                <c:pt idx="525">
                  <c:v>45393</c:v>
                </c:pt>
                <c:pt idx="526">
                  <c:v>45392</c:v>
                </c:pt>
                <c:pt idx="527">
                  <c:v>45391</c:v>
                </c:pt>
                <c:pt idx="528">
                  <c:v>45390</c:v>
                </c:pt>
                <c:pt idx="529">
                  <c:v>45389</c:v>
                </c:pt>
                <c:pt idx="530">
                  <c:v>45388</c:v>
                </c:pt>
                <c:pt idx="531">
                  <c:v>45387</c:v>
                </c:pt>
                <c:pt idx="532">
                  <c:v>45386</c:v>
                </c:pt>
                <c:pt idx="533">
                  <c:v>45385</c:v>
                </c:pt>
                <c:pt idx="534">
                  <c:v>45384</c:v>
                </c:pt>
                <c:pt idx="535">
                  <c:v>45383</c:v>
                </c:pt>
                <c:pt idx="536">
                  <c:v>45382</c:v>
                </c:pt>
                <c:pt idx="537">
                  <c:v>45381</c:v>
                </c:pt>
                <c:pt idx="538">
                  <c:v>45380</c:v>
                </c:pt>
                <c:pt idx="539">
                  <c:v>45379</c:v>
                </c:pt>
                <c:pt idx="540">
                  <c:v>45378</c:v>
                </c:pt>
                <c:pt idx="541">
                  <c:v>45377</c:v>
                </c:pt>
                <c:pt idx="542">
                  <c:v>45376</c:v>
                </c:pt>
                <c:pt idx="543">
                  <c:v>45375</c:v>
                </c:pt>
                <c:pt idx="544">
                  <c:v>45374</c:v>
                </c:pt>
                <c:pt idx="545">
                  <c:v>45373</c:v>
                </c:pt>
                <c:pt idx="546">
                  <c:v>45372</c:v>
                </c:pt>
                <c:pt idx="547">
                  <c:v>45371</c:v>
                </c:pt>
                <c:pt idx="548">
                  <c:v>45370</c:v>
                </c:pt>
                <c:pt idx="549">
                  <c:v>45369</c:v>
                </c:pt>
                <c:pt idx="550">
                  <c:v>45368</c:v>
                </c:pt>
                <c:pt idx="551">
                  <c:v>45367</c:v>
                </c:pt>
                <c:pt idx="552">
                  <c:v>45366</c:v>
                </c:pt>
                <c:pt idx="553">
                  <c:v>45365</c:v>
                </c:pt>
                <c:pt idx="554">
                  <c:v>45364</c:v>
                </c:pt>
                <c:pt idx="555">
                  <c:v>45363</c:v>
                </c:pt>
                <c:pt idx="556">
                  <c:v>45362</c:v>
                </c:pt>
                <c:pt idx="557">
                  <c:v>45361</c:v>
                </c:pt>
                <c:pt idx="558">
                  <c:v>45360</c:v>
                </c:pt>
                <c:pt idx="559">
                  <c:v>45359</c:v>
                </c:pt>
                <c:pt idx="560">
                  <c:v>45358</c:v>
                </c:pt>
                <c:pt idx="561">
                  <c:v>45357</c:v>
                </c:pt>
                <c:pt idx="562">
                  <c:v>45356</c:v>
                </c:pt>
                <c:pt idx="563">
                  <c:v>45355</c:v>
                </c:pt>
                <c:pt idx="564">
                  <c:v>45354</c:v>
                </c:pt>
                <c:pt idx="565">
                  <c:v>45353</c:v>
                </c:pt>
                <c:pt idx="566">
                  <c:v>45352</c:v>
                </c:pt>
                <c:pt idx="567">
                  <c:v>45351</c:v>
                </c:pt>
                <c:pt idx="568">
                  <c:v>45350</c:v>
                </c:pt>
                <c:pt idx="569">
                  <c:v>45349</c:v>
                </c:pt>
                <c:pt idx="570">
                  <c:v>45348</c:v>
                </c:pt>
                <c:pt idx="571">
                  <c:v>45347</c:v>
                </c:pt>
                <c:pt idx="572">
                  <c:v>45346</c:v>
                </c:pt>
                <c:pt idx="573">
                  <c:v>45345</c:v>
                </c:pt>
                <c:pt idx="574">
                  <c:v>45344</c:v>
                </c:pt>
                <c:pt idx="575">
                  <c:v>45343</c:v>
                </c:pt>
                <c:pt idx="576">
                  <c:v>45342</c:v>
                </c:pt>
                <c:pt idx="577">
                  <c:v>45341</c:v>
                </c:pt>
                <c:pt idx="578">
                  <c:v>45340</c:v>
                </c:pt>
                <c:pt idx="579">
                  <c:v>45339</c:v>
                </c:pt>
                <c:pt idx="580">
                  <c:v>45338</c:v>
                </c:pt>
                <c:pt idx="581">
                  <c:v>45337</c:v>
                </c:pt>
                <c:pt idx="582">
                  <c:v>45336</c:v>
                </c:pt>
                <c:pt idx="583">
                  <c:v>45335</c:v>
                </c:pt>
                <c:pt idx="584">
                  <c:v>45334</c:v>
                </c:pt>
                <c:pt idx="585">
                  <c:v>45333</c:v>
                </c:pt>
                <c:pt idx="586">
                  <c:v>45332</c:v>
                </c:pt>
                <c:pt idx="587">
                  <c:v>45331</c:v>
                </c:pt>
                <c:pt idx="588">
                  <c:v>45330</c:v>
                </c:pt>
                <c:pt idx="589">
                  <c:v>45329</c:v>
                </c:pt>
                <c:pt idx="590">
                  <c:v>45328</c:v>
                </c:pt>
                <c:pt idx="591">
                  <c:v>45327</c:v>
                </c:pt>
                <c:pt idx="592">
                  <c:v>45326</c:v>
                </c:pt>
                <c:pt idx="593">
                  <c:v>45325</c:v>
                </c:pt>
                <c:pt idx="594">
                  <c:v>45324</c:v>
                </c:pt>
                <c:pt idx="595">
                  <c:v>45323</c:v>
                </c:pt>
                <c:pt idx="596">
                  <c:v>45322</c:v>
                </c:pt>
                <c:pt idx="597">
                  <c:v>45321</c:v>
                </c:pt>
                <c:pt idx="598">
                  <c:v>45320</c:v>
                </c:pt>
                <c:pt idx="599">
                  <c:v>45319</c:v>
                </c:pt>
                <c:pt idx="600">
                  <c:v>45318</c:v>
                </c:pt>
                <c:pt idx="601">
                  <c:v>45317</c:v>
                </c:pt>
                <c:pt idx="602">
                  <c:v>45316</c:v>
                </c:pt>
                <c:pt idx="603">
                  <c:v>45315</c:v>
                </c:pt>
                <c:pt idx="604">
                  <c:v>45314</c:v>
                </c:pt>
                <c:pt idx="605">
                  <c:v>45313</c:v>
                </c:pt>
                <c:pt idx="606">
                  <c:v>45312</c:v>
                </c:pt>
                <c:pt idx="607">
                  <c:v>45311</c:v>
                </c:pt>
                <c:pt idx="608">
                  <c:v>45310</c:v>
                </c:pt>
                <c:pt idx="609">
                  <c:v>45309</c:v>
                </c:pt>
                <c:pt idx="610">
                  <c:v>45308</c:v>
                </c:pt>
                <c:pt idx="611">
                  <c:v>45307</c:v>
                </c:pt>
                <c:pt idx="612">
                  <c:v>45306</c:v>
                </c:pt>
                <c:pt idx="613">
                  <c:v>45305</c:v>
                </c:pt>
                <c:pt idx="614">
                  <c:v>45304</c:v>
                </c:pt>
                <c:pt idx="615">
                  <c:v>45303</c:v>
                </c:pt>
                <c:pt idx="616">
                  <c:v>45302</c:v>
                </c:pt>
                <c:pt idx="617">
                  <c:v>45301</c:v>
                </c:pt>
                <c:pt idx="618">
                  <c:v>45300</c:v>
                </c:pt>
                <c:pt idx="619">
                  <c:v>45299</c:v>
                </c:pt>
                <c:pt idx="620">
                  <c:v>45298</c:v>
                </c:pt>
                <c:pt idx="621">
                  <c:v>45297</c:v>
                </c:pt>
                <c:pt idx="622">
                  <c:v>45296</c:v>
                </c:pt>
                <c:pt idx="623">
                  <c:v>45295</c:v>
                </c:pt>
                <c:pt idx="624">
                  <c:v>45294</c:v>
                </c:pt>
                <c:pt idx="625">
                  <c:v>45293</c:v>
                </c:pt>
                <c:pt idx="626">
                  <c:v>45292</c:v>
                </c:pt>
                <c:pt idx="627">
                  <c:v>45291</c:v>
                </c:pt>
                <c:pt idx="628">
                  <c:v>45290</c:v>
                </c:pt>
                <c:pt idx="629">
                  <c:v>45289</c:v>
                </c:pt>
                <c:pt idx="630">
                  <c:v>45288</c:v>
                </c:pt>
                <c:pt idx="631">
                  <c:v>45287</c:v>
                </c:pt>
                <c:pt idx="632">
                  <c:v>45286</c:v>
                </c:pt>
                <c:pt idx="633">
                  <c:v>45285</c:v>
                </c:pt>
                <c:pt idx="634">
                  <c:v>45284</c:v>
                </c:pt>
                <c:pt idx="635">
                  <c:v>45283</c:v>
                </c:pt>
                <c:pt idx="636">
                  <c:v>45282</c:v>
                </c:pt>
                <c:pt idx="637">
                  <c:v>45281</c:v>
                </c:pt>
                <c:pt idx="638">
                  <c:v>45280</c:v>
                </c:pt>
                <c:pt idx="639">
                  <c:v>45279</c:v>
                </c:pt>
                <c:pt idx="640">
                  <c:v>45278</c:v>
                </c:pt>
                <c:pt idx="641">
                  <c:v>45277</c:v>
                </c:pt>
                <c:pt idx="642">
                  <c:v>45276</c:v>
                </c:pt>
                <c:pt idx="643">
                  <c:v>45275</c:v>
                </c:pt>
                <c:pt idx="644">
                  <c:v>45274</c:v>
                </c:pt>
                <c:pt idx="645">
                  <c:v>45273</c:v>
                </c:pt>
                <c:pt idx="646">
                  <c:v>45272</c:v>
                </c:pt>
                <c:pt idx="647">
                  <c:v>45271</c:v>
                </c:pt>
                <c:pt idx="648">
                  <c:v>45270</c:v>
                </c:pt>
                <c:pt idx="649">
                  <c:v>45269</c:v>
                </c:pt>
                <c:pt idx="650">
                  <c:v>45268</c:v>
                </c:pt>
                <c:pt idx="651">
                  <c:v>45267</c:v>
                </c:pt>
                <c:pt idx="652">
                  <c:v>45266</c:v>
                </c:pt>
                <c:pt idx="653">
                  <c:v>45265</c:v>
                </c:pt>
                <c:pt idx="654">
                  <c:v>45264</c:v>
                </c:pt>
                <c:pt idx="655">
                  <c:v>45263</c:v>
                </c:pt>
                <c:pt idx="656">
                  <c:v>45262</c:v>
                </c:pt>
                <c:pt idx="657">
                  <c:v>45261</c:v>
                </c:pt>
                <c:pt idx="658">
                  <c:v>45260</c:v>
                </c:pt>
                <c:pt idx="659">
                  <c:v>45259</c:v>
                </c:pt>
                <c:pt idx="660">
                  <c:v>45258</c:v>
                </c:pt>
                <c:pt idx="661">
                  <c:v>45257</c:v>
                </c:pt>
                <c:pt idx="662">
                  <c:v>45256</c:v>
                </c:pt>
                <c:pt idx="663">
                  <c:v>45255</c:v>
                </c:pt>
                <c:pt idx="664">
                  <c:v>45254</c:v>
                </c:pt>
                <c:pt idx="665">
                  <c:v>45253</c:v>
                </c:pt>
                <c:pt idx="666">
                  <c:v>45252</c:v>
                </c:pt>
                <c:pt idx="667">
                  <c:v>45251</c:v>
                </c:pt>
                <c:pt idx="668">
                  <c:v>45250</c:v>
                </c:pt>
                <c:pt idx="669">
                  <c:v>45249</c:v>
                </c:pt>
                <c:pt idx="670">
                  <c:v>45248</c:v>
                </c:pt>
                <c:pt idx="671">
                  <c:v>45247</c:v>
                </c:pt>
                <c:pt idx="672">
                  <c:v>45246</c:v>
                </c:pt>
                <c:pt idx="673">
                  <c:v>45245</c:v>
                </c:pt>
                <c:pt idx="674">
                  <c:v>45244</c:v>
                </c:pt>
                <c:pt idx="675">
                  <c:v>45243</c:v>
                </c:pt>
                <c:pt idx="676">
                  <c:v>45242</c:v>
                </c:pt>
                <c:pt idx="677">
                  <c:v>45241</c:v>
                </c:pt>
                <c:pt idx="678">
                  <c:v>45240</c:v>
                </c:pt>
                <c:pt idx="679">
                  <c:v>45239</c:v>
                </c:pt>
                <c:pt idx="680">
                  <c:v>45238</c:v>
                </c:pt>
                <c:pt idx="681">
                  <c:v>45237</c:v>
                </c:pt>
                <c:pt idx="682">
                  <c:v>45236</c:v>
                </c:pt>
                <c:pt idx="683">
                  <c:v>45235</c:v>
                </c:pt>
                <c:pt idx="684">
                  <c:v>45234</c:v>
                </c:pt>
                <c:pt idx="685">
                  <c:v>45233</c:v>
                </c:pt>
                <c:pt idx="686">
                  <c:v>45232</c:v>
                </c:pt>
                <c:pt idx="687">
                  <c:v>45231</c:v>
                </c:pt>
                <c:pt idx="688">
                  <c:v>45230</c:v>
                </c:pt>
                <c:pt idx="689">
                  <c:v>45229</c:v>
                </c:pt>
                <c:pt idx="690">
                  <c:v>45228</c:v>
                </c:pt>
                <c:pt idx="691">
                  <c:v>45227</c:v>
                </c:pt>
                <c:pt idx="692">
                  <c:v>45226</c:v>
                </c:pt>
                <c:pt idx="693">
                  <c:v>45225</c:v>
                </c:pt>
                <c:pt idx="694">
                  <c:v>45224</c:v>
                </c:pt>
                <c:pt idx="695">
                  <c:v>45223</c:v>
                </c:pt>
                <c:pt idx="696">
                  <c:v>45222</c:v>
                </c:pt>
                <c:pt idx="697">
                  <c:v>45221</c:v>
                </c:pt>
                <c:pt idx="698">
                  <c:v>45220</c:v>
                </c:pt>
                <c:pt idx="699">
                  <c:v>45219</c:v>
                </c:pt>
                <c:pt idx="700">
                  <c:v>45218</c:v>
                </c:pt>
                <c:pt idx="701">
                  <c:v>45217</c:v>
                </c:pt>
                <c:pt idx="702">
                  <c:v>45216</c:v>
                </c:pt>
                <c:pt idx="703">
                  <c:v>45215</c:v>
                </c:pt>
                <c:pt idx="704">
                  <c:v>45214</c:v>
                </c:pt>
                <c:pt idx="705">
                  <c:v>45213</c:v>
                </c:pt>
                <c:pt idx="706">
                  <c:v>45212</c:v>
                </c:pt>
                <c:pt idx="707">
                  <c:v>45211</c:v>
                </c:pt>
                <c:pt idx="708">
                  <c:v>45210</c:v>
                </c:pt>
                <c:pt idx="709">
                  <c:v>45209</c:v>
                </c:pt>
                <c:pt idx="710">
                  <c:v>45208</c:v>
                </c:pt>
                <c:pt idx="711">
                  <c:v>45207</c:v>
                </c:pt>
                <c:pt idx="712">
                  <c:v>45206</c:v>
                </c:pt>
                <c:pt idx="713">
                  <c:v>45205</c:v>
                </c:pt>
                <c:pt idx="714">
                  <c:v>45204</c:v>
                </c:pt>
                <c:pt idx="715">
                  <c:v>45203</c:v>
                </c:pt>
                <c:pt idx="716">
                  <c:v>45202</c:v>
                </c:pt>
                <c:pt idx="717">
                  <c:v>45201</c:v>
                </c:pt>
                <c:pt idx="718">
                  <c:v>45200</c:v>
                </c:pt>
                <c:pt idx="719">
                  <c:v>45199</c:v>
                </c:pt>
                <c:pt idx="720">
                  <c:v>45198</c:v>
                </c:pt>
                <c:pt idx="721">
                  <c:v>45197</c:v>
                </c:pt>
                <c:pt idx="722">
                  <c:v>45196</c:v>
                </c:pt>
                <c:pt idx="723">
                  <c:v>45195</c:v>
                </c:pt>
                <c:pt idx="724">
                  <c:v>45194</c:v>
                </c:pt>
                <c:pt idx="725">
                  <c:v>45193</c:v>
                </c:pt>
                <c:pt idx="726">
                  <c:v>45192</c:v>
                </c:pt>
                <c:pt idx="727">
                  <c:v>45191</c:v>
                </c:pt>
                <c:pt idx="728">
                  <c:v>45190</c:v>
                </c:pt>
                <c:pt idx="729">
                  <c:v>45189</c:v>
                </c:pt>
                <c:pt idx="730">
                  <c:v>45188</c:v>
                </c:pt>
                <c:pt idx="731">
                  <c:v>45187</c:v>
                </c:pt>
                <c:pt idx="732">
                  <c:v>45186</c:v>
                </c:pt>
                <c:pt idx="733">
                  <c:v>45185</c:v>
                </c:pt>
                <c:pt idx="734">
                  <c:v>45184</c:v>
                </c:pt>
                <c:pt idx="735">
                  <c:v>45183</c:v>
                </c:pt>
                <c:pt idx="736">
                  <c:v>45182</c:v>
                </c:pt>
                <c:pt idx="737">
                  <c:v>45181</c:v>
                </c:pt>
                <c:pt idx="738">
                  <c:v>45180</c:v>
                </c:pt>
                <c:pt idx="739">
                  <c:v>45179</c:v>
                </c:pt>
                <c:pt idx="740">
                  <c:v>45178</c:v>
                </c:pt>
                <c:pt idx="741">
                  <c:v>45177</c:v>
                </c:pt>
                <c:pt idx="742">
                  <c:v>45176</c:v>
                </c:pt>
                <c:pt idx="743">
                  <c:v>45175</c:v>
                </c:pt>
                <c:pt idx="744">
                  <c:v>45174</c:v>
                </c:pt>
                <c:pt idx="745">
                  <c:v>45173</c:v>
                </c:pt>
                <c:pt idx="746">
                  <c:v>45172</c:v>
                </c:pt>
                <c:pt idx="747">
                  <c:v>45171</c:v>
                </c:pt>
                <c:pt idx="748">
                  <c:v>45170</c:v>
                </c:pt>
                <c:pt idx="749">
                  <c:v>45169</c:v>
                </c:pt>
                <c:pt idx="750">
                  <c:v>45168</c:v>
                </c:pt>
                <c:pt idx="751">
                  <c:v>45167</c:v>
                </c:pt>
                <c:pt idx="752">
                  <c:v>45166</c:v>
                </c:pt>
                <c:pt idx="753">
                  <c:v>45165</c:v>
                </c:pt>
                <c:pt idx="754">
                  <c:v>45164</c:v>
                </c:pt>
                <c:pt idx="755">
                  <c:v>45163</c:v>
                </c:pt>
                <c:pt idx="756">
                  <c:v>45162</c:v>
                </c:pt>
                <c:pt idx="757">
                  <c:v>45161</c:v>
                </c:pt>
                <c:pt idx="758">
                  <c:v>45160</c:v>
                </c:pt>
                <c:pt idx="759">
                  <c:v>45159</c:v>
                </c:pt>
                <c:pt idx="760">
                  <c:v>45158</c:v>
                </c:pt>
                <c:pt idx="761">
                  <c:v>45157</c:v>
                </c:pt>
                <c:pt idx="762">
                  <c:v>45156</c:v>
                </c:pt>
                <c:pt idx="763">
                  <c:v>45155</c:v>
                </c:pt>
                <c:pt idx="764">
                  <c:v>45154</c:v>
                </c:pt>
                <c:pt idx="765">
                  <c:v>45153</c:v>
                </c:pt>
                <c:pt idx="766">
                  <c:v>45152</c:v>
                </c:pt>
                <c:pt idx="767">
                  <c:v>45151</c:v>
                </c:pt>
                <c:pt idx="768">
                  <c:v>45150</c:v>
                </c:pt>
                <c:pt idx="769">
                  <c:v>45149</c:v>
                </c:pt>
                <c:pt idx="770">
                  <c:v>45148</c:v>
                </c:pt>
                <c:pt idx="771">
                  <c:v>45147</c:v>
                </c:pt>
                <c:pt idx="772">
                  <c:v>45146</c:v>
                </c:pt>
                <c:pt idx="773">
                  <c:v>45145</c:v>
                </c:pt>
                <c:pt idx="774">
                  <c:v>45144</c:v>
                </c:pt>
                <c:pt idx="775">
                  <c:v>45143</c:v>
                </c:pt>
                <c:pt idx="776">
                  <c:v>45142</c:v>
                </c:pt>
                <c:pt idx="777">
                  <c:v>45141</c:v>
                </c:pt>
                <c:pt idx="778">
                  <c:v>45140</c:v>
                </c:pt>
                <c:pt idx="779">
                  <c:v>45139</c:v>
                </c:pt>
                <c:pt idx="780">
                  <c:v>45138</c:v>
                </c:pt>
                <c:pt idx="781">
                  <c:v>45137</c:v>
                </c:pt>
                <c:pt idx="782">
                  <c:v>45136</c:v>
                </c:pt>
                <c:pt idx="783">
                  <c:v>45135</c:v>
                </c:pt>
                <c:pt idx="784">
                  <c:v>45134</c:v>
                </c:pt>
                <c:pt idx="785">
                  <c:v>45133</c:v>
                </c:pt>
                <c:pt idx="786">
                  <c:v>45132</c:v>
                </c:pt>
                <c:pt idx="787">
                  <c:v>45131</c:v>
                </c:pt>
                <c:pt idx="788">
                  <c:v>45130</c:v>
                </c:pt>
                <c:pt idx="789">
                  <c:v>45129</c:v>
                </c:pt>
                <c:pt idx="790">
                  <c:v>45128</c:v>
                </c:pt>
                <c:pt idx="791">
                  <c:v>45127</c:v>
                </c:pt>
                <c:pt idx="792">
                  <c:v>45126</c:v>
                </c:pt>
                <c:pt idx="793">
                  <c:v>45125</c:v>
                </c:pt>
                <c:pt idx="794">
                  <c:v>45124</c:v>
                </c:pt>
                <c:pt idx="795">
                  <c:v>45123</c:v>
                </c:pt>
                <c:pt idx="796">
                  <c:v>45122</c:v>
                </c:pt>
                <c:pt idx="797">
                  <c:v>45121</c:v>
                </c:pt>
                <c:pt idx="798">
                  <c:v>45120</c:v>
                </c:pt>
                <c:pt idx="799">
                  <c:v>45119</c:v>
                </c:pt>
                <c:pt idx="800">
                  <c:v>45118</c:v>
                </c:pt>
                <c:pt idx="801">
                  <c:v>45117</c:v>
                </c:pt>
                <c:pt idx="802">
                  <c:v>45116</c:v>
                </c:pt>
                <c:pt idx="803">
                  <c:v>45115</c:v>
                </c:pt>
                <c:pt idx="804">
                  <c:v>45114</c:v>
                </c:pt>
                <c:pt idx="805">
                  <c:v>45113</c:v>
                </c:pt>
                <c:pt idx="806">
                  <c:v>45112</c:v>
                </c:pt>
                <c:pt idx="807">
                  <c:v>45111</c:v>
                </c:pt>
                <c:pt idx="808">
                  <c:v>45110</c:v>
                </c:pt>
                <c:pt idx="809">
                  <c:v>45109</c:v>
                </c:pt>
                <c:pt idx="810">
                  <c:v>45108</c:v>
                </c:pt>
                <c:pt idx="811">
                  <c:v>45107</c:v>
                </c:pt>
                <c:pt idx="812">
                  <c:v>45106</c:v>
                </c:pt>
                <c:pt idx="813">
                  <c:v>45105</c:v>
                </c:pt>
                <c:pt idx="814">
                  <c:v>45104</c:v>
                </c:pt>
                <c:pt idx="815">
                  <c:v>45103</c:v>
                </c:pt>
                <c:pt idx="816">
                  <c:v>45102</c:v>
                </c:pt>
                <c:pt idx="817">
                  <c:v>45101</c:v>
                </c:pt>
                <c:pt idx="818">
                  <c:v>45100</c:v>
                </c:pt>
                <c:pt idx="819">
                  <c:v>45099</c:v>
                </c:pt>
                <c:pt idx="820">
                  <c:v>45098</c:v>
                </c:pt>
                <c:pt idx="821">
                  <c:v>45097</c:v>
                </c:pt>
                <c:pt idx="822">
                  <c:v>45096</c:v>
                </c:pt>
                <c:pt idx="823">
                  <c:v>45095</c:v>
                </c:pt>
                <c:pt idx="824">
                  <c:v>45094</c:v>
                </c:pt>
                <c:pt idx="825">
                  <c:v>45093</c:v>
                </c:pt>
                <c:pt idx="826">
                  <c:v>45092</c:v>
                </c:pt>
                <c:pt idx="827">
                  <c:v>45091</c:v>
                </c:pt>
                <c:pt idx="828">
                  <c:v>45090</c:v>
                </c:pt>
                <c:pt idx="829">
                  <c:v>45089</c:v>
                </c:pt>
                <c:pt idx="830">
                  <c:v>45088</c:v>
                </c:pt>
                <c:pt idx="831">
                  <c:v>45087</c:v>
                </c:pt>
                <c:pt idx="832">
                  <c:v>45086</c:v>
                </c:pt>
                <c:pt idx="833">
                  <c:v>45085</c:v>
                </c:pt>
                <c:pt idx="834">
                  <c:v>45084</c:v>
                </c:pt>
                <c:pt idx="835">
                  <c:v>45083</c:v>
                </c:pt>
                <c:pt idx="836">
                  <c:v>45082</c:v>
                </c:pt>
                <c:pt idx="837">
                  <c:v>45081</c:v>
                </c:pt>
                <c:pt idx="838">
                  <c:v>45080</c:v>
                </c:pt>
                <c:pt idx="839">
                  <c:v>45079</c:v>
                </c:pt>
                <c:pt idx="840">
                  <c:v>45078</c:v>
                </c:pt>
                <c:pt idx="841">
                  <c:v>45077</c:v>
                </c:pt>
                <c:pt idx="842">
                  <c:v>45076</c:v>
                </c:pt>
                <c:pt idx="843">
                  <c:v>45075</c:v>
                </c:pt>
                <c:pt idx="844">
                  <c:v>45074</c:v>
                </c:pt>
                <c:pt idx="845">
                  <c:v>45073</c:v>
                </c:pt>
                <c:pt idx="846">
                  <c:v>45072</c:v>
                </c:pt>
                <c:pt idx="847">
                  <c:v>45071</c:v>
                </c:pt>
                <c:pt idx="848">
                  <c:v>45070</c:v>
                </c:pt>
                <c:pt idx="849">
                  <c:v>45069</c:v>
                </c:pt>
                <c:pt idx="850">
                  <c:v>45068</c:v>
                </c:pt>
                <c:pt idx="851">
                  <c:v>45067</c:v>
                </c:pt>
                <c:pt idx="852">
                  <c:v>45066</c:v>
                </c:pt>
                <c:pt idx="853">
                  <c:v>45065</c:v>
                </c:pt>
                <c:pt idx="854">
                  <c:v>45064</c:v>
                </c:pt>
                <c:pt idx="855">
                  <c:v>45063</c:v>
                </c:pt>
                <c:pt idx="856">
                  <c:v>45062</c:v>
                </c:pt>
                <c:pt idx="857">
                  <c:v>45061</c:v>
                </c:pt>
                <c:pt idx="858">
                  <c:v>45060</c:v>
                </c:pt>
                <c:pt idx="859">
                  <c:v>45059</c:v>
                </c:pt>
                <c:pt idx="860">
                  <c:v>45058</c:v>
                </c:pt>
                <c:pt idx="861">
                  <c:v>45057</c:v>
                </c:pt>
                <c:pt idx="862">
                  <c:v>45056</c:v>
                </c:pt>
                <c:pt idx="863">
                  <c:v>45055</c:v>
                </c:pt>
                <c:pt idx="864">
                  <c:v>45054</c:v>
                </c:pt>
                <c:pt idx="865">
                  <c:v>45053</c:v>
                </c:pt>
                <c:pt idx="866">
                  <c:v>45052</c:v>
                </c:pt>
                <c:pt idx="867">
                  <c:v>45051</c:v>
                </c:pt>
                <c:pt idx="868">
                  <c:v>45050</c:v>
                </c:pt>
                <c:pt idx="869">
                  <c:v>45049</c:v>
                </c:pt>
                <c:pt idx="870">
                  <c:v>45048</c:v>
                </c:pt>
                <c:pt idx="871">
                  <c:v>45047</c:v>
                </c:pt>
                <c:pt idx="872">
                  <c:v>45046</c:v>
                </c:pt>
                <c:pt idx="873">
                  <c:v>45045</c:v>
                </c:pt>
                <c:pt idx="874">
                  <c:v>45044</c:v>
                </c:pt>
                <c:pt idx="875">
                  <c:v>45043</c:v>
                </c:pt>
                <c:pt idx="876">
                  <c:v>45042</c:v>
                </c:pt>
                <c:pt idx="877">
                  <c:v>45041</c:v>
                </c:pt>
                <c:pt idx="878">
                  <c:v>45040</c:v>
                </c:pt>
                <c:pt idx="879">
                  <c:v>45039</c:v>
                </c:pt>
                <c:pt idx="880">
                  <c:v>45038</c:v>
                </c:pt>
                <c:pt idx="881">
                  <c:v>45037</c:v>
                </c:pt>
                <c:pt idx="882">
                  <c:v>45036</c:v>
                </c:pt>
                <c:pt idx="883">
                  <c:v>45035</c:v>
                </c:pt>
                <c:pt idx="884">
                  <c:v>45034</c:v>
                </c:pt>
                <c:pt idx="885">
                  <c:v>45033</c:v>
                </c:pt>
                <c:pt idx="886">
                  <c:v>45032</c:v>
                </c:pt>
                <c:pt idx="887">
                  <c:v>45031</c:v>
                </c:pt>
                <c:pt idx="888">
                  <c:v>45030</c:v>
                </c:pt>
                <c:pt idx="889">
                  <c:v>45029</c:v>
                </c:pt>
                <c:pt idx="890">
                  <c:v>45028</c:v>
                </c:pt>
                <c:pt idx="891">
                  <c:v>45027</c:v>
                </c:pt>
                <c:pt idx="892">
                  <c:v>45026</c:v>
                </c:pt>
                <c:pt idx="893">
                  <c:v>45025</c:v>
                </c:pt>
                <c:pt idx="894">
                  <c:v>45024</c:v>
                </c:pt>
                <c:pt idx="895">
                  <c:v>45023</c:v>
                </c:pt>
                <c:pt idx="896">
                  <c:v>45022</c:v>
                </c:pt>
                <c:pt idx="897">
                  <c:v>45021</c:v>
                </c:pt>
                <c:pt idx="898">
                  <c:v>45020</c:v>
                </c:pt>
                <c:pt idx="899">
                  <c:v>45019</c:v>
                </c:pt>
                <c:pt idx="900">
                  <c:v>45018</c:v>
                </c:pt>
                <c:pt idx="901">
                  <c:v>45017</c:v>
                </c:pt>
                <c:pt idx="902">
                  <c:v>45016</c:v>
                </c:pt>
                <c:pt idx="903">
                  <c:v>45015</c:v>
                </c:pt>
                <c:pt idx="904">
                  <c:v>45014</c:v>
                </c:pt>
                <c:pt idx="905">
                  <c:v>45013</c:v>
                </c:pt>
                <c:pt idx="906">
                  <c:v>45012</c:v>
                </c:pt>
                <c:pt idx="907">
                  <c:v>45011</c:v>
                </c:pt>
                <c:pt idx="908">
                  <c:v>45010</c:v>
                </c:pt>
                <c:pt idx="909">
                  <c:v>45009</c:v>
                </c:pt>
                <c:pt idx="910">
                  <c:v>45008</c:v>
                </c:pt>
                <c:pt idx="911">
                  <c:v>45007</c:v>
                </c:pt>
                <c:pt idx="912">
                  <c:v>45006</c:v>
                </c:pt>
                <c:pt idx="913">
                  <c:v>45005</c:v>
                </c:pt>
                <c:pt idx="914">
                  <c:v>45004</c:v>
                </c:pt>
                <c:pt idx="915">
                  <c:v>45003</c:v>
                </c:pt>
                <c:pt idx="916">
                  <c:v>45002</c:v>
                </c:pt>
                <c:pt idx="917">
                  <c:v>45001</c:v>
                </c:pt>
                <c:pt idx="918">
                  <c:v>45000</c:v>
                </c:pt>
                <c:pt idx="919">
                  <c:v>44999</c:v>
                </c:pt>
                <c:pt idx="920">
                  <c:v>44998</c:v>
                </c:pt>
                <c:pt idx="921">
                  <c:v>44997</c:v>
                </c:pt>
                <c:pt idx="922">
                  <c:v>44996</c:v>
                </c:pt>
                <c:pt idx="923">
                  <c:v>44995</c:v>
                </c:pt>
                <c:pt idx="924">
                  <c:v>44994</c:v>
                </c:pt>
                <c:pt idx="925">
                  <c:v>44993</c:v>
                </c:pt>
                <c:pt idx="926">
                  <c:v>44992</c:v>
                </c:pt>
                <c:pt idx="927">
                  <c:v>44991</c:v>
                </c:pt>
                <c:pt idx="928">
                  <c:v>44990</c:v>
                </c:pt>
                <c:pt idx="929">
                  <c:v>44989</c:v>
                </c:pt>
                <c:pt idx="930">
                  <c:v>44988</c:v>
                </c:pt>
                <c:pt idx="931">
                  <c:v>44987</c:v>
                </c:pt>
                <c:pt idx="932">
                  <c:v>44986</c:v>
                </c:pt>
                <c:pt idx="933">
                  <c:v>44985</c:v>
                </c:pt>
                <c:pt idx="934">
                  <c:v>44984</c:v>
                </c:pt>
                <c:pt idx="935">
                  <c:v>44983</c:v>
                </c:pt>
                <c:pt idx="936">
                  <c:v>44982</c:v>
                </c:pt>
                <c:pt idx="937">
                  <c:v>44981</c:v>
                </c:pt>
                <c:pt idx="938">
                  <c:v>44980</c:v>
                </c:pt>
                <c:pt idx="939">
                  <c:v>44979</c:v>
                </c:pt>
                <c:pt idx="940">
                  <c:v>44978</c:v>
                </c:pt>
                <c:pt idx="941">
                  <c:v>44977</c:v>
                </c:pt>
                <c:pt idx="942">
                  <c:v>44976</c:v>
                </c:pt>
                <c:pt idx="943">
                  <c:v>44975</c:v>
                </c:pt>
                <c:pt idx="944">
                  <c:v>44974</c:v>
                </c:pt>
                <c:pt idx="945">
                  <c:v>44973</c:v>
                </c:pt>
                <c:pt idx="946">
                  <c:v>44972</c:v>
                </c:pt>
                <c:pt idx="947">
                  <c:v>44971</c:v>
                </c:pt>
                <c:pt idx="948">
                  <c:v>44970</c:v>
                </c:pt>
                <c:pt idx="949">
                  <c:v>44969</c:v>
                </c:pt>
                <c:pt idx="950">
                  <c:v>44968</c:v>
                </c:pt>
                <c:pt idx="951">
                  <c:v>44967</c:v>
                </c:pt>
                <c:pt idx="952">
                  <c:v>44966</c:v>
                </c:pt>
                <c:pt idx="953">
                  <c:v>44965</c:v>
                </c:pt>
                <c:pt idx="954">
                  <c:v>44964</c:v>
                </c:pt>
                <c:pt idx="955">
                  <c:v>44963</c:v>
                </c:pt>
                <c:pt idx="956">
                  <c:v>44962</c:v>
                </c:pt>
                <c:pt idx="957">
                  <c:v>44961</c:v>
                </c:pt>
                <c:pt idx="958">
                  <c:v>44960</c:v>
                </c:pt>
                <c:pt idx="959">
                  <c:v>44959</c:v>
                </c:pt>
                <c:pt idx="960">
                  <c:v>44958</c:v>
                </c:pt>
                <c:pt idx="961">
                  <c:v>44957</c:v>
                </c:pt>
                <c:pt idx="962">
                  <c:v>44956</c:v>
                </c:pt>
                <c:pt idx="963">
                  <c:v>44955</c:v>
                </c:pt>
                <c:pt idx="964">
                  <c:v>44954</c:v>
                </c:pt>
                <c:pt idx="965">
                  <c:v>44953</c:v>
                </c:pt>
                <c:pt idx="966">
                  <c:v>44952</c:v>
                </c:pt>
                <c:pt idx="967">
                  <c:v>44951</c:v>
                </c:pt>
                <c:pt idx="968">
                  <c:v>44950</c:v>
                </c:pt>
                <c:pt idx="969">
                  <c:v>44949</c:v>
                </c:pt>
                <c:pt idx="970">
                  <c:v>44948</c:v>
                </c:pt>
                <c:pt idx="971">
                  <c:v>44947</c:v>
                </c:pt>
                <c:pt idx="972">
                  <c:v>44946</c:v>
                </c:pt>
                <c:pt idx="973">
                  <c:v>44945</c:v>
                </c:pt>
                <c:pt idx="974">
                  <c:v>44944</c:v>
                </c:pt>
                <c:pt idx="975">
                  <c:v>44943</c:v>
                </c:pt>
                <c:pt idx="976">
                  <c:v>44942</c:v>
                </c:pt>
                <c:pt idx="977">
                  <c:v>44941</c:v>
                </c:pt>
                <c:pt idx="978">
                  <c:v>44940</c:v>
                </c:pt>
                <c:pt idx="979">
                  <c:v>44939</c:v>
                </c:pt>
                <c:pt idx="980">
                  <c:v>44938</c:v>
                </c:pt>
                <c:pt idx="981">
                  <c:v>44937</c:v>
                </c:pt>
                <c:pt idx="982">
                  <c:v>44936</c:v>
                </c:pt>
                <c:pt idx="983">
                  <c:v>44935</c:v>
                </c:pt>
                <c:pt idx="984">
                  <c:v>44934</c:v>
                </c:pt>
                <c:pt idx="985">
                  <c:v>44933</c:v>
                </c:pt>
                <c:pt idx="986">
                  <c:v>44932</c:v>
                </c:pt>
                <c:pt idx="987">
                  <c:v>44931</c:v>
                </c:pt>
                <c:pt idx="988">
                  <c:v>44930</c:v>
                </c:pt>
                <c:pt idx="989">
                  <c:v>44929</c:v>
                </c:pt>
                <c:pt idx="990">
                  <c:v>44928</c:v>
                </c:pt>
                <c:pt idx="991">
                  <c:v>44927</c:v>
                </c:pt>
                <c:pt idx="992">
                  <c:v>44926</c:v>
                </c:pt>
                <c:pt idx="993">
                  <c:v>44925</c:v>
                </c:pt>
                <c:pt idx="994">
                  <c:v>44924</c:v>
                </c:pt>
                <c:pt idx="995">
                  <c:v>44923</c:v>
                </c:pt>
                <c:pt idx="996">
                  <c:v>44922</c:v>
                </c:pt>
                <c:pt idx="997">
                  <c:v>44921</c:v>
                </c:pt>
                <c:pt idx="998">
                  <c:v>44920</c:v>
                </c:pt>
                <c:pt idx="999">
                  <c:v>44919</c:v>
                </c:pt>
                <c:pt idx="1000">
                  <c:v>44918</c:v>
                </c:pt>
                <c:pt idx="1001">
                  <c:v>44917</c:v>
                </c:pt>
                <c:pt idx="1002">
                  <c:v>44916</c:v>
                </c:pt>
                <c:pt idx="1003">
                  <c:v>44915</c:v>
                </c:pt>
                <c:pt idx="1004">
                  <c:v>44914</c:v>
                </c:pt>
                <c:pt idx="1005">
                  <c:v>44913</c:v>
                </c:pt>
                <c:pt idx="1006">
                  <c:v>44912</c:v>
                </c:pt>
                <c:pt idx="1007">
                  <c:v>44911</c:v>
                </c:pt>
                <c:pt idx="1008">
                  <c:v>44910</c:v>
                </c:pt>
                <c:pt idx="1009">
                  <c:v>44909</c:v>
                </c:pt>
                <c:pt idx="1010">
                  <c:v>44908</c:v>
                </c:pt>
                <c:pt idx="1011">
                  <c:v>44907</c:v>
                </c:pt>
                <c:pt idx="1012">
                  <c:v>44906</c:v>
                </c:pt>
                <c:pt idx="1013">
                  <c:v>44905</c:v>
                </c:pt>
                <c:pt idx="1014">
                  <c:v>44904</c:v>
                </c:pt>
                <c:pt idx="1015">
                  <c:v>44903</c:v>
                </c:pt>
                <c:pt idx="1016">
                  <c:v>44902</c:v>
                </c:pt>
                <c:pt idx="1017">
                  <c:v>44901</c:v>
                </c:pt>
                <c:pt idx="1018">
                  <c:v>44900</c:v>
                </c:pt>
                <c:pt idx="1019">
                  <c:v>44899</c:v>
                </c:pt>
                <c:pt idx="1020">
                  <c:v>44898</c:v>
                </c:pt>
                <c:pt idx="1021">
                  <c:v>44897</c:v>
                </c:pt>
                <c:pt idx="1022">
                  <c:v>44896</c:v>
                </c:pt>
                <c:pt idx="1023">
                  <c:v>44895</c:v>
                </c:pt>
                <c:pt idx="1024">
                  <c:v>44894</c:v>
                </c:pt>
                <c:pt idx="1025">
                  <c:v>44893</c:v>
                </c:pt>
                <c:pt idx="1026">
                  <c:v>44892</c:v>
                </c:pt>
                <c:pt idx="1027">
                  <c:v>44891</c:v>
                </c:pt>
                <c:pt idx="1028">
                  <c:v>44890</c:v>
                </c:pt>
                <c:pt idx="1029">
                  <c:v>44889</c:v>
                </c:pt>
                <c:pt idx="1030">
                  <c:v>44888</c:v>
                </c:pt>
                <c:pt idx="1031">
                  <c:v>44887</c:v>
                </c:pt>
                <c:pt idx="1032">
                  <c:v>44886</c:v>
                </c:pt>
                <c:pt idx="1033">
                  <c:v>44885</c:v>
                </c:pt>
                <c:pt idx="1034">
                  <c:v>44884</c:v>
                </c:pt>
                <c:pt idx="1035">
                  <c:v>44883</c:v>
                </c:pt>
                <c:pt idx="1036">
                  <c:v>44882</c:v>
                </c:pt>
                <c:pt idx="1037">
                  <c:v>44881</c:v>
                </c:pt>
                <c:pt idx="1038">
                  <c:v>44880</c:v>
                </c:pt>
                <c:pt idx="1039">
                  <c:v>44879</c:v>
                </c:pt>
                <c:pt idx="1040">
                  <c:v>44878</c:v>
                </c:pt>
                <c:pt idx="1041">
                  <c:v>44877</c:v>
                </c:pt>
                <c:pt idx="1042">
                  <c:v>44876</c:v>
                </c:pt>
                <c:pt idx="1043">
                  <c:v>44875</c:v>
                </c:pt>
                <c:pt idx="1044">
                  <c:v>44874</c:v>
                </c:pt>
              </c:numCache>
            </c:numRef>
          </c:cat>
          <c:val>
            <c:numRef>
              <c:f>'Stock Data'!$AO$4:$AO$1048</c:f>
              <c:numCache>
                <c:formatCode>#,##0.00_);\(#,##0.00\)</c:formatCode>
                <c:ptCount val="1045"/>
                <c:pt idx="0">
                  <c:v>3</c:v>
                </c:pt>
                <c:pt idx="1">
                  <c:v>1271522</c:v>
                </c:pt>
                <c:pt idx="2">
                  <c:v>1262439</c:v>
                </c:pt>
                <c:pt idx="3">
                  <c:v>1262439</c:v>
                </c:pt>
                <c:pt idx="4">
                  <c:v>1262439</c:v>
                </c:pt>
                <c:pt idx="5">
                  <c:v>1487091</c:v>
                </c:pt>
                <c:pt idx="6">
                  <c:v>1515353</c:v>
                </c:pt>
                <c:pt idx="7">
                  <c:v>1601072</c:v>
                </c:pt>
                <c:pt idx="8">
                  <c:v>1535073</c:v>
                </c:pt>
                <c:pt idx="9">
                  <c:v>1535073</c:v>
                </c:pt>
                <c:pt idx="10">
                  <c:v>1535073</c:v>
                </c:pt>
                <c:pt idx="11">
                  <c:v>1535073</c:v>
                </c:pt>
                <c:pt idx="12">
                  <c:v>1120391</c:v>
                </c:pt>
                <c:pt idx="13">
                  <c:v>912641</c:v>
                </c:pt>
                <c:pt idx="14">
                  <c:v>1502914</c:v>
                </c:pt>
                <c:pt idx="15">
                  <c:v>729616</c:v>
                </c:pt>
                <c:pt idx="16">
                  <c:v>1133572</c:v>
                </c:pt>
                <c:pt idx="17">
                  <c:v>1133572</c:v>
                </c:pt>
                <c:pt idx="18">
                  <c:v>1133572</c:v>
                </c:pt>
                <c:pt idx="19">
                  <c:v>844948</c:v>
                </c:pt>
                <c:pt idx="20">
                  <c:v>1438939</c:v>
                </c:pt>
                <c:pt idx="21">
                  <c:v>1493802</c:v>
                </c:pt>
                <c:pt idx="22">
                  <c:v>1391676</c:v>
                </c:pt>
                <c:pt idx="23">
                  <c:v>2674658</c:v>
                </c:pt>
                <c:pt idx="24">
                  <c:v>2674658</c:v>
                </c:pt>
                <c:pt idx="25">
                  <c:v>2674658</c:v>
                </c:pt>
                <c:pt idx="26">
                  <c:v>5100701</c:v>
                </c:pt>
                <c:pt idx="27">
                  <c:v>1853646</c:v>
                </c:pt>
                <c:pt idx="28">
                  <c:v>1286286</c:v>
                </c:pt>
                <c:pt idx="29">
                  <c:v>1098185</c:v>
                </c:pt>
                <c:pt idx="30">
                  <c:v>883909</c:v>
                </c:pt>
                <c:pt idx="31">
                  <c:v>883909</c:v>
                </c:pt>
                <c:pt idx="32">
                  <c:v>883909</c:v>
                </c:pt>
                <c:pt idx="33">
                  <c:v>958605</c:v>
                </c:pt>
                <c:pt idx="34">
                  <c:v>966739</c:v>
                </c:pt>
                <c:pt idx="35">
                  <c:v>1027932</c:v>
                </c:pt>
                <c:pt idx="36">
                  <c:v>1087633</c:v>
                </c:pt>
                <c:pt idx="37">
                  <c:v>1623338</c:v>
                </c:pt>
                <c:pt idx="38">
                  <c:v>1623338</c:v>
                </c:pt>
                <c:pt idx="39">
                  <c:v>1623338</c:v>
                </c:pt>
                <c:pt idx="40">
                  <c:v>1549335</c:v>
                </c:pt>
                <c:pt idx="41">
                  <c:v>1121302</c:v>
                </c:pt>
                <c:pt idx="42">
                  <c:v>1139276</c:v>
                </c:pt>
                <c:pt idx="43">
                  <c:v>824665</c:v>
                </c:pt>
                <c:pt idx="44">
                  <c:v>858451</c:v>
                </c:pt>
                <c:pt idx="45">
                  <c:v>858451</c:v>
                </c:pt>
                <c:pt idx="46">
                  <c:v>858451</c:v>
                </c:pt>
                <c:pt idx="47">
                  <c:v>850056</c:v>
                </c:pt>
                <c:pt idx="48">
                  <c:v>995312</c:v>
                </c:pt>
                <c:pt idx="49">
                  <c:v>976048</c:v>
                </c:pt>
                <c:pt idx="50">
                  <c:v>1111220</c:v>
                </c:pt>
                <c:pt idx="51">
                  <c:v>1064558</c:v>
                </c:pt>
                <c:pt idx="52">
                  <c:v>1064558</c:v>
                </c:pt>
                <c:pt idx="53">
                  <c:v>1064558</c:v>
                </c:pt>
                <c:pt idx="54">
                  <c:v>1778885</c:v>
                </c:pt>
                <c:pt idx="55">
                  <c:v>1150688</c:v>
                </c:pt>
                <c:pt idx="56">
                  <c:v>1173076</c:v>
                </c:pt>
                <c:pt idx="57">
                  <c:v>1087056</c:v>
                </c:pt>
                <c:pt idx="58">
                  <c:v>1047165</c:v>
                </c:pt>
                <c:pt idx="59">
                  <c:v>1047165</c:v>
                </c:pt>
                <c:pt idx="60">
                  <c:v>1047165</c:v>
                </c:pt>
                <c:pt idx="61">
                  <c:v>1268934</c:v>
                </c:pt>
                <c:pt idx="62">
                  <c:v>1152545</c:v>
                </c:pt>
                <c:pt idx="63">
                  <c:v>1285072</c:v>
                </c:pt>
                <c:pt idx="64">
                  <c:v>1017279</c:v>
                </c:pt>
                <c:pt idx="65">
                  <c:v>470313</c:v>
                </c:pt>
                <c:pt idx="66">
                  <c:v>470313</c:v>
                </c:pt>
                <c:pt idx="67">
                  <c:v>470313</c:v>
                </c:pt>
                <c:pt idx="68">
                  <c:v>470313</c:v>
                </c:pt>
                <c:pt idx="69">
                  <c:v>1096876</c:v>
                </c:pt>
                <c:pt idx="70">
                  <c:v>1375269</c:v>
                </c:pt>
                <c:pt idx="71">
                  <c:v>1408642</c:v>
                </c:pt>
                <c:pt idx="72">
                  <c:v>1835475</c:v>
                </c:pt>
                <c:pt idx="73">
                  <c:v>1835475</c:v>
                </c:pt>
                <c:pt idx="74">
                  <c:v>1835475</c:v>
                </c:pt>
                <c:pt idx="75">
                  <c:v>1199411</c:v>
                </c:pt>
                <c:pt idx="76">
                  <c:v>1189224</c:v>
                </c:pt>
                <c:pt idx="77">
                  <c:v>1215674</c:v>
                </c:pt>
                <c:pt idx="78">
                  <c:v>1261442</c:v>
                </c:pt>
                <c:pt idx="79">
                  <c:v>1389711</c:v>
                </c:pt>
                <c:pt idx="80">
                  <c:v>1389711</c:v>
                </c:pt>
                <c:pt idx="81">
                  <c:v>1389711</c:v>
                </c:pt>
                <c:pt idx="82">
                  <c:v>959731</c:v>
                </c:pt>
                <c:pt idx="83">
                  <c:v>959731</c:v>
                </c:pt>
                <c:pt idx="84">
                  <c:v>862537</c:v>
                </c:pt>
                <c:pt idx="85">
                  <c:v>1278803</c:v>
                </c:pt>
                <c:pt idx="86">
                  <c:v>824507</c:v>
                </c:pt>
                <c:pt idx="87">
                  <c:v>824507</c:v>
                </c:pt>
                <c:pt idx="88">
                  <c:v>824507</c:v>
                </c:pt>
                <c:pt idx="89">
                  <c:v>797140</c:v>
                </c:pt>
                <c:pt idx="90">
                  <c:v>1037093</c:v>
                </c:pt>
                <c:pt idx="91">
                  <c:v>1294210</c:v>
                </c:pt>
                <c:pt idx="92">
                  <c:v>1100962</c:v>
                </c:pt>
                <c:pt idx="93">
                  <c:v>1474160</c:v>
                </c:pt>
                <c:pt idx="94">
                  <c:v>1474160</c:v>
                </c:pt>
                <c:pt idx="95">
                  <c:v>1474160</c:v>
                </c:pt>
                <c:pt idx="96">
                  <c:v>1126141</c:v>
                </c:pt>
                <c:pt idx="97">
                  <c:v>992748</c:v>
                </c:pt>
                <c:pt idx="98">
                  <c:v>1107674</c:v>
                </c:pt>
                <c:pt idx="99">
                  <c:v>994059</c:v>
                </c:pt>
                <c:pt idx="100">
                  <c:v>1686545</c:v>
                </c:pt>
                <c:pt idx="101">
                  <c:v>1686545</c:v>
                </c:pt>
                <c:pt idx="102">
                  <c:v>1686545</c:v>
                </c:pt>
                <c:pt idx="103">
                  <c:v>994227</c:v>
                </c:pt>
                <c:pt idx="104">
                  <c:v>740160</c:v>
                </c:pt>
                <c:pt idx="105">
                  <c:v>1103534</c:v>
                </c:pt>
                <c:pt idx="106">
                  <c:v>850766</c:v>
                </c:pt>
                <c:pt idx="107">
                  <c:v>850766</c:v>
                </c:pt>
                <c:pt idx="108">
                  <c:v>850766</c:v>
                </c:pt>
                <c:pt idx="109">
                  <c:v>850766</c:v>
                </c:pt>
                <c:pt idx="110">
                  <c:v>949194</c:v>
                </c:pt>
                <c:pt idx="111">
                  <c:v>1060330</c:v>
                </c:pt>
                <c:pt idx="112">
                  <c:v>1250532</c:v>
                </c:pt>
                <c:pt idx="113">
                  <c:v>1273371</c:v>
                </c:pt>
                <c:pt idx="114">
                  <c:v>2322406</c:v>
                </c:pt>
                <c:pt idx="115">
                  <c:v>2322406</c:v>
                </c:pt>
                <c:pt idx="116">
                  <c:v>2322406</c:v>
                </c:pt>
                <c:pt idx="117">
                  <c:v>3211792</c:v>
                </c:pt>
                <c:pt idx="118">
                  <c:v>1601205</c:v>
                </c:pt>
                <c:pt idx="119">
                  <c:v>1500145</c:v>
                </c:pt>
                <c:pt idx="120">
                  <c:v>1597239</c:v>
                </c:pt>
                <c:pt idx="121">
                  <c:v>653569</c:v>
                </c:pt>
                <c:pt idx="122">
                  <c:v>653569</c:v>
                </c:pt>
                <c:pt idx="123">
                  <c:v>653569</c:v>
                </c:pt>
                <c:pt idx="124">
                  <c:v>1568789</c:v>
                </c:pt>
                <c:pt idx="125">
                  <c:v>1011256</c:v>
                </c:pt>
                <c:pt idx="126">
                  <c:v>887768</c:v>
                </c:pt>
                <c:pt idx="127">
                  <c:v>805233</c:v>
                </c:pt>
                <c:pt idx="128">
                  <c:v>1108818</c:v>
                </c:pt>
                <c:pt idx="129">
                  <c:v>1108818</c:v>
                </c:pt>
                <c:pt idx="130">
                  <c:v>1108818</c:v>
                </c:pt>
                <c:pt idx="131">
                  <c:v>1855489</c:v>
                </c:pt>
                <c:pt idx="132">
                  <c:v>1326139</c:v>
                </c:pt>
                <c:pt idx="133">
                  <c:v>799645</c:v>
                </c:pt>
                <c:pt idx="134">
                  <c:v>755088</c:v>
                </c:pt>
                <c:pt idx="135">
                  <c:v>983363</c:v>
                </c:pt>
                <c:pt idx="136">
                  <c:v>983363</c:v>
                </c:pt>
                <c:pt idx="137">
                  <c:v>983363</c:v>
                </c:pt>
                <c:pt idx="138">
                  <c:v>828436</c:v>
                </c:pt>
                <c:pt idx="139">
                  <c:v>1025538</c:v>
                </c:pt>
                <c:pt idx="140">
                  <c:v>751642</c:v>
                </c:pt>
                <c:pt idx="141">
                  <c:v>969275</c:v>
                </c:pt>
                <c:pt idx="142">
                  <c:v>1044874</c:v>
                </c:pt>
                <c:pt idx="143">
                  <c:v>1044874</c:v>
                </c:pt>
                <c:pt idx="144">
                  <c:v>1044874</c:v>
                </c:pt>
                <c:pt idx="145">
                  <c:v>1044874</c:v>
                </c:pt>
                <c:pt idx="146">
                  <c:v>1015573</c:v>
                </c:pt>
                <c:pt idx="147">
                  <c:v>1143636</c:v>
                </c:pt>
                <c:pt idx="148">
                  <c:v>1283610</c:v>
                </c:pt>
                <c:pt idx="149">
                  <c:v>1245120</c:v>
                </c:pt>
                <c:pt idx="150">
                  <c:v>1245120</c:v>
                </c:pt>
                <c:pt idx="151">
                  <c:v>1245120</c:v>
                </c:pt>
                <c:pt idx="152">
                  <c:v>1956613</c:v>
                </c:pt>
                <c:pt idx="153">
                  <c:v>2914695</c:v>
                </c:pt>
                <c:pt idx="154">
                  <c:v>1816635</c:v>
                </c:pt>
                <c:pt idx="155">
                  <c:v>3007808</c:v>
                </c:pt>
                <c:pt idx="156">
                  <c:v>3609711</c:v>
                </c:pt>
                <c:pt idx="157">
                  <c:v>3609711</c:v>
                </c:pt>
                <c:pt idx="158">
                  <c:v>3609711</c:v>
                </c:pt>
                <c:pt idx="159">
                  <c:v>2287976</c:v>
                </c:pt>
                <c:pt idx="160">
                  <c:v>1394743</c:v>
                </c:pt>
                <c:pt idx="161">
                  <c:v>1253572</c:v>
                </c:pt>
                <c:pt idx="162">
                  <c:v>1496676</c:v>
                </c:pt>
                <c:pt idx="163">
                  <c:v>1183591</c:v>
                </c:pt>
                <c:pt idx="164">
                  <c:v>1183591</c:v>
                </c:pt>
                <c:pt idx="165">
                  <c:v>1183591</c:v>
                </c:pt>
                <c:pt idx="166">
                  <c:v>1193256</c:v>
                </c:pt>
                <c:pt idx="167">
                  <c:v>811268</c:v>
                </c:pt>
                <c:pt idx="168">
                  <c:v>808229</c:v>
                </c:pt>
                <c:pt idx="169">
                  <c:v>903919</c:v>
                </c:pt>
                <c:pt idx="170">
                  <c:v>1685211</c:v>
                </c:pt>
                <c:pt idx="171">
                  <c:v>1685211</c:v>
                </c:pt>
                <c:pt idx="172">
                  <c:v>1685211</c:v>
                </c:pt>
                <c:pt idx="173">
                  <c:v>1153437</c:v>
                </c:pt>
                <c:pt idx="174">
                  <c:v>841944</c:v>
                </c:pt>
                <c:pt idx="175">
                  <c:v>931744</c:v>
                </c:pt>
                <c:pt idx="176">
                  <c:v>893001</c:v>
                </c:pt>
                <c:pt idx="177">
                  <c:v>1018178</c:v>
                </c:pt>
                <c:pt idx="178">
                  <c:v>1018178</c:v>
                </c:pt>
                <c:pt idx="179">
                  <c:v>1018178</c:v>
                </c:pt>
                <c:pt idx="180">
                  <c:v>1314662</c:v>
                </c:pt>
                <c:pt idx="181">
                  <c:v>1679979</c:v>
                </c:pt>
                <c:pt idx="182">
                  <c:v>1492326</c:v>
                </c:pt>
                <c:pt idx="183">
                  <c:v>2174137</c:v>
                </c:pt>
                <c:pt idx="184">
                  <c:v>2615890</c:v>
                </c:pt>
                <c:pt idx="185">
                  <c:v>2615890</c:v>
                </c:pt>
                <c:pt idx="186">
                  <c:v>2615890</c:v>
                </c:pt>
                <c:pt idx="187">
                  <c:v>1695852</c:v>
                </c:pt>
                <c:pt idx="188">
                  <c:v>1291545</c:v>
                </c:pt>
                <c:pt idx="189">
                  <c:v>2325973</c:v>
                </c:pt>
                <c:pt idx="190">
                  <c:v>1487749</c:v>
                </c:pt>
                <c:pt idx="191">
                  <c:v>1995901</c:v>
                </c:pt>
                <c:pt idx="192">
                  <c:v>1995901</c:v>
                </c:pt>
                <c:pt idx="193">
                  <c:v>1995901</c:v>
                </c:pt>
                <c:pt idx="194">
                  <c:v>1328590</c:v>
                </c:pt>
                <c:pt idx="195">
                  <c:v>1557775</c:v>
                </c:pt>
                <c:pt idx="196">
                  <c:v>1214842</c:v>
                </c:pt>
                <c:pt idx="197">
                  <c:v>1245878</c:v>
                </c:pt>
                <c:pt idx="198">
                  <c:v>1104505</c:v>
                </c:pt>
                <c:pt idx="199">
                  <c:v>1104505</c:v>
                </c:pt>
                <c:pt idx="200">
                  <c:v>1104505</c:v>
                </c:pt>
                <c:pt idx="201">
                  <c:v>1514546</c:v>
                </c:pt>
                <c:pt idx="202">
                  <c:v>2095585</c:v>
                </c:pt>
                <c:pt idx="203">
                  <c:v>2367988</c:v>
                </c:pt>
                <c:pt idx="204">
                  <c:v>1919441</c:v>
                </c:pt>
                <c:pt idx="205">
                  <c:v>1919441</c:v>
                </c:pt>
                <c:pt idx="206">
                  <c:v>1919441</c:v>
                </c:pt>
                <c:pt idx="207">
                  <c:v>1919441</c:v>
                </c:pt>
                <c:pt idx="208">
                  <c:v>3058590</c:v>
                </c:pt>
                <c:pt idx="209">
                  <c:v>2038906</c:v>
                </c:pt>
                <c:pt idx="210">
                  <c:v>1489074</c:v>
                </c:pt>
                <c:pt idx="211">
                  <c:v>1349051</c:v>
                </c:pt>
                <c:pt idx="212">
                  <c:v>898075</c:v>
                </c:pt>
                <c:pt idx="213">
                  <c:v>898075</c:v>
                </c:pt>
                <c:pt idx="214">
                  <c:v>898075</c:v>
                </c:pt>
                <c:pt idx="215">
                  <c:v>809354</c:v>
                </c:pt>
                <c:pt idx="216">
                  <c:v>1084659</c:v>
                </c:pt>
                <c:pt idx="217">
                  <c:v>1045683</c:v>
                </c:pt>
                <c:pt idx="218">
                  <c:v>1397663</c:v>
                </c:pt>
                <c:pt idx="219">
                  <c:v>1400758</c:v>
                </c:pt>
                <c:pt idx="220">
                  <c:v>1400758</c:v>
                </c:pt>
                <c:pt idx="221">
                  <c:v>1400758</c:v>
                </c:pt>
                <c:pt idx="222">
                  <c:v>1122301</c:v>
                </c:pt>
                <c:pt idx="223">
                  <c:v>977036</c:v>
                </c:pt>
                <c:pt idx="224">
                  <c:v>1642409</c:v>
                </c:pt>
                <c:pt idx="225">
                  <c:v>1418544</c:v>
                </c:pt>
                <c:pt idx="226">
                  <c:v>1400811</c:v>
                </c:pt>
                <c:pt idx="227">
                  <c:v>1400811</c:v>
                </c:pt>
                <c:pt idx="228">
                  <c:v>1400811</c:v>
                </c:pt>
                <c:pt idx="229">
                  <c:v>1934695</c:v>
                </c:pt>
                <c:pt idx="230">
                  <c:v>1132229</c:v>
                </c:pt>
                <c:pt idx="231">
                  <c:v>1733913</c:v>
                </c:pt>
                <c:pt idx="232">
                  <c:v>2315715</c:v>
                </c:pt>
                <c:pt idx="233">
                  <c:v>2315715</c:v>
                </c:pt>
                <c:pt idx="234">
                  <c:v>2315715</c:v>
                </c:pt>
                <c:pt idx="235">
                  <c:v>2315715</c:v>
                </c:pt>
                <c:pt idx="236">
                  <c:v>1181427</c:v>
                </c:pt>
                <c:pt idx="237">
                  <c:v>1432095</c:v>
                </c:pt>
                <c:pt idx="238">
                  <c:v>1224705</c:v>
                </c:pt>
                <c:pt idx="239">
                  <c:v>1988831</c:v>
                </c:pt>
                <c:pt idx="240">
                  <c:v>1699154</c:v>
                </c:pt>
                <c:pt idx="241">
                  <c:v>1699154</c:v>
                </c:pt>
                <c:pt idx="242">
                  <c:v>1699154</c:v>
                </c:pt>
                <c:pt idx="243">
                  <c:v>878065</c:v>
                </c:pt>
                <c:pt idx="244">
                  <c:v>878065</c:v>
                </c:pt>
                <c:pt idx="245">
                  <c:v>1223518</c:v>
                </c:pt>
                <c:pt idx="246">
                  <c:v>1077951</c:v>
                </c:pt>
                <c:pt idx="247">
                  <c:v>875122</c:v>
                </c:pt>
                <c:pt idx="248">
                  <c:v>875122</c:v>
                </c:pt>
                <c:pt idx="249">
                  <c:v>875122</c:v>
                </c:pt>
                <c:pt idx="250">
                  <c:v>1005316</c:v>
                </c:pt>
                <c:pt idx="251">
                  <c:v>772818</c:v>
                </c:pt>
                <c:pt idx="252">
                  <c:v>772818</c:v>
                </c:pt>
                <c:pt idx="253">
                  <c:v>792568</c:v>
                </c:pt>
                <c:pt idx="254">
                  <c:v>735346</c:v>
                </c:pt>
                <c:pt idx="255">
                  <c:v>735346</c:v>
                </c:pt>
                <c:pt idx="256">
                  <c:v>735346</c:v>
                </c:pt>
                <c:pt idx="257">
                  <c:v>444867</c:v>
                </c:pt>
                <c:pt idx="258">
                  <c:v>383167</c:v>
                </c:pt>
                <c:pt idx="259">
                  <c:v>383167</c:v>
                </c:pt>
                <c:pt idx="260">
                  <c:v>1094273</c:v>
                </c:pt>
                <c:pt idx="261">
                  <c:v>2446431</c:v>
                </c:pt>
                <c:pt idx="262">
                  <c:v>2446431</c:v>
                </c:pt>
                <c:pt idx="263">
                  <c:v>2446431</c:v>
                </c:pt>
                <c:pt idx="264">
                  <c:v>1757472</c:v>
                </c:pt>
                <c:pt idx="265">
                  <c:v>1423826</c:v>
                </c:pt>
                <c:pt idx="266">
                  <c:v>1357363</c:v>
                </c:pt>
                <c:pt idx="267">
                  <c:v>956866</c:v>
                </c:pt>
                <c:pt idx="268">
                  <c:v>900756</c:v>
                </c:pt>
                <c:pt idx="269">
                  <c:v>900756</c:v>
                </c:pt>
                <c:pt idx="270">
                  <c:v>900756</c:v>
                </c:pt>
                <c:pt idx="271">
                  <c:v>867306</c:v>
                </c:pt>
                <c:pt idx="272">
                  <c:v>1677747</c:v>
                </c:pt>
                <c:pt idx="273">
                  <c:v>1215691</c:v>
                </c:pt>
                <c:pt idx="274">
                  <c:v>1209323</c:v>
                </c:pt>
                <c:pt idx="275">
                  <c:v>1130085</c:v>
                </c:pt>
                <c:pt idx="276">
                  <c:v>1130085</c:v>
                </c:pt>
                <c:pt idx="277">
                  <c:v>1130085</c:v>
                </c:pt>
                <c:pt idx="278">
                  <c:v>1159719</c:v>
                </c:pt>
                <c:pt idx="279">
                  <c:v>1056418</c:v>
                </c:pt>
                <c:pt idx="280">
                  <c:v>1166248</c:v>
                </c:pt>
                <c:pt idx="281">
                  <c:v>1318644</c:v>
                </c:pt>
                <c:pt idx="282">
                  <c:v>732229</c:v>
                </c:pt>
                <c:pt idx="283">
                  <c:v>732229</c:v>
                </c:pt>
                <c:pt idx="284">
                  <c:v>732229</c:v>
                </c:pt>
                <c:pt idx="285">
                  <c:v>1258787</c:v>
                </c:pt>
                <c:pt idx="286">
                  <c:v>1258787</c:v>
                </c:pt>
                <c:pt idx="287">
                  <c:v>1747268</c:v>
                </c:pt>
                <c:pt idx="288">
                  <c:v>3266857</c:v>
                </c:pt>
                <c:pt idx="289">
                  <c:v>2202297</c:v>
                </c:pt>
                <c:pt idx="290">
                  <c:v>2202297</c:v>
                </c:pt>
                <c:pt idx="291">
                  <c:v>2202297</c:v>
                </c:pt>
                <c:pt idx="292">
                  <c:v>4148994</c:v>
                </c:pt>
                <c:pt idx="293">
                  <c:v>1487015</c:v>
                </c:pt>
                <c:pt idx="294">
                  <c:v>1076748</c:v>
                </c:pt>
                <c:pt idx="295">
                  <c:v>1457301</c:v>
                </c:pt>
                <c:pt idx="296">
                  <c:v>1168176</c:v>
                </c:pt>
                <c:pt idx="297">
                  <c:v>1168176</c:v>
                </c:pt>
                <c:pt idx="298">
                  <c:v>1168176</c:v>
                </c:pt>
                <c:pt idx="299">
                  <c:v>1225339</c:v>
                </c:pt>
                <c:pt idx="300">
                  <c:v>1474846</c:v>
                </c:pt>
                <c:pt idx="301">
                  <c:v>1144922</c:v>
                </c:pt>
                <c:pt idx="302">
                  <c:v>1143472</c:v>
                </c:pt>
                <c:pt idx="303">
                  <c:v>1623152</c:v>
                </c:pt>
                <c:pt idx="304">
                  <c:v>1623152</c:v>
                </c:pt>
                <c:pt idx="305">
                  <c:v>1623152</c:v>
                </c:pt>
                <c:pt idx="306">
                  <c:v>1073506</c:v>
                </c:pt>
                <c:pt idx="307">
                  <c:v>1664267</c:v>
                </c:pt>
                <c:pt idx="308">
                  <c:v>902554</c:v>
                </c:pt>
                <c:pt idx="309">
                  <c:v>801931</c:v>
                </c:pt>
                <c:pt idx="310">
                  <c:v>1522533</c:v>
                </c:pt>
                <c:pt idx="311">
                  <c:v>1522533</c:v>
                </c:pt>
                <c:pt idx="312">
                  <c:v>1522533</c:v>
                </c:pt>
                <c:pt idx="313">
                  <c:v>746280</c:v>
                </c:pt>
                <c:pt idx="314">
                  <c:v>785077</c:v>
                </c:pt>
                <c:pt idx="315">
                  <c:v>758578</c:v>
                </c:pt>
                <c:pt idx="316">
                  <c:v>828317</c:v>
                </c:pt>
                <c:pt idx="317">
                  <c:v>591048</c:v>
                </c:pt>
                <c:pt idx="318">
                  <c:v>591048</c:v>
                </c:pt>
                <c:pt idx="319">
                  <c:v>591048</c:v>
                </c:pt>
                <c:pt idx="320">
                  <c:v>718315</c:v>
                </c:pt>
                <c:pt idx="321">
                  <c:v>1112959</c:v>
                </c:pt>
                <c:pt idx="322">
                  <c:v>610159</c:v>
                </c:pt>
                <c:pt idx="323">
                  <c:v>838747</c:v>
                </c:pt>
                <c:pt idx="324">
                  <c:v>749969</c:v>
                </c:pt>
                <c:pt idx="325">
                  <c:v>749969</c:v>
                </c:pt>
                <c:pt idx="326">
                  <c:v>749969</c:v>
                </c:pt>
                <c:pt idx="327">
                  <c:v>1398486</c:v>
                </c:pt>
                <c:pt idx="328">
                  <c:v>867752</c:v>
                </c:pt>
                <c:pt idx="329">
                  <c:v>834560</c:v>
                </c:pt>
                <c:pt idx="330">
                  <c:v>996423</c:v>
                </c:pt>
                <c:pt idx="331">
                  <c:v>653446</c:v>
                </c:pt>
                <c:pt idx="332">
                  <c:v>653446</c:v>
                </c:pt>
                <c:pt idx="333">
                  <c:v>653446</c:v>
                </c:pt>
                <c:pt idx="334">
                  <c:v>578148</c:v>
                </c:pt>
                <c:pt idx="335">
                  <c:v>760351</c:v>
                </c:pt>
                <c:pt idx="336">
                  <c:v>981526</c:v>
                </c:pt>
                <c:pt idx="337">
                  <c:v>942080</c:v>
                </c:pt>
                <c:pt idx="338">
                  <c:v>877896</c:v>
                </c:pt>
                <c:pt idx="339">
                  <c:v>877896</c:v>
                </c:pt>
                <c:pt idx="340">
                  <c:v>877896</c:v>
                </c:pt>
                <c:pt idx="341">
                  <c:v>1103915</c:v>
                </c:pt>
                <c:pt idx="342">
                  <c:v>863795</c:v>
                </c:pt>
                <c:pt idx="343">
                  <c:v>1089177</c:v>
                </c:pt>
                <c:pt idx="344">
                  <c:v>1176773</c:v>
                </c:pt>
                <c:pt idx="345">
                  <c:v>1410903</c:v>
                </c:pt>
                <c:pt idx="346">
                  <c:v>1410903</c:v>
                </c:pt>
                <c:pt idx="347">
                  <c:v>1410903</c:v>
                </c:pt>
                <c:pt idx="348">
                  <c:v>1062180</c:v>
                </c:pt>
                <c:pt idx="349">
                  <c:v>923692</c:v>
                </c:pt>
                <c:pt idx="350">
                  <c:v>1253685</c:v>
                </c:pt>
                <c:pt idx="351">
                  <c:v>1184549</c:v>
                </c:pt>
                <c:pt idx="352">
                  <c:v>2709595</c:v>
                </c:pt>
                <c:pt idx="353">
                  <c:v>2709595</c:v>
                </c:pt>
                <c:pt idx="354">
                  <c:v>2709595</c:v>
                </c:pt>
                <c:pt idx="355">
                  <c:v>1751158</c:v>
                </c:pt>
                <c:pt idx="356">
                  <c:v>1163461</c:v>
                </c:pt>
                <c:pt idx="357">
                  <c:v>983252</c:v>
                </c:pt>
                <c:pt idx="358">
                  <c:v>940225</c:v>
                </c:pt>
                <c:pt idx="359">
                  <c:v>1126196</c:v>
                </c:pt>
                <c:pt idx="360">
                  <c:v>1126196</c:v>
                </c:pt>
                <c:pt idx="361">
                  <c:v>1126196</c:v>
                </c:pt>
                <c:pt idx="362">
                  <c:v>1068685</c:v>
                </c:pt>
                <c:pt idx="363">
                  <c:v>1160011</c:v>
                </c:pt>
                <c:pt idx="364">
                  <c:v>1041587</c:v>
                </c:pt>
                <c:pt idx="365">
                  <c:v>1215266</c:v>
                </c:pt>
                <c:pt idx="366">
                  <c:v>1670319</c:v>
                </c:pt>
                <c:pt idx="367">
                  <c:v>1670319</c:v>
                </c:pt>
                <c:pt idx="368">
                  <c:v>1670319</c:v>
                </c:pt>
                <c:pt idx="369">
                  <c:v>1397289</c:v>
                </c:pt>
                <c:pt idx="370">
                  <c:v>2370341</c:v>
                </c:pt>
                <c:pt idx="371">
                  <c:v>1929731</c:v>
                </c:pt>
                <c:pt idx="372">
                  <c:v>1413160</c:v>
                </c:pt>
                <c:pt idx="373">
                  <c:v>1413160</c:v>
                </c:pt>
                <c:pt idx="374">
                  <c:v>1413160</c:v>
                </c:pt>
                <c:pt idx="375">
                  <c:v>1413160</c:v>
                </c:pt>
                <c:pt idx="376">
                  <c:v>1075066</c:v>
                </c:pt>
                <c:pt idx="377">
                  <c:v>1096819</c:v>
                </c:pt>
                <c:pt idx="378">
                  <c:v>1107170</c:v>
                </c:pt>
                <c:pt idx="379">
                  <c:v>1108515</c:v>
                </c:pt>
                <c:pt idx="380">
                  <c:v>1197519</c:v>
                </c:pt>
                <c:pt idx="381">
                  <c:v>1197519</c:v>
                </c:pt>
                <c:pt idx="382">
                  <c:v>1197519</c:v>
                </c:pt>
                <c:pt idx="383">
                  <c:v>1072734</c:v>
                </c:pt>
                <c:pt idx="384">
                  <c:v>1249228</c:v>
                </c:pt>
                <c:pt idx="385">
                  <c:v>932335</c:v>
                </c:pt>
                <c:pt idx="386">
                  <c:v>1676485</c:v>
                </c:pt>
                <c:pt idx="387">
                  <c:v>2103088</c:v>
                </c:pt>
                <c:pt idx="388">
                  <c:v>2103088</c:v>
                </c:pt>
                <c:pt idx="389">
                  <c:v>2103088</c:v>
                </c:pt>
                <c:pt idx="390">
                  <c:v>3184486</c:v>
                </c:pt>
                <c:pt idx="391">
                  <c:v>2040505</c:v>
                </c:pt>
                <c:pt idx="392">
                  <c:v>1696675</c:v>
                </c:pt>
                <c:pt idx="393">
                  <c:v>1581260</c:v>
                </c:pt>
                <c:pt idx="394">
                  <c:v>1335203</c:v>
                </c:pt>
                <c:pt idx="395">
                  <c:v>1335203</c:v>
                </c:pt>
                <c:pt idx="396">
                  <c:v>1335203</c:v>
                </c:pt>
                <c:pt idx="397">
                  <c:v>1557651</c:v>
                </c:pt>
                <c:pt idx="398">
                  <c:v>1384675</c:v>
                </c:pt>
                <c:pt idx="399">
                  <c:v>1570942</c:v>
                </c:pt>
                <c:pt idx="400">
                  <c:v>2509169</c:v>
                </c:pt>
                <c:pt idx="401">
                  <c:v>2820703</c:v>
                </c:pt>
                <c:pt idx="402">
                  <c:v>2820703</c:v>
                </c:pt>
                <c:pt idx="403">
                  <c:v>2820703</c:v>
                </c:pt>
                <c:pt idx="404">
                  <c:v>2991282</c:v>
                </c:pt>
                <c:pt idx="405">
                  <c:v>1659500</c:v>
                </c:pt>
                <c:pt idx="406">
                  <c:v>2267031</c:v>
                </c:pt>
                <c:pt idx="407">
                  <c:v>1491025</c:v>
                </c:pt>
                <c:pt idx="408">
                  <c:v>1380906</c:v>
                </c:pt>
                <c:pt idx="409">
                  <c:v>1380906</c:v>
                </c:pt>
                <c:pt idx="410">
                  <c:v>1380906</c:v>
                </c:pt>
                <c:pt idx="411">
                  <c:v>1241550</c:v>
                </c:pt>
                <c:pt idx="412">
                  <c:v>1256382</c:v>
                </c:pt>
                <c:pt idx="413">
                  <c:v>1336087</c:v>
                </c:pt>
                <c:pt idx="414">
                  <c:v>1071328</c:v>
                </c:pt>
                <c:pt idx="415">
                  <c:v>1152144</c:v>
                </c:pt>
                <c:pt idx="416">
                  <c:v>1152144</c:v>
                </c:pt>
                <c:pt idx="417">
                  <c:v>1152144</c:v>
                </c:pt>
                <c:pt idx="418">
                  <c:v>1736152</c:v>
                </c:pt>
                <c:pt idx="419">
                  <c:v>1528188</c:v>
                </c:pt>
                <c:pt idx="420">
                  <c:v>1733075</c:v>
                </c:pt>
                <c:pt idx="421">
                  <c:v>1158559</c:v>
                </c:pt>
                <c:pt idx="422">
                  <c:v>1035110</c:v>
                </c:pt>
                <c:pt idx="423">
                  <c:v>1035110</c:v>
                </c:pt>
                <c:pt idx="424">
                  <c:v>1035110</c:v>
                </c:pt>
                <c:pt idx="425">
                  <c:v>1765797</c:v>
                </c:pt>
                <c:pt idx="426">
                  <c:v>1475988</c:v>
                </c:pt>
                <c:pt idx="427">
                  <c:v>2113342</c:v>
                </c:pt>
                <c:pt idx="428">
                  <c:v>1671607</c:v>
                </c:pt>
                <c:pt idx="429">
                  <c:v>1273682</c:v>
                </c:pt>
                <c:pt idx="430">
                  <c:v>1273682</c:v>
                </c:pt>
                <c:pt idx="431">
                  <c:v>1273682</c:v>
                </c:pt>
                <c:pt idx="432">
                  <c:v>668937</c:v>
                </c:pt>
                <c:pt idx="433">
                  <c:v>668937</c:v>
                </c:pt>
                <c:pt idx="434">
                  <c:v>1290228</c:v>
                </c:pt>
                <c:pt idx="435">
                  <c:v>1458106</c:v>
                </c:pt>
                <c:pt idx="436">
                  <c:v>6689701</c:v>
                </c:pt>
                <c:pt idx="437">
                  <c:v>6689701</c:v>
                </c:pt>
                <c:pt idx="438">
                  <c:v>6689701</c:v>
                </c:pt>
                <c:pt idx="439">
                  <c:v>1709352</c:v>
                </c:pt>
                <c:pt idx="440">
                  <c:v>2442533</c:v>
                </c:pt>
                <c:pt idx="441">
                  <c:v>1648594</c:v>
                </c:pt>
                <c:pt idx="442">
                  <c:v>1323116</c:v>
                </c:pt>
                <c:pt idx="443">
                  <c:v>2450701</c:v>
                </c:pt>
                <c:pt idx="444">
                  <c:v>2450701</c:v>
                </c:pt>
                <c:pt idx="445">
                  <c:v>2450701</c:v>
                </c:pt>
                <c:pt idx="446">
                  <c:v>1352587</c:v>
                </c:pt>
                <c:pt idx="447">
                  <c:v>1211963</c:v>
                </c:pt>
                <c:pt idx="448">
                  <c:v>1211963</c:v>
                </c:pt>
                <c:pt idx="449">
                  <c:v>1227920</c:v>
                </c:pt>
                <c:pt idx="450">
                  <c:v>1485224</c:v>
                </c:pt>
                <c:pt idx="451">
                  <c:v>1485224</c:v>
                </c:pt>
                <c:pt idx="452">
                  <c:v>1485224</c:v>
                </c:pt>
                <c:pt idx="453">
                  <c:v>1583920</c:v>
                </c:pt>
                <c:pt idx="454">
                  <c:v>1055547</c:v>
                </c:pt>
                <c:pt idx="455">
                  <c:v>948533</c:v>
                </c:pt>
                <c:pt idx="456">
                  <c:v>1033868</c:v>
                </c:pt>
                <c:pt idx="457">
                  <c:v>1080006</c:v>
                </c:pt>
                <c:pt idx="458">
                  <c:v>1080006</c:v>
                </c:pt>
                <c:pt idx="459">
                  <c:v>1080006</c:v>
                </c:pt>
                <c:pt idx="460">
                  <c:v>1305412</c:v>
                </c:pt>
                <c:pt idx="461">
                  <c:v>1394990</c:v>
                </c:pt>
                <c:pt idx="462">
                  <c:v>1328880</c:v>
                </c:pt>
                <c:pt idx="463">
                  <c:v>1284438</c:v>
                </c:pt>
                <c:pt idx="464">
                  <c:v>2332147</c:v>
                </c:pt>
                <c:pt idx="465">
                  <c:v>2332147</c:v>
                </c:pt>
                <c:pt idx="466">
                  <c:v>2332147</c:v>
                </c:pt>
                <c:pt idx="467">
                  <c:v>1340879</c:v>
                </c:pt>
                <c:pt idx="468">
                  <c:v>1673457</c:v>
                </c:pt>
                <c:pt idx="469">
                  <c:v>1448430</c:v>
                </c:pt>
                <c:pt idx="470">
                  <c:v>1511751</c:v>
                </c:pt>
                <c:pt idx="471">
                  <c:v>1511751</c:v>
                </c:pt>
                <c:pt idx="472">
                  <c:v>1511751</c:v>
                </c:pt>
                <c:pt idx="473">
                  <c:v>1511751</c:v>
                </c:pt>
                <c:pt idx="474">
                  <c:v>1736784</c:v>
                </c:pt>
                <c:pt idx="475">
                  <c:v>1318814</c:v>
                </c:pt>
                <c:pt idx="476">
                  <c:v>1370850</c:v>
                </c:pt>
                <c:pt idx="477">
                  <c:v>1158468</c:v>
                </c:pt>
                <c:pt idx="478">
                  <c:v>1612076</c:v>
                </c:pt>
                <c:pt idx="479">
                  <c:v>1612076</c:v>
                </c:pt>
                <c:pt idx="480">
                  <c:v>1612076</c:v>
                </c:pt>
                <c:pt idx="481">
                  <c:v>3623785</c:v>
                </c:pt>
                <c:pt idx="482">
                  <c:v>1861222</c:v>
                </c:pt>
                <c:pt idx="483">
                  <c:v>1765968</c:v>
                </c:pt>
                <c:pt idx="484">
                  <c:v>1402804</c:v>
                </c:pt>
                <c:pt idx="485">
                  <c:v>1426791</c:v>
                </c:pt>
                <c:pt idx="486">
                  <c:v>1426791</c:v>
                </c:pt>
                <c:pt idx="487">
                  <c:v>1426791</c:v>
                </c:pt>
                <c:pt idx="488">
                  <c:v>995123</c:v>
                </c:pt>
                <c:pt idx="489">
                  <c:v>640330</c:v>
                </c:pt>
                <c:pt idx="490">
                  <c:v>942025</c:v>
                </c:pt>
                <c:pt idx="491">
                  <c:v>1042754</c:v>
                </c:pt>
                <c:pt idx="492">
                  <c:v>1626960</c:v>
                </c:pt>
                <c:pt idx="493">
                  <c:v>1626960</c:v>
                </c:pt>
                <c:pt idx="494">
                  <c:v>1626960</c:v>
                </c:pt>
                <c:pt idx="495">
                  <c:v>1790112</c:v>
                </c:pt>
                <c:pt idx="496">
                  <c:v>2018089</c:v>
                </c:pt>
                <c:pt idx="497">
                  <c:v>1016677</c:v>
                </c:pt>
                <c:pt idx="498">
                  <c:v>847191</c:v>
                </c:pt>
                <c:pt idx="499">
                  <c:v>998338</c:v>
                </c:pt>
                <c:pt idx="500">
                  <c:v>998338</c:v>
                </c:pt>
                <c:pt idx="501">
                  <c:v>998338</c:v>
                </c:pt>
                <c:pt idx="502">
                  <c:v>1316947</c:v>
                </c:pt>
                <c:pt idx="503">
                  <c:v>986781</c:v>
                </c:pt>
                <c:pt idx="504">
                  <c:v>1278290</c:v>
                </c:pt>
                <c:pt idx="505">
                  <c:v>1005524</c:v>
                </c:pt>
                <c:pt idx="506">
                  <c:v>1125406</c:v>
                </c:pt>
                <c:pt idx="507">
                  <c:v>1125406</c:v>
                </c:pt>
                <c:pt idx="508">
                  <c:v>1125406</c:v>
                </c:pt>
                <c:pt idx="509">
                  <c:v>1562949</c:v>
                </c:pt>
                <c:pt idx="510">
                  <c:v>1442287</c:v>
                </c:pt>
                <c:pt idx="511">
                  <c:v>1865373</c:v>
                </c:pt>
                <c:pt idx="512">
                  <c:v>1353286</c:v>
                </c:pt>
                <c:pt idx="513">
                  <c:v>1886049</c:v>
                </c:pt>
                <c:pt idx="514">
                  <c:v>1886049</c:v>
                </c:pt>
                <c:pt idx="515">
                  <c:v>1886049</c:v>
                </c:pt>
                <c:pt idx="516">
                  <c:v>1472958</c:v>
                </c:pt>
                <c:pt idx="517">
                  <c:v>1407738</c:v>
                </c:pt>
                <c:pt idx="518">
                  <c:v>1114502</c:v>
                </c:pt>
                <c:pt idx="519">
                  <c:v>1269842</c:v>
                </c:pt>
                <c:pt idx="520">
                  <c:v>994476</c:v>
                </c:pt>
                <c:pt idx="521">
                  <c:v>994476</c:v>
                </c:pt>
                <c:pt idx="522">
                  <c:v>994476</c:v>
                </c:pt>
                <c:pt idx="523">
                  <c:v>1218568</c:v>
                </c:pt>
                <c:pt idx="524">
                  <c:v>1077389</c:v>
                </c:pt>
                <c:pt idx="525">
                  <c:v>1164615</c:v>
                </c:pt>
                <c:pt idx="526">
                  <c:v>1319513</c:v>
                </c:pt>
                <c:pt idx="527">
                  <c:v>1426777</c:v>
                </c:pt>
                <c:pt idx="528">
                  <c:v>1426777</c:v>
                </c:pt>
                <c:pt idx="529">
                  <c:v>1426777</c:v>
                </c:pt>
                <c:pt idx="530">
                  <c:v>1426777</c:v>
                </c:pt>
                <c:pt idx="531">
                  <c:v>1544016</c:v>
                </c:pt>
                <c:pt idx="532">
                  <c:v>1053208</c:v>
                </c:pt>
                <c:pt idx="533">
                  <c:v>1106511</c:v>
                </c:pt>
                <c:pt idx="534">
                  <c:v>1514764</c:v>
                </c:pt>
                <c:pt idx="535">
                  <c:v>1514764</c:v>
                </c:pt>
                <c:pt idx="536">
                  <c:v>1514764</c:v>
                </c:pt>
                <c:pt idx="537">
                  <c:v>1412009</c:v>
                </c:pt>
                <c:pt idx="538">
                  <c:v>1763392</c:v>
                </c:pt>
                <c:pt idx="539">
                  <c:v>1490596</c:v>
                </c:pt>
                <c:pt idx="540">
                  <c:v>1145226</c:v>
                </c:pt>
                <c:pt idx="541">
                  <c:v>3448456</c:v>
                </c:pt>
                <c:pt idx="542">
                  <c:v>3448456</c:v>
                </c:pt>
                <c:pt idx="543">
                  <c:v>3448456</c:v>
                </c:pt>
                <c:pt idx="544">
                  <c:v>1436371</c:v>
                </c:pt>
                <c:pt idx="545">
                  <c:v>1250718</c:v>
                </c:pt>
                <c:pt idx="546">
                  <c:v>1140931</c:v>
                </c:pt>
                <c:pt idx="547">
                  <c:v>855848</c:v>
                </c:pt>
                <c:pt idx="548">
                  <c:v>1064814</c:v>
                </c:pt>
                <c:pt idx="549">
                  <c:v>1064814</c:v>
                </c:pt>
                <c:pt idx="550">
                  <c:v>1064814</c:v>
                </c:pt>
                <c:pt idx="551">
                  <c:v>1844639</c:v>
                </c:pt>
                <c:pt idx="552">
                  <c:v>1068836</c:v>
                </c:pt>
                <c:pt idx="553">
                  <c:v>1710194</c:v>
                </c:pt>
                <c:pt idx="554">
                  <c:v>1334967</c:v>
                </c:pt>
                <c:pt idx="555">
                  <c:v>1967262</c:v>
                </c:pt>
                <c:pt idx="556">
                  <c:v>1967262</c:v>
                </c:pt>
                <c:pt idx="557">
                  <c:v>1967262</c:v>
                </c:pt>
                <c:pt idx="558">
                  <c:v>2491371</c:v>
                </c:pt>
                <c:pt idx="559">
                  <c:v>1673139</c:v>
                </c:pt>
                <c:pt idx="560">
                  <c:v>1559821</c:v>
                </c:pt>
                <c:pt idx="561">
                  <c:v>1592507</c:v>
                </c:pt>
                <c:pt idx="562">
                  <c:v>1704312</c:v>
                </c:pt>
                <c:pt idx="563">
                  <c:v>1704312</c:v>
                </c:pt>
                <c:pt idx="564">
                  <c:v>1704312</c:v>
                </c:pt>
                <c:pt idx="565">
                  <c:v>2198080</c:v>
                </c:pt>
                <c:pt idx="566">
                  <c:v>1364519</c:v>
                </c:pt>
                <c:pt idx="567">
                  <c:v>1973770</c:v>
                </c:pt>
                <c:pt idx="568">
                  <c:v>2274348</c:v>
                </c:pt>
                <c:pt idx="569">
                  <c:v>2274348</c:v>
                </c:pt>
                <c:pt idx="570">
                  <c:v>2274348</c:v>
                </c:pt>
                <c:pt idx="571">
                  <c:v>2274348</c:v>
                </c:pt>
                <c:pt idx="572">
                  <c:v>4933780</c:v>
                </c:pt>
                <c:pt idx="573">
                  <c:v>2409036</c:v>
                </c:pt>
                <c:pt idx="574">
                  <c:v>1765241</c:v>
                </c:pt>
                <c:pt idx="575">
                  <c:v>1698168</c:v>
                </c:pt>
                <c:pt idx="576">
                  <c:v>1426496</c:v>
                </c:pt>
                <c:pt idx="577">
                  <c:v>1426496</c:v>
                </c:pt>
                <c:pt idx="578">
                  <c:v>1426496</c:v>
                </c:pt>
                <c:pt idx="579">
                  <c:v>1141987</c:v>
                </c:pt>
                <c:pt idx="580">
                  <c:v>1671472</c:v>
                </c:pt>
                <c:pt idx="581">
                  <c:v>1740712</c:v>
                </c:pt>
                <c:pt idx="582">
                  <c:v>2164068</c:v>
                </c:pt>
                <c:pt idx="583">
                  <c:v>1666920</c:v>
                </c:pt>
                <c:pt idx="584">
                  <c:v>1666920</c:v>
                </c:pt>
                <c:pt idx="585">
                  <c:v>1666920</c:v>
                </c:pt>
                <c:pt idx="586">
                  <c:v>1485631</c:v>
                </c:pt>
                <c:pt idx="587">
                  <c:v>1342451</c:v>
                </c:pt>
                <c:pt idx="588">
                  <c:v>1098288</c:v>
                </c:pt>
                <c:pt idx="589">
                  <c:v>969505</c:v>
                </c:pt>
                <c:pt idx="590">
                  <c:v>884867</c:v>
                </c:pt>
                <c:pt idx="591">
                  <c:v>884867</c:v>
                </c:pt>
                <c:pt idx="592">
                  <c:v>884867</c:v>
                </c:pt>
                <c:pt idx="593">
                  <c:v>1103528</c:v>
                </c:pt>
                <c:pt idx="594">
                  <c:v>1447765</c:v>
                </c:pt>
                <c:pt idx="595">
                  <c:v>954977</c:v>
                </c:pt>
                <c:pt idx="596">
                  <c:v>1113633</c:v>
                </c:pt>
                <c:pt idx="597">
                  <c:v>1223122</c:v>
                </c:pt>
                <c:pt idx="598">
                  <c:v>1223122</c:v>
                </c:pt>
                <c:pt idx="599">
                  <c:v>1223122</c:v>
                </c:pt>
                <c:pt idx="600">
                  <c:v>1125947</c:v>
                </c:pt>
                <c:pt idx="601">
                  <c:v>1466344</c:v>
                </c:pt>
                <c:pt idx="602">
                  <c:v>1292917</c:v>
                </c:pt>
                <c:pt idx="603">
                  <c:v>1221788</c:v>
                </c:pt>
                <c:pt idx="604">
                  <c:v>1221788</c:v>
                </c:pt>
                <c:pt idx="605">
                  <c:v>1221788</c:v>
                </c:pt>
                <c:pt idx="606">
                  <c:v>1221788</c:v>
                </c:pt>
                <c:pt idx="607">
                  <c:v>1190633</c:v>
                </c:pt>
                <c:pt idx="608">
                  <c:v>1003895</c:v>
                </c:pt>
                <c:pt idx="609">
                  <c:v>1012452</c:v>
                </c:pt>
                <c:pt idx="610">
                  <c:v>1233377</c:v>
                </c:pt>
                <c:pt idx="611">
                  <c:v>1100346</c:v>
                </c:pt>
                <c:pt idx="612">
                  <c:v>1100346</c:v>
                </c:pt>
                <c:pt idx="613">
                  <c:v>1100346</c:v>
                </c:pt>
                <c:pt idx="614">
                  <c:v>1332129</c:v>
                </c:pt>
                <c:pt idx="615">
                  <c:v>1397639</c:v>
                </c:pt>
                <c:pt idx="616">
                  <c:v>1414830</c:v>
                </c:pt>
                <c:pt idx="617">
                  <c:v>1104338</c:v>
                </c:pt>
                <c:pt idx="618">
                  <c:v>1104338</c:v>
                </c:pt>
                <c:pt idx="619">
                  <c:v>1104338</c:v>
                </c:pt>
                <c:pt idx="620">
                  <c:v>1104338</c:v>
                </c:pt>
                <c:pt idx="621">
                  <c:v>1125212</c:v>
                </c:pt>
                <c:pt idx="622">
                  <c:v>823667</c:v>
                </c:pt>
                <c:pt idx="623">
                  <c:v>966177</c:v>
                </c:pt>
                <c:pt idx="624">
                  <c:v>1077338</c:v>
                </c:pt>
                <c:pt idx="625">
                  <c:v>1077338</c:v>
                </c:pt>
                <c:pt idx="626">
                  <c:v>1077338</c:v>
                </c:pt>
                <c:pt idx="627">
                  <c:v>1077338</c:v>
                </c:pt>
                <c:pt idx="628">
                  <c:v>923319</c:v>
                </c:pt>
                <c:pt idx="629">
                  <c:v>1592340</c:v>
                </c:pt>
                <c:pt idx="630">
                  <c:v>2078511</c:v>
                </c:pt>
                <c:pt idx="631">
                  <c:v>1404594</c:v>
                </c:pt>
                <c:pt idx="632">
                  <c:v>3891407</c:v>
                </c:pt>
                <c:pt idx="633">
                  <c:v>3891407</c:v>
                </c:pt>
                <c:pt idx="634">
                  <c:v>3891407</c:v>
                </c:pt>
                <c:pt idx="635">
                  <c:v>3575951</c:v>
                </c:pt>
                <c:pt idx="636">
                  <c:v>3406894</c:v>
                </c:pt>
                <c:pt idx="637">
                  <c:v>1832114</c:v>
                </c:pt>
                <c:pt idx="638">
                  <c:v>2057864</c:v>
                </c:pt>
                <c:pt idx="639">
                  <c:v>2060489</c:v>
                </c:pt>
                <c:pt idx="640">
                  <c:v>2060489</c:v>
                </c:pt>
                <c:pt idx="641">
                  <c:v>2060489</c:v>
                </c:pt>
                <c:pt idx="642">
                  <c:v>2753831</c:v>
                </c:pt>
                <c:pt idx="643">
                  <c:v>3218320</c:v>
                </c:pt>
                <c:pt idx="644">
                  <c:v>1572659</c:v>
                </c:pt>
                <c:pt idx="645">
                  <c:v>1406019</c:v>
                </c:pt>
                <c:pt idx="646">
                  <c:v>1764888</c:v>
                </c:pt>
                <c:pt idx="647">
                  <c:v>1764888</c:v>
                </c:pt>
                <c:pt idx="648">
                  <c:v>1764888</c:v>
                </c:pt>
                <c:pt idx="649">
                  <c:v>1950212</c:v>
                </c:pt>
                <c:pt idx="650">
                  <c:v>2263455</c:v>
                </c:pt>
                <c:pt idx="651">
                  <c:v>1904781</c:v>
                </c:pt>
                <c:pt idx="652">
                  <c:v>2322197</c:v>
                </c:pt>
                <c:pt idx="653">
                  <c:v>1275270</c:v>
                </c:pt>
                <c:pt idx="654">
                  <c:v>1275270</c:v>
                </c:pt>
                <c:pt idx="655">
                  <c:v>1275270</c:v>
                </c:pt>
                <c:pt idx="656">
                  <c:v>6305481</c:v>
                </c:pt>
                <c:pt idx="657">
                  <c:v>6305481</c:v>
                </c:pt>
                <c:pt idx="658">
                  <c:v>2163097</c:v>
                </c:pt>
                <c:pt idx="659">
                  <c:v>2198785</c:v>
                </c:pt>
                <c:pt idx="660">
                  <c:v>1342869</c:v>
                </c:pt>
                <c:pt idx="661">
                  <c:v>1342869</c:v>
                </c:pt>
                <c:pt idx="662">
                  <c:v>1342869</c:v>
                </c:pt>
                <c:pt idx="663">
                  <c:v>1736210</c:v>
                </c:pt>
                <c:pt idx="664">
                  <c:v>1515546</c:v>
                </c:pt>
                <c:pt idx="665">
                  <c:v>2115848</c:v>
                </c:pt>
                <c:pt idx="666">
                  <c:v>1418119</c:v>
                </c:pt>
                <c:pt idx="667">
                  <c:v>1311894</c:v>
                </c:pt>
                <c:pt idx="668">
                  <c:v>1311894</c:v>
                </c:pt>
                <c:pt idx="669">
                  <c:v>1311894</c:v>
                </c:pt>
                <c:pt idx="670">
                  <c:v>1094908</c:v>
                </c:pt>
                <c:pt idx="671">
                  <c:v>1178232</c:v>
                </c:pt>
                <c:pt idx="672">
                  <c:v>1711526</c:v>
                </c:pt>
                <c:pt idx="673">
                  <c:v>925877</c:v>
                </c:pt>
                <c:pt idx="674">
                  <c:v>1173200</c:v>
                </c:pt>
                <c:pt idx="675">
                  <c:v>1173200</c:v>
                </c:pt>
                <c:pt idx="676">
                  <c:v>1173200</c:v>
                </c:pt>
                <c:pt idx="677">
                  <c:v>1259251</c:v>
                </c:pt>
                <c:pt idx="678">
                  <c:v>1073059</c:v>
                </c:pt>
                <c:pt idx="679">
                  <c:v>1233423</c:v>
                </c:pt>
                <c:pt idx="680">
                  <c:v>1277508</c:v>
                </c:pt>
                <c:pt idx="681">
                  <c:v>1436436</c:v>
                </c:pt>
                <c:pt idx="682">
                  <c:v>1436436</c:v>
                </c:pt>
                <c:pt idx="683">
                  <c:v>1436436</c:v>
                </c:pt>
                <c:pt idx="684">
                  <c:v>1124933</c:v>
                </c:pt>
                <c:pt idx="685">
                  <c:v>773913</c:v>
                </c:pt>
                <c:pt idx="686">
                  <c:v>899080</c:v>
                </c:pt>
                <c:pt idx="687">
                  <c:v>1308132</c:v>
                </c:pt>
                <c:pt idx="688">
                  <c:v>1468239</c:v>
                </c:pt>
                <c:pt idx="689">
                  <c:v>1468239</c:v>
                </c:pt>
                <c:pt idx="690">
                  <c:v>1468239</c:v>
                </c:pt>
                <c:pt idx="691">
                  <c:v>1348063</c:v>
                </c:pt>
                <c:pt idx="692">
                  <c:v>1495038</c:v>
                </c:pt>
                <c:pt idx="693">
                  <c:v>899864</c:v>
                </c:pt>
                <c:pt idx="694">
                  <c:v>1202806</c:v>
                </c:pt>
                <c:pt idx="695">
                  <c:v>1074244</c:v>
                </c:pt>
                <c:pt idx="696">
                  <c:v>1074244</c:v>
                </c:pt>
                <c:pt idx="697">
                  <c:v>1074244</c:v>
                </c:pt>
                <c:pt idx="698">
                  <c:v>1375426</c:v>
                </c:pt>
                <c:pt idx="699">
                  <c:v>942613</c:v>
                </c:pt>
                <c:pt idx="700">
                  <c:v>1317365</c:v>
                </c:pt>
                <c:pt idx="701">
                  <c:v>831227</c:v>
                </c:pt>
                <c:pt idx="702">
                  <c:v>1203467</c:v>
                </c:pt>
                <c:pt idx="703">
                  <c:v>1203467</c:v>
                </c:pt>
                <c:pt idx="704">
                  <c:v>1203467</c:v>
                </c:pt>
                <c:pt idx="705">
                  <c:v>997211</c:v>
                </c:pt>
                <c:pt idx="706">
                  <c:v>1219051</c:v>
                </c:pt>
                <c:pt idx="707">
                  <c:v>1212337</c:v>
                </c:pt>
                <c:pt idx="708">
                  <c:v>1989775</c:v>
                </c:pt>
                <c:pt idx="709">
                  <c:v>2124313</c:v>
                </c:pt>
                <c:pt idx="710">
                  <c:v>2124313</c:v>
                </c:pt>
                <c:pt idx="711">
                  <c:v>2124313</c:v>
                </c:pt>
                <c:pt idx="712">
                  <c:v>1309308</c:v>
                </c:pt>
                <c:pt idx="713">
                  <c:v>1403883</c:v>
                </c:pt>
                <c:pt idx="714">
                  <c:v>1270471</c:v>
                </c:pt>
                <c:pt idx="715">
                  <c:v>1383569</c:v>
                </c:pt>
                <c:pt idx="716">
                  <c:v>2412180</c:v>
                </c:pt>
                <c:pt idx="717">
                  <c:v>2412180</c:v>
                </c:pt>
                <c:pt idx="718">
                  <c:v>2412180</c:v>
                </c:pt>
                <c:pt idx="719">
                  <c:v>2209999</c:v>
                </c:pt>
                <c:pt idx="720">
                  <c:v>1289769</c:v>
                </c:pt>
                <c:pt idx="721">
                  <c:v>1957836</c:v>
                </c:pt>
                <c:pt idx="722">
                  <c:v>969344</c:v>
                </c:pt>
                <c:pt idx="723">
                  <c:v>1986245</c:v>
                </c:pt>
                <c:pt idx="724">
                  <c:v>1986245</c:v>
                </c:pt>
                <c:pt idx="725">
                  <c:v>1986245</c:v>
                </c:pt>
                <c:pt idx="726">
                  <c:v>1272434</c:v>
                </c:pt>
                <c:pt idx="727">
                  <c:v>1104362</c:v>
                </c:pt>
                <c:pt idx="728">
                  <c:v>1127762</c:v>
                </c:pt>
                <c:pt idx="729">
                  <c:v>1428265</c:v>
                </c:pt>
                <c:pt idx="730">
                  <c:v>1838748</c:v>
                </c:pt>
                <c:pt idx="731">
                  <c:v>1838748</c:v>
                </c:pt>
                <c:pt idx="732">
                  <c:v>1838748</c:v>
                </c:pt>
                <c:pt idx="733">
                  <c:v>1028834</c:v>
                </c:pt>
                <c:pt idx="734">
                  <c:v>1002557</c:v>
                </c:pt>
                <c:pt idx="735">
                  <c:v>1474085</c:v>
                </c:pt>
                <c:pt idx="736">
                  <c:v>1249731</c:v>
                </c:pt>
                <c:pt idx="737">
                  <c:v>1249731</c:v>
                </c:pt>
                <c:pt idx="738">
                  <c:v>1249731</c:v>
                </c:pt>
                <c:pt idx="739">
                  <c:v>1249731</c:v>
                </c:pt>
                <c:pt idx="740">
                  <c:v>1515564</c:v>
                </c:pt>
                <c:pt idx="741">
                  <c:v>1815610</c:v>
                </c:pt>
                <c:pt idx="742">
                  <c:v>1875662</c:v>
                </c:pt>
                <c:pt idx="743">
                  <c:v>1247178</c:v>
                </c:pt>
                <c:pt idx="744">
                  <c:v>1099939</c:v>
                </c:pt>
                <c:pt idx="745">
                  <c:v>1099939</c:v>
                </c:pt>
                <c:pt idx="746">
                  <c:v>1099939</c:v>
                </c:pt>
                <c:pt idx="747">
                  <c:v>1380013</c:v>
                </c:pt>
                <c:pt idx="748">
                  <c:v>1582187</c:v>
                </c:pt>
                <c:pt idx="749">
                  <c:v>1664375</c:v>
                </c:pt>
                <c:pt idx="750">
                  <c:v>2549068</c:v>
                </c:pt>
                <c:pt idx="751">
                  <c:v>4233748</c:v>
                </c:pt>
                <c:pt idx="752">
                  <c:v>4233748</c:v>
                </c:pt>
                <c:pt idx="753">
                  <c:v>4233748</c:v>
                </c:pt>
                <c:pt idx="754">
                  <c:v>2149243</c:v>
                </c:pt>
                <c:pt idx="755">
                  <c:v>1870346</c:v>
                </c:pt>
                <c:pt idx="756">
                  <c:v>1576804</c:v>
                </c:pt>
                <c:pt idx="757">
                  <c:v>1058651</c:v>
                </c:pt>
                <c:pt idx="758">
                  <c:v>1217230</c:v>
                </c:pt>
                <c:pt idx="759">
                  <c:v>1217230</c:v>
                </c:pt>
                <c:pt idx="760">
                  <c:v>1217230</c:v>
                </c:pt>
                <c:pt idx="761">
                  <c:v>1284022</c:v>
                </c:pt>
                <c:pt idx="762">
                  <c:v>1361284</c:v>
                </c:pt>
                <c:pt idx="763">
                  <c:v>1354516</c:v>
                </c:pt>
                <c:pt idx="764">
                  <c:v>1009610</c:v>
                </c:pt>
                <c:pt idx="765">
                  <c:v>961226</c:v>
                </c:pt>
                <c:pt idx="766">
                  <c:v>961226</c:v>
                </c:pt>
                <c:pt idx="767">
                  <c:v>961226</c:v>
                </c:pt>
                <c:pt idx="768">
                  <c:v>1083904</c:v>
                </c:pt>
                <c:pt idx="769">
                  <c:v>1078063</c:v>
                </c:pt>
                <c:pt idx="770">
                  <c:v>1116353</c:v>
                </c:pt>
                <c:pt idx="771">
                  <c:v>1169864</c:v>
                </c:pt>
                <c:pt idx="772">
                  <c:v>1194822</c:v>
                </c:pt>
                <c:pt idx="773">
                  <c:v>1194822</c:v>
                </c:pt>
                <c:pt idx="774">
                  <c:v>1194822</c:v>
                </c:pt>
                <c:pt idx="775">
                  <c:v>1977058</c:v>
                </c:pt>
                <c:pt idx="776">
                  <c:v>1759451</c:v>
                </c:pt>
                <c:pt idx="777">
                  <c:v>1160650</c:v>
                </c:pt>
                <c:pt idx="778">
                  <c:v>1301819</c:v>
                </c:pt>
                <c:pt idx="779">
                  <c:v>1195560</c:v>
                </c:pt>
                <c:pt idx="780">
                  <c:v>1195560</c:v>
                </c:pt>
                <c:pt idx="781">
                  <c:v>1195560</c:v>
                </c:pt>
                <c:pt idx="782">
                  <c:v>1285142</c:v>
                </c:pt>
                <c:pt idx="783">
                  <c:v>1664826</c:v>
                </c:pt>
                <c:pt idx="784">
                  <c:v>1575876</c:v>
                </c:pt>
                <c:pt idx="785">
                  <c:v>1509540</c:v>
                </c:pt>
                <c:pt idx="786">
                  <c:v>984373</c:v>
                </c:pt>
                <c:pt idx="787">
                  <c:v>984373</c:v>
                </c:pt>
                <c:pt idx="788">
                  <c:v>984373</c:v>
                </c:pt>
                <c:pt idx="789">
                  <c:v>999604</c:v>
                </c:pt>
                <c:pt idx="790">
                  <c:v>1375960</c:v>
                </c:pt>
                <c:pt idx="791">
                  <c:v>1131255</c:v>
                </c:pt>
                <c:pt idx="792">
                  <c:v>1005476</c:v>
                </c:pt>
                <c:pt idx="793">
                  <c:v>1013910</c:v>
                </c:pt>
                <c:pt idx="794">
                  <c:v>1013910</c:v>
                </c:pt>
                <c:pt idx="795">
                  <c:v>1013910</c:v>
                </c:pt>
                <c:pt idx="796">
                  <c:v>1391430</c:v>
                </c:pt>
                <c:pt idx="797">
                  <c:v>1399248</c:v>
                </c:pt>
                <c:pt idx="798">
                  <c:v>652570</c:v>
                </c:pt>
                <c:pt idx="799">
                  <c:v>652570</c:v>
                </c:pt>
                <c:pt idx="800">
                  <c:v>1848796</c:v>
                </c:pt>
                <c:pt idx="801">
                  <c:v>1848796</c:v>
                </c:pt>
                <c:pt idx="802">
                  <c:v>1848796</c:v>
                </c:pt>
                <c:pt idx="803">
                  <c:v>1871721</c:v>
                </c:pt>
                <c:pt idx="804">
                  <c:v>1676148</c:v>
                </c:pt>
                <c:pt idx="805">
                  <c:v>1405068</c:v>
                </c:pt>
                <c:pt idx="806">
                  <c:v>1360477</c:v>
                </c:pt>
                <c:pt idx="807">
                  <c:v>2033407</c:v>
                </c:pt>
                <c:pt idx="808">
                  <c:v>2033407</c:v>
                </c:pt>
                <c:pt idx="809">
                  <c:v>2033407</c:v>
                </c:pt>
                <c:pt idx="810">
                  <c:v>1518031</c:v>
                </c:pt>
                <c:pt idx="811">
                  <c:v>1868179</c:v>
                </c:pt>
                <c:pt idx="812">
                  <c:v>1701027</c:v>
                </c:pt>
                <c:pt idx="813">
                  <c:v>2120086</c:v>
                </c:pt>
                <c:pt idx="814">
                  <c:v>2120086</c:v>
                </c:pt>
                <c:pt idx="815">
                  <c:v>2120086</c:v>
                </c:pt>
                <c:pt idx="816">
                  <c:v>2120086</c:v>
                </c:pt>
                <c:pt idx="817">
                  <c:v>1471197</c:v>
                </c:pt>
                <c:pt idx="818">
                  <c:v>1900315</c:v>
                </c:pt>
                <c:pt idx="819">
                  <c:v>2141687</c:v>
                </c:pt>
                <c:pt idx="820">
                  <c:v>1527815</c:v>
                </c:pt>
                <c:pt idx="821">
                  <c:v>1254953</c:v>
                </c:pt>
                <c:pt idx="822">
                  <c:v>1254953</c:v>
                </c:pt>
                <c:pt idx="823">
                  <c:v>1254953</c:v>
                </c:pt>
                <c:pt idx="824">
                  <c:v>1317332</c:v>
                </c:pt>
                <c:pt idx="825">
                  <c:v>1928790</c:v>
                </c:pt>
                <c:pt idx="826">
                  <c:v>1927597</c:v>
                </c:pt>
                <c:pt idx="827">
                  <c:v>1656740</c:v>
                </c:pt>
                <c:pt idx="828">
                  <c:v>2855589</c:v>
                </c:pt>
                <c:pt idx="829">
                  <c:v>2855589</c:v>
                </c:pt>
                <c:pt idx="830">
                  <c:v>2855589</c:v>
                </c:pt>
                <c:pt idx="831">
                  <c:v>2116838</c:v>
                </c:pt>
                <c:pt idx="832">
                  <c:v>3384676</c:v>
                </c:pt>
                <c:pt idx="833">
                  <c:v>2094898</c:v>
                </c:pt>
                <c:pt idx="834">
                  <c:v>1413105</c:v>
                </c:pt>
                <c:pt idx="835">
                  <c:v>1413105</c:v>
                </c:pt>
                <c:pt idx="836">
                  <c:v>1413105</c:v>
                </c:pt>
                <c:pt idx="837">
                  <c:v>1413105</c:v>
                </c:pt>
                <c:pt idx="838">
                  <c:v>1540218</c:v>
                </c:pt>
                <c:pt idx="839">
                  <c:v>1716976</c:v>
                </c:pt>
                <c:pt idx="840">
                  <c:v>2111424</c:v>
                </c:pt>
                <c:pt idx="841">
                  <c:v>2936244</c:v>
                </c:pt>
                <c:pt idx="842">
                  <c:v>7522054</c:v>
                </c:pt>
                <c:pt idx="843">
                  <c:v>7522054</c:v>
                </c:pt>
                <c:pt idx="844">
                  <c:v>7522054</c:v>
                </c:pt>
                <c:pt idx="845">
                  <c:v>2034280</c:v>
                </c:pt>
                <c:pt idx="846">
                  <c:v>1843948</c:v>
                </c:pt>
                <c:pt idx="847">
                  <c:v>2181388</c:v>
                </c:pt>
                <c:pt idx="848">
                  <c:v>1466486</c:v>
                </c:pt>
                <c:pt idx="849">
                  <c:v>1331985</c:v>
                </c:pt>
                <c:pt idx="850">
                  <c:v>1331985</c:v>
                </c:pt>
                <c:pt idx="851">
                  <c:v>1331985</c:v>
                </c:pt>
                <c:pt idx="852">
                  <c:v>1825102</c:v>
                </c:pt>
                <c:pt idx="853">
                  <c:v>1014781</c:v>
                </c:pt>
                <c:pt idx="854">
                  <c:v>1478795</c:v>
                </c:pt>
                <c:pt idx="855">
                  <c:v>1106586</c:v>
                </c:pt>
                <c:pt idx="856">
                  <c:v>1862923</c:v>
                </c:pt>
                <c:pt idx="857">
                  <c:v>1862923</c:v>
                </c:pt>
                <c:pt idx="858">
                  <c:v>1862923</c:v>
                </c:pt>
                <c:pt idx="859">
                  <c:v>1383068</c:v>
                </c:pt>
                <c:pt idx="860">
                  <c:v>1235387</c:v>
                </c:pt>
                <c:pt idx="861">
                  <c:v>1547826</c:v>
                </c:pt>
                <c:pt idx="862">
                  <c:v>1184131</c:v>
                </c:pt>
                <c:pt idx="863">
                  <c:v>1987689</c:v>
                </c:pt>
                <c:pt idx="864">
                  <c:v>1987689</c:v>
                </c:pt>
                <c:pt idx="865">
                  <c:v>1987689</c:v>
                </c:pt>
                <c:pt idx="866">
                  <c:v>2741555</c:v>
                </c:pt>
                <c:pt idx="867">
                  <c:v>1416536</c:v>
                </c:pt>
                <c:pt idx="868">
                  <c:v>1688394</c:v>
                </c:pt>
                <c:pt idx="869">
                  <c:v>1132839</c:v>
                </c:pt>
                <c:pt idx="870">
                  <c:v>2556939</c:v>
                </c:pt>
                <c:pt idx="871">
                  <c:v>2556939</c:v>
                </c:pt>
                <c:pt idx="872">
                  <c:v>2556939</c:v>
                </c:pt>
                <c:pt idx="873">
                  <c:v>1336266</c:v>
                </c:pt>
                <c:pt idx="874">
                  <c:v>860049</c:v>
                </c:pt>
                <c:pt idx="875">
                  <c:v>1402026</c:v>
                </c:pt>
                <c:pt idx="876">
                  <c:v>1116645</c:v>
                </c:pt>
                <c:pt idx="877">
                  <c:v>1113204</c:v>
                </c:pt>
                <c:pt idx="878">
                  <c:v>1113204</c:v>
                </c:pt>
                <c:pt idx="879">
                  <c:v>1113204</c:v>
                </c:pt>
                <c:pt idx="880">
                  <c:v>1626988</c:v>
                </c:pt>
                <c:pt idx="881">
                  <c:v>2166169</c:v>
                </c:pt>
                <c:pt idx="882">
                  <c:v>1543991</c:v>
                </c:pt>
                <c:pt idx="883">
                  <c:v>1486501</c:v>
                </c:pt>
                <c:pt idx="884">
                  <c:v>1848473</c:v>
                </c:pt>
                <c:pt idx="885">
                  <c:v>1848473</c:v>
                </c:pt>
                <c:pt idx="886">
                  <c:v>1848473</c:v>
                </c:pt>
                <c:pt idx="887">
                  <c:v>1848473</c:v>
                </c:pt>
                <c:pt idx="888">
                  <c:v>3265696</c:v>
                </c:pt>
                <c:pt idx="889">
                  <c:v>1801589</c:v>
                </c:pt>
                <c:pt idx="890">
                  <c:v>1632336</c:v>
                </c:pt>
                <c:pt idx="891">
                  <c:v>1779199</c:v>
                </c:pt>
                <c:pt idx="892">
                  <c:v>1779199</c:v>
                </c:pt>
                <c:pt idx="893">
                  <c:v>1779199</c:v>
                </c:pt>
                <c:pt idx="894">
                  <c:v>1267986</c:v>
                </c:pt>
                <c:pt idx="895">
                  <c:v>1455126</c:v>
                </c:pt>
                <c:pt idx="896">
                  <c:v>982190</c:v>
                </c:pt>
                <c:pt idx="897">
                  <c:v>1392727</c:v>
                </c:pt>
                <c:pt idx="898">
                  <c:v>1361806</c:v>
                </c:pt>
                <c:pt idx="899">
                  <c:v>1361806</c:v>
                </c:pt>
                <c:pt idx="900">
                  <c:v>1361806</c:v>
                </c:pt>
                <c:pt idx="901">
                  <c:v>1566984</c:v>
                </c:pt>
                <c:pt idx="902">
                  <c:v>1202562</c:v>
                </c:pt>
                <c:pt idx="903">
                  <c:v>1341878</c:v>
                </c:pt>
                <c:pt idx="904">
                  <c:v>1325118</c:v>
                </c:pt>
                <c:pt idx="905">
                  <c:v>3124604</c:v>
                </c:pt>
                <c:pt idx="906">
                  <c:v>3124604</c:v>
                </c:pt>
                <c:pt idx="907">
                  <c:v>3124604</c:v>
                </c:pt>
                <c:pt idx="908">
                  <c:v>1623085</c:v>
                </c:pt>
                <c:pt idx="909">
                  <c:v>1964131</c:v>
                </c:pt>
                <c:pt idx="910">
                  <c:v>1636606</c:v>
                </c:pt>
                <c:pt idx="911">
                  <c:v>2000717</c:v>
                </c:pt>
                <c:pt idx="912">
                  <c:v>2354256</c:v>
                </c:pt>
                <c:pt idx="913">
                  <c:v>2354256</c:v>
                </c:pt>
                <c:pt idx="914">
                  <c:v>2354256</c:v>
                </c:pt>
                <c:pt idx="915">
                  <c:v>2082002</c:v>
                </c:pt>
                <c:pt idx="916">
                  <c:v>1366021</c:v>
                </c:pt>
                <c:pt idx="917">
                  <c:v>1181523</c:v>
                </c:pt>
                <c:pt idx="918">
                  <c:v>1007736</c:v>
                </c:pt>
                <c:pt idx="919">
                  <c:v>1097638</c:v>
                </c:pt>
                <c:pt idx="920">
                  <c:v>1097638</c:v>
                </c:pt>
                <c:pt idx="921">
                  <c:v>1097638</c:v>
                </c:pt>
                <c:pt idx="922">
                  <c:v>959851</c:v>
                </c:pt>
                <c:pt idx="923">
                  <c:v>1354162</c:v>
                </c:pt>
                <c:pt idx="924">
                  <c:v>1465265</c:v>
                </c:pt>
                <c:pt idx="925">
                  <c:v>920270</c:v>
                </c:pt>
                <c:pt idx="926">
                  <c:v>1031191</c:v>
                </c:pt>
                <c:pt idx="927">
                  <c:v>1031191</c:v>
                </c:pt>
                <c:pt idx="928">
                  <c:v>1031191</c:v>
                </c:pt>
                <c:pt idx="929">
                  <c:v>1086909</c:v>
                </c:pt>
                <c:pt idx="930">
                  <c:v>1356315</c:v>
                </c:pt>
                <c:pt idx="931">
                  <c:v>1936287</c:v>
                </c:pt>
                <c:pt idx="932">
                  <c:v>4888741</c:v>
                </c:pt>
                <c:pt idx="933">
                  <c:v>4888741</c:v>
                </c:pt>
                <c:pt idx="934">
                  <c:v>4888741</c:v>
                </c:pt>
                <c:pt idx="935">
                  <c:v>4888741</c:v>
                </c:pt>
                <c:pt idx="936">
                  <c:v>2122517</c:v>
                </c:pt>
                <c:pt idx="937">
                  <c:v>1427213</c:v>
                </c:pt>
                <c:pt idx="938">
                  <c:v>1503012</c:v>
                </c:pt>
                <c:pt idx="939">
                  <c:v>1428415</c:v>
                </c:pt>
                <c:pt idx="940">
                  <c:v>1357031</c:v>
                </c:pt>
                <c:pt idx="941">
                  <c:v>1357031</c:v>
                </c:pt>
                <c:pt idx="942">
                  <c:v>1357031</c:v>
                </c:pt>
                <c:pt idx="943">
                  <c:v>1262724</c:v>
                </c:pt>
                <c:pt idx="944">
                  <c:v>1061635</c:v>
                </c:pt>
                <c:pt idx="945">
                  <c:v>1313101</c:v>
                </c:pt>
                <c:pt idx="946">
                  <c:v>1378222</c:v>
                </c:pt>
                <c:pt idx="947">
                  <c:v>2295555</c:v>
                </c:pt>
                <c:pt idx="948">
                  <c:v>2295555</c:v>
                </c:pt>
                <c:pt idx="949">
                  <c:v>2295555</c:v>
                </c:pt>
                <c:pt idx="950">
                  <c:v>2551299</c:v>
                </c:pt>
                <c:pt idx="951">
                  <c:v>1112216</c:v>
                </c:pt>
                <c:pt idx="952">
                  <c:v>1269810</c:v>
                </c:pt>
                <c:pt idx="953">
                  <c:v>1376197</c:v>
                </c:pt>
                <c:pt idx="954">
                  <c:v>1324532</c:v>
                </c:pt>
                <c:pt idx="955">
                  <c:v>1324532</c:v>
                </c:pt>
                <c:pt idx="956">
                  <c:v>1324532</c:v>
                </c:pt>
                <c:pt idx="957">
                  <c:v>1191128</c:v>
                </c:pt>
                <c:pt idx="958">
                  <c:v>1002076</c:v>
                </c:pt>
                <c:pt idx="959">
                  <c:v>1319744</c:v>
                </c:pt>
                <c:pt idx="960">
                  <c:v>1390547</c:v>
                </c:pt>
                <c:pt idx="961">
                  <c:v>2781474</c:v>
                </c:pt>
                <c:pt idx="962">
                  <c:v>2781474</c:v>
                </c:pt>
                <c:pt idx="963">
                  <c:v>2781474</c:v>
                </c:pt>
                <c:pt idx="964">
                  <c:v>2241235</c:v>
                </c:pt>
                <c:pt idx="965">
                  <c:v>1390780</c:v>
                </c:pt>
                <c:pt idx="966">
                  <c:v>1767716</c:v>
                </c:pt>
                <c:pt idx="967">
                  <c:v>985887</c:v>
                </c:pt>
                <c:pt idx="968">
                  <c:v>985887</c:v>
                </c:pt>
                <c:pt idx="969">
                  <c:v>985887</c:v>
                </c:pt>
                <c:pt idx="970">
                  <c:v>985887</c:v>
                </c:pt>
                <c:pt idx="971">
                  <c:v>1205526</c:v>
                </c:pt>
                <c:pt idx="972">
                  <c:v>1130067</c:v>
                </c:pt>
                <c:pt idx="973">
                  <c:v>1079285</c:v>
                </c:pt>
                <c:pt idx="974">
                  <c:v>1200367</c:v>
                </c:pt>
                <c:pt idx="975">
                  <c:v>1042172</c:v>
                </c:pt>
                <c:pt idx="976">
                  <c:v>1042172</c:v>
                </c:pt>
                <c:pt idx="977">
                  <c:v>1042172</c:v>
                </c:pt>
                <c:pt idx="978">
                  <c:v>1484990</c:v>
                </c:pt>
                <c:pt idx="979">
                  <c:v>1050968</c:v>
                </c:pt>
                <c:pt idx="980">
                  <c:v>1166520</c:v>
                </c:pt>
                <c:pt idx="981">
                  <c:v>760168</c:v>
                </c:pt>
                <c:pt idx="982">
                  <c:v>760168</c:v>
                </c:pt>
                <c:pt idx="983">
                  <c:v>760168</c:v>
                </c:pt>
                <c:pt idx="984">
                  <c:v>760168</c:v>
                </c:pt>
                <c:pt idx="985">
                  <c:v>835369</c:v>
                </c:pt>
                <c:pt idx="986">
                  <c:v>821690</c:v>
                </c:pt>
                <c:pt idx="987">
                  <c:v>713799</c:v>
                </c:pt>
                <c:pt idx="988">
                  <c:v>735690</c:v>
                </c:pt>
                <c:pt idx="989">
                  <c:v>735690</c:v>
                </c:pt>
                <c:pt idx="990">
                  <c:v>735690</c:v>
                </c:pt>
                <c:pt idx="991">
                  <c:v>735690</c:v>
                </c:pt>
                <c:pt idx="992">
                  <c:v>1223831</c:v>
                </c:pt>
                <c:pt idx="993">
                  <c:v>1220725</c:v>
                </c:pt>
                <c:pt idx="994">
                  <c:v>985226</c:v>
                </c:pt>
                <c:pt idx="995">
                  <c:v>1327693</c:v>
                </c:pt>
                <c:pt idx="996">
                  <c:v>3097308</c:v>
                </c:pt>
                <c:pt idx="997">
                  <c:v>3097308</c:v>
                </c:pt>
                <c:pt idx="998">
                  <c:v>3097308</c:v>
                </c:pt>
                <c:pt idx="999">
                  <c:v>1562312</c:v>
                </c:pt>
                <c:pt idx="1000">
                  <c:v>1767498</c:v>
                </c:pt>
                <c:pt idx="1001">
                  <c:v>1675714</c:v>
                </c:pt>
                <c:pt idx="1002">
                  <c:v>1591670</c:v>
                </c:pt>
                <c:pt idx="1003">
                  <c:v>1340607</c:v>
                </c:pt>
                <c:pt idx="1004">
                  <c:v>1340607</c:v>
                </c:pt>
                <c:pt idx="1005">
                  <c:v>1340607</c:v>
                </c:pt>
                <c:pt idx="1006">
                  <c:v>1200395</c:v>
                </c:pt>
                <c:pt idx="1007">
                  <c:v>1433932</c:v>
                </c:pt>
                <c:pt idx="1008">
                  <c:v>1015905</c:v>
                </c:pt>
                <c:pt idx="1009">
                  <c:v>1467632</c:v>
                </c:pt>
                <c:pt idx="1010">
                  <c:v>1471215</c:v>
                </c:pt>
                <c:pt idx="1011">
                  <c:v>1471215</c:v>
                </c:pt>
                <c:pt idx="1012">
                  <c:v>1471215</c:v>
                </c:pt>
                <c:pt idx="1013">
                  <c:v>1747434</c:v>
                </c:pt>
                <c:pt idx="1014">
                  <c:v>2397248</c:v>
                </c:pt>
                <c:pt idx="1015">
                  <c:v>1643098</c:v>
                </c:pt>
                <c:pt idx="1016">
                  <c:v>1978992</c:v>
                </c:pt>
                <c:pt idx="1017">
                  <c:v>1135508</c:v>
                </c:pt>
                <c:pt idx="1018">
                  <c:v>1135508</c:v>
                </c:pt>
                <c:pt idx="1019">
                  <c:v>1135508</c:v>
                </c:pt>
                <c:pt idx="1020">
                  <c:v>5080334</c:v>
                </c:pt>
                <c:pt idx="1021">
                  <c:v>5080334</c:v>
                </c:pt>
                <c:pt idx="1022">
                  <c:v>2195190</c:v>
                </c:pt>
                <c:pt idx="1023">
                  <c:v>1326097</c:v>
                </c:pt>
                <c:pt idx="1024">
                  <c:v>1590787</c:v>
                </c:pt>
                <c:pt idx="1025">
                  <c:v>1590787</c:v>
                </c:pt>
                <c:pt idx="1026">
                  <c:v>1590787</c:v>
                </c:pt>
                <c:pt idx="1027">
                  <c:v>1284968</c:v>
                </c:pt>
                <c:pt idx="1028">
                  <c:v>1101751</c:v>
                </c:pt>
                <c:pt idx="1029">
                  <c:v>1701117</c:v>
                </c:pt>
                <c:pt idx="1030">
                  <c:v>2035739</c:v>
                </c:pt>
                <c:pt idx="1031">
                  <c:v>1519266</c:v>
                </c:pt>
                <c:pt idx="1032">
                  <c:v>1519266</c:v>
                </c:pt>
                <c:pt idx="1033">
                  <c:v>1519266</c:v>
                </c:pt>
                <c:pt idx="1034">
                  <c:v>2370890</c:v>
                </c:pt>
                <c:pt idx="1035">
                  <c:v>2182767</c:v>
                </c:pt>
                <c:pt idx="1036">
                  <c:v>1360751</c:v>
                </c:pt>
                <c:pt idx="1037">
                  <c:v>1186329</c:v>
                </c:pt>
                <c:pt idx="1038">
                  <c:v>1548572</c:v>
                </c:pt>
                <c:pt idx="1039">
                  <c:v>1548572</c:v>
                </c:pt>
                <c:pt idx="1040">
                  <c:v>1548572</c:v>
                </c:pt>
                <c:pt idx="1041">
                  <c:v>1627470</c:v>
                </c:pt>
                <c:pt idx="1042">
                  <c:v>1719635</c:v>
                </c:pt>
                <c:pt idx="1043">
                  <c:v>2269091</c:v>
                </c:pt>
                <c:pt idx="1044">
                  <c:v>1638382</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45918</c:v>
                </c:pt>
                <c:pt idx="1">
                  <c:v>45917</c:v>
                </c:pt>
                <c:pt idx="2">
                  <c:v>45916</c:v>
                </c:pt>
                <c:pt idx="3">
                  <c:v>45915</c:v>
                </c:pt>
                <c:pt idx="4">
                  <c:v>45914</c:v>
                </c:pt>
                <c:pt idx="5">
                  <c:v>45913</c:v>
                </c:pt>
                <c:pt idx="6">
                  <c:v>45912</c:v>
                </c:pt>
                <c:pt idx="7">
                  <c:v>45911</c:v>
                </c:pt>
                <c:pt idx="8">
                  <c:v>45910</c:v>
                </c:pt>
                <c:pt idx="9">
                  <c:v>45909</c:v>
                </c:pt>
                <c:pt idx="10">
                  <c:v>45908</c:v>
                </c:pt>
                <c:pt idx="11">
                  <c:v>45907</c:v>
                </c:pt>
                <c:pt idx="12">
                  <c:v>45906</c:v>
                </c:pt>
                <c:pt idx="13">
                  <c:v>45905</c:v>
                </c:pt>
                <c:pt idx="14">
                  <c:v>45904</c:v>
                </c:pt>
                <c:pt idx="15">
                  <c:v>45903</c:v>
                </c:pt>
                <c:pt idx="16">
                  <c:v>45902</c:v>
                </c:pt>
                <c:pt idx="17">
                  <c:v>45901</c:v>
                </c:pt>
                <c:pt idx="18">
                  <c:v>45900</c:v>
                </c:pt>
                <c:pt idx="19">
                  <c:v>45899</c:v>
                </c:pt>
                <c:pt idx="20">
                  <c:v>45898</c:v>
                </c:pt>
                <c:pt idx="21">
                  <c:v>45897</c:v>
                </c:pt>
                <c:pt idx="22">
                  <c:v>45896</c:v>
                </c:pt>
                <c:pt idx="23">
                  <c:v>45895</c:v>
                </c:pt>
                <c:pt idx="24">
                  <c:v>45894</c:v>
                </c:pt>
                <c:pt idx="25">
                  <c:v>45893</c:v>
                </c:pt>
                <c:pt idx="26">
                  <c:v>45892</c:v>
                </c:pt>
                <c:pt idx="27">
                  <c:v>45891</c:v>
                </c:pt>
                <c:pt idx="28">
                  <c:v>45890</c:v>
                </c:pt>
                <c:pt idx="29">
                  <c:v>45889</c:v>
                </c:pt>
                <c:pt idx="30">
                  <c:v>45888</c:v>
                </c:pt>
                <c:pt idx="31">
                  <c:v>45887</c:v>
                </c:pt>
                <c:pt idx="32">
                  <c:v>45886</c:v>
                </c:pt>
                <c:pt idx="33">
                  <c:v>45885</c:v>
                </c:pt>
                <c:pt idx="34">
                  <c:v>45884</c:v>
                </c:pt>
                <c:pt idx="35">
                  <c:v>45883</c:v>
                </c:pt>
                <c:pt idx="36">
                  <c:v>45882</c:v>
                </c:pt>
                <c:pt idx="37">
                  <c:v>45881</c:v>
                </c:pt>
                <c:pt idx="38">
                  <c:v>45880</c:v>
                </c:pt>
                <c:pt idx="39">
                  <c:v>45879</c:v>
                </c:pt>
                <c:pt idx="40">
                  <c:v>45878</c:v>
                </c:pt>
                <c:pt idx="41">
                  <c:v>45877</c:v>
                </c:pt>
                <c:pt idx="42">
                  <c:v>45876</c:v>
                </c:pt>
                <c:pt idx="43">
                  <c:v>45875</c:v>
                </c:pt>
                <c:pt idx="44">
                  <c:v>45874</c:v>
                </c:pt>
                <c:pt idx="45">
                  <c:v>45873</c:v>
                </c:pt>
                <c:pt idx="46">
                  <c:v>45872</c:v>
                </c:pt>
                <c:pt idx="47">
                  <c:v>45871</c:v>
                </c:pt>
                <c:pt idx="48">
                  <c:v>45870</c:v>
                </c:pt>
                <c:pt idx="49">
                  <c:v>45869</c:v>
                </c:pt>
                <c:pt idx="50">
                  <c:v>45868</c:v>
                </c:pt>
                <c:pt idx="51">
                  <c:v>45867</c:v>
                </c:pt>
                <c:pt idx="52">
                  <c:v>45866</c:v>
                </c:pt>
                <c:pt idx="53">
                  <c:v>45865</c:v>
                </c:pt>
                <c:pt idx="54">
                  <c:v>45864</c:v>
                </c:pt>
                <c:pt idx="55">
                  <c:v>45863</c:v>
                </c:pt>
                <c:pt idx="56">
                  <c:v>45862</c:v>
                </c:pt>
                <c:pt idx="57">
                  <c:v>45861</c:v>
                </c:pt>
                <c:pt idx="58">
                  <c:v>45860</c:v>
                </c:pt>
                <c:pt idx="59">
                  <c:v>45859</c:v>
                </c:pt>
                <c:pt idx="60">
                  <c:v>45858</c:v>
                </c:pt>
                <c:pt idx="61">
                  <c:v>45857</c:v>
                </c:pt>
                <c:pt idx="62">
                  <c:v>45856</c:v>
                </c:pt>
                <c:pt idx="63">
                  <c:v>45855</c:v>
                </c:pt>
                <c:pt idx="64">
                  <c:v>45854</c:v>
                </c:pt>
                <c:pt idx="65">
                  <c:v>45853</c:v>
                </c:pt>
                <c:pt idx="66">
                  <c:v>45852</c:v>
                </c:pt>
                <c:pt idx="67">
                  <c:v>45851</c:v>
                </c:pt>
                <c:pt idx="68">
                  <c:v>45850</c:v>
                </c:pt>
                <c:pt idx="69">
                  <c:v>45849</c:v>
                </c:pt>
                <c:pt idx="70">
                  <c:v>45848</c:v>
                </c:pt>
                <c:pt idx="71">
                  <c:v>45847</c:v>
                </c:pt>
                <c:pt idx="72">
                  <c:v>45846</c:v>
                </c:pt>
                <c:pt idx="73">
                  <c:v>45845</c:v>
                </c:pt>
                <c:pt idx="74">
                  <c:v>45844</c:v>
                </c:pt>
                <c:pt idx="75">
                  <c:v>45843</c:v>
                </c:pt>
                <c:pt idx="76">
                  <c:v>45842</c:v>
                </c:pt>
                <c:pt idx="77">
                  <c:v>45841</c:v>
                </c:pt>
                <c:pt idx="78">
                  <c:v>45840</c:v>
                </c:pt>
                <c:pt idx="79">
                  <c:v>45839</c:v>
                </c:pt>
                <c:pt idx="80">
                  <c:v>45838</c:v>
                </c:pt>
                <c:pt idx="81">
                  <c:v>45837</c:v>
                </c:pt>
                <c:pt idx="82">
                  <c:v>45836</c:v>
                </c:pt>
                <c:pt idx="83">
                  <c:v>45835</c:v>
                </c:pt>
                <c:pt idx="84">
                  <c:v>45834</c:v>
                </c:pt>
                <c:pt idx="85">
                  <c:v>45833</c:v>
                </c:pt>
                <c:pt idx="86">
                  <c:v>45832</c:v>
                </c:pt>
                <c:pt idx="87">
                  <c:v>45831</c:v>
                </c:pt>
                <c:pt idx="88">
                  <c:v>45830</c:v>
                </c:pt>
                <c:pt idx="89">
                  <c:v>45829</c:v>
                </c:pt>
                <c:pt idx="90">
                  <c:v>45828</c:v>
                </c:pt>
                <c:pt idx="91">
                  <c:v>45827</c:v>
                </c:pt>
                <c:pt idx="92">
                  <c:v>45826</c:v>
                </c:pt>
                <c:pt idx="93">
                  <c:v>45825</c:v>
                </c:pt>
                <c:pt idx="94">
                  <c:v>45824</c:v>
                </c:pt>
                <c:pt idx="95">
                  <c:v>45823</c:v>
                </c:pt>
                <c:pt idx="96">
                  <c:v>45822</c:v>
                </c:pt>
                <c:pt idx="97">
                  <c:v>45821</c:v>
                </c:pt>
                <c:pt idx="98">
                  <c:v>45820</c:v>
                </c:pt>
                <c:pt idx="99">
                  <c:v>45819</c:v>
                </c:pt>
                <c:pt idx="100">
                  <c:v>45818</c:v>
                </c:pt>
                <c:pt idx="101">
                  <c:v>45817</c:v>
                </c:pt>
                <c:pt idx="102">
                  <c:v>45816</c:v>
                </c:pt>
                <c:pt idx="103">
                  <c:v>45815</c:v>
                </c:pt>
                <c:pt idx="104">
                  <c:v>45814</c:v>
                </c:pt>
                <c:pt idx="105">
                  <c:v>45813</c:v>
                </c:pt>
                <c:pt idx="106">
                  <c:v>45812</c:v>
                </c:pt>
                <c:pt idx="107">
                  <c:v>45811</c:v>
                </c:pt>
                <c:pt idx="108">
                  <c:v>45810</c:v>
                </c:pt>
                <c:pt idx="109">
                  <c:v>45809</c:v>
                </c:pt>
                <c:pt idx="110">
                  <c:v>45808</c:v>
                </c:pt>
                <c:pt idx="111">
                  <c:v>45807</c:v>
                </c:pt>
                <c:pt idx="112">
                  <c:v>45806</c:v>
                </c:pt>
                <c:pt idx="113">
                  <c:v>45805</c:v>
                </c:pt>
                <c:pt idx="114">
                  <c:v>45804</c:v>
                </c:pt>
                <c:pt idx="115">
                  <c:v>45803</c:v>
                </c:pt>
                <c:pt idx="116">
                  <c:v>45802</c:v>
                </c:pt>
                <c:pt idx="117">
                  <c:v>45801</c:v>
                </c:pt>
                <c:pt idx="118">
                  <c:v>45800</c:v>
                </c:pt>
                <c:pt idx="119">
                  <c:v>45799</c:v>
                </c:pt>
                <c:pt idx="120">
                  <c:v>45798</c:v>
                </c:pt>
                <c:pt idx="121">
                  <c:v>45797</c:v>
                </c:pt>
                <c:pt idx="122">
                  <c:v>45796</c:v>
                </c:pt>
                <c:pt idx="123">
                  <c:v>45795</c:v>
                </c:pt>
                <c:pt idx="124">
                  <c:v>45794</c:v>
                </c:pt>
                <c:pt idx="125">
                  <c:v>45793</c:v>
                </c:pt>
                <c:pt idx="126">
                  <c:v>45792</c:v>
                </c:pt>
                <c:pt idx="127">
                  <c:v>45791</c:v>
                </c:pt>
                <c:pt idx="128">
                  <c:v>45790</c:v>
                </c:pt>
                <c:pt idx="129">
                  <c:v>45789</c:v>
                </c:pt>
                <c:pt idx="130">
                  <c:v>45788</c:v>
                </c:pt>
                <c:pt idx="131">
                  <c:v>45787</c:v>
                </c:pt>
                <c:pt idx="132">
                  <c:v>45786</c:v>
                </c:pt>
                <c:pt idx="133">
                  <c:v>45785</c:v>
                </c:pt>
                <c:pt idx="134">
                  <c:v>45784</c:v>
                </c:pt>
                <c:pt idx="135">
                  <c:v>45783</c:v>
                </c:pt>
                <c:pt idx="136">
                  <c:v>45782</c:v>
                </c:pt>
                <c:pt idx="137">
                  <c:v>45781</c:v>
                </c:pt>
                <c:pt idx="138">
                  <c:v>45780</c:v>
                </c:pt>
                <c:pt idx="139">
                  <c:v>45779</c:v>
                </c:pt>
                <c:pt idx="140">
                  <c:v>45778</c:v>
                </c:pt>
                <c:pt idx="141">
                  <c:v>45777</c:v>
                </c:pt>
                <c:pt idx="142">
                  <c:v>45776</c:v>
                </c:pt>
                <c:pt idx="143">
                  <c:v>45775</c:v>
                </c:pt>
                <c:pt idx="144">
                  <c:v>45774</c:v>
                </c:pt>
                <c:pt idx="145">
                  <c:v>45773</c:v>
                </c:pt>
                <c:pt idx="146">
                  <c:v>45772</c:v>
                </c:pt>
                <c:pt idx="147">
                  <c:v>45771</c:v>
                </c:pt>
                <c:pt idx="148">
                  <c:v>45770</c:v>
                </c:pt>
                <c:pt idx="149">
                  <c:v>45769</c:v>
                </c:pt>
                <c:pt idx="150">
                  <c:v>45768</c:v>
                </c:pt>
                <c:pt idx="151">
                  <c:v>45767</c:v>
                </c:pt>
                <c:pt idx="152">
                  <c:v>45766</c:v>
                </c:pt>
                <c:pt idx="153">
                  <c:v>45765</c:v>
                </c:pt>
                <c:pt idx="154">
                  <c:v>45764</c:v>
                </c:pt>
                <c:pt idx="155">
                  <c:v>45763</c:v>
                </c:pt>
                <c:pt idx="156">
                  <c:v>45762</c:v>
                </c:pt>
                <c:pt idx="157">
                  <c:v>45761</c:v>
                </c:pt>
                <c:pt idx="158">
                  <c:v>45760</c:v>
                </c:pt>
                <c:pt idx="159">
                  <c:v>45759</c:v>
                </c:pt>
                <c:pt idx="160">
                  <c:v>45758</c:v>
                </c:pt>
                <c:pt idx="161">
                  <c:v>45757</c:v>
                </c:pt>
                <c:pt idx="162">
                  <c:v>45756</c:v>
                </c:pt>
                <c:pt idx="163">
                  <c:v>45755</c:v>
                </c:pt>
                <c:pt idx="164">
                  <c:v>45754</c:v>
                </c:pt>
                <c:pt idx="165">
                  <c:v>45753</c:v>
                </c:pt>
                <c:pt idx="166">
                  <c:v>45752</c:v>
                </c:pt>
                <c:pt idx="167">
                  <c:v>45751</c:v>
                </c:pt>
                <c:pt idx="168">
                  <c:v>45750</c:v>
                </c:pt>
                <c:pt idx="169">
                  <c:v>45749</c:v>
                </c:pt>
                <c:pt idx="170">
                  <c:v>45748</c:v>
                </c:pt>
                <c:pt idx="171">
                  <c:v>45747</c:v>
                </c:pt>
                <c:pt idx="172">
                  <c:v>45746</c:v>
                </c:pt>
                <c:pt idx="173">
                  <c:v>45745</c:v>
                </c:pt>
                <c:pt idx="174">
                  <c:v>45744</c:v>
                </c:pt>
                <c:pt idx="175">
                  <c:v>45743</c:v>
                </c:pt>
                <c:pt idx="176">
                  <c:v>45742</c:v>
                </c:pt>
                <c:pt idx="177">
                  <c:v>45741</c:v>
                </c:pt>
                <c:pt idx="178">
                  <c:v>45740</c:v>
                </c:pt>
                <c:pt idx="179">
                  <c:v>45739</c:v>
                </c:pt>
                <c:pt idx="180">
                  <c:v>45738</c:v>
                </c:pt>
                <c:pt idx="181">
                  <c:v>45737</c:v>
                </c:pt>
                <c:pt idx="182">
                  <c:v>45736</c:v>
                </c:pt>
                <c:pt idx="183">
                  <c:v>45735</c:v>
                </c:pt>
                <c:pt idx="184">
                  <c:v>45734</c:v>
                </c:pt>
                <c:pt idx="185">
                  <c:v>45733</c:v>
                </c:pt>
                <c:pt idx="186">
                  <c:v>45732</c:v>
                </c:pt>
                <c:pt idx="187">
                  <c:v>45731</c:v>
                </c:pt>
                <c:pt idx="188">
                  <c:v>45730</c:v>
                </c:pt>
                <c:pt idx="189">
                  <c:v>45729</c:v>
                </c:pt>
                <c:pt idx="190">
                  <c:v>45728</c:v>
                </c:pt>
                <c:pt idx="191">
                  <c:v>45727</c:v>
                </c:pt>
                <c:pt idx="192">
                  <c:v>45726</c:v>
                </c:pt>
                <c:pt idx="193">
                  <c:v>45725</c:v>
                </c:pt>
                <c:pt idx="194">
                  <c:v>45724</c:v>
                </c:pt>
                <c:pt idx="195">
                  <c:v>45723</c:v>
                </c:pt>
                <c:pt idx="196">
                  <c:v>45722</c:v>
                </c:pt>
                <c:pt idx="197">
                  <c:v>45721</c:v>
                </c:pt>
                <c:pt idx="198">
                  <c:v>45720</c:v>
                </c:pt>
                <c:pt idx="199">
                  <c:v>45719</c:v>
                </c:pt>
                <c:pt idx="200">
                  <c:v>45718</c:v>
                </c:pt>
                <c:pt idx="201">
                  <c:v>45717</c:v>
                </c:pt>
                <c:pt idx="202">
                  <c:v>45716</c:v>
                </c:pt>
                <c:pt idx="203">
                  <c:v>45715</c:v>
                </c:pt>
                <c:pt idx="204">
                  <c:v>45714</c:v>
                </c:pt>
                <c:pt idx="205">
                  <c:v>45713</c:v>
                </c:pt>
                <c:pt idx="206">
                  <c:v>45712</c:v>
                </c:pt>
                <c:pt idx="207">
                  <c:v>45711</c:v>
                </c:pt>
                <c:pt idx="208">
                  <c:v>45710</c:v>
                </c:pt>
                <c:pt idx="209">
                  <c:v>45709</c:v>
                </c:pt>
                <c:pt idx="210">
                  <c:v>45708</c:v>
                </c:pt>
                <c:pt idx="211">
                  <c:v>45707</c:v>
                </c:pt>
                <c:pt idx="212">
                  <c:v>45706</c:v>
                </c:pt>
                <c:pt idx="213">
                  <c:v>45705</c:v>
                </c:pt>
                <c:pt idx="214">
                  <c:v>45704</c:v>
                </c:pt>
                <c:pt idx="215">
                  <c:v>45703</c:v>
                </c:pt>
                <c:pt idx="216">
                  <c:v>45702</c:v>
                </c:pt>
                <c:pt idx="217">
                  <c:v>45701</c:v>
                </c:pt>
                <c:pt idx="218">
                  <c:v>45700</c:v>
                </c:pt>
                <c:pt idx="219">
                  <c:v>45699</c:v>
                </c:pt>
                <c:pt idx="220">
                  <c:v>45698</c:v>
                </c:pt>
                <c:pt idx="221">
                  <c:v>45697</c:v>
                </c:pt>
                <c:pt idx="222">
                  <c:v>45696</c:v>
                </c:pt>
                <c:pt idx="223">
                  <c:v>45695</c:v>
                </c:pt>
                <c:pt idx="224">
                  <c:v>45694</c:v>
                </c:pt>
                <c:pt idx="225">
                  <c:v>45693</c:v>
                </c:pt>
                <c:pt idx="226">
                  <c:v>45692</c:v>
                </c:pt>
                <c:pt idx="227">
                  <c:v>45691</c:v>
                </c:pt>
                <c:pt idx="228">
                  <c:v>45690</c:v>
                </c:pt>
                <c:pt idx="229">
                  <c:v>45689</c:v>
                </c:pt>
                <c:pt idx="230">
                  <c:v>45688</c:v>
                </c:pt>
                <c:pt idx="231">
                  <c:v>45687</c:v>
                </c:pt>
                <c:pt idx="232">
                  <c:v>45686</c:v>
                </c:pt>
                <c:pt idx="233">
                  <c:v>45685</c:v>
                </c:pt>
                <c:pt idx="234">
                  <c:v>45684</c:v>
                </c:pt>
                <c:pt idx="235">
                  <c:v>45683</c:v>
                </c:pt>
                <c:pt idx="236">
                  <c:v>45682</c:v>
                </c:pt>
                <c:pt idx="237">
                  <c:v>45681</c:v>
                </c:pt>
                <c:pt idx="238">
                  <c:v>45680</c:v>
                </c:pt>
                <c:pt idx="239">
                  <c:v>45679</c:v>
                </c:pt>
                <c:pt idx="240">
                  <c:v>45678</c:v>
                </c:pt>
                <c:pt idx="241">
                  <c:v>45677</c:v>
                </c:pt>
                <c:pt idx="242">
                  <c:v>45676</c:v>
                </c:pt>
                <c:pt idx="243">
                  <c:v>45675</c:v>
                </c:pt>
                <c:pt idx="244">
                  <c:v>45674</c:v>
                </c:pt>
                <c:pt idx="245">
                  <c:v>45673</c:v>
                </c:pt>
                <c:pt idx="246">
                  <c:v>45672</c:v>
                </c:pt>
                <c:pt idx="247">
                  <c:v>45671</c:v>
                </c:pt>
                <c:pt idx="248">
                  <c:v>45670</c:v>
                </c:pt>
                <c:pt idx="249">
                  <c:v>45669</c:v>
                </c:pt>
                <c:pt idx="250">
                  <c:v>45668</c:v>
                </c:pt>
                <c:pt idx="251">
                  <c:v>45667</c:v>
                </c:pt>
                <c:pt idx="252">
                  <c:v>45666</c:v>
                </c:pt>
                <c:pt idx="253">
                  <c:v>45665</c:v>
                </c:pt>
                <c:pt idx="254">
                  <c:v>45664</c:v>
                </c:pt>
                <c:pt idx="255">
                  <c:v>45663</c:v>
                </c:pt>
                <c:pt idx="256">
                  <c:v>45662</c:v>
                </c:pt>
                <c:pt idx="257">
                  <c:v>45661</c:v>
                </c:pt>
                <c:pt idx="258">
                  <c:v>45660</c:v>
                </c:pt>
                <c:pt idx="259">
                  <c:v>45659</c:v>
                </c:pt>
                <c:pt idx="260">
                  <c:v>45658</c:v>
                </c:pt>
                <c:pt idx="261">
                  <c:v>45657</c:v>
                </c:pt>
                <c:pt idx="262">
                  <c:v>45656</c:v>
                </c:pt>
                <c:pt idx="263">
                  <c:v>45655</c:v>
                </c:pt>
                <c:pt idx="264">
                  <c:v>45654</c:v>
                </c:pt>
                <c:pt idx="265">
                  <c:v>45653</c:v>
                </c:pt>
                <c:pt idx="266">
                  <c:v>45652</c:v>
                </c:pt>
                <c:pt idx="267">
                  <c:v>45651</c:v>
                </c:pt>
                <c:pt idx="268">
                  <c:v>45650</c:v>
                </c:pt>
                <c:pt idx="269">
                  <c:v>45649</c:v>
                </c:pt>
                <c:pt idx="270">
                  <c:v>45648</c:v>
                </c:pt>
                <c:pt idx="271">
                  <c:v>45647</c:v>
                </c:pt>
                <c:pt idx="272">
                  <c:v>45646</c:v>
                </c:pt>
                <c:pt idx="273">
                  <c:v>45645</c:v>
                </c:pt>
                <c:pt idx="274">
                  <c:v>45644</c:v>
                </c:pt>
                <c:pt idx="275">
                  <c:v>45643</c:v>
                </c:pt>
                <c:pt idx="276">
                  <c:v>45642</c:v>
                </c:pt>
                <c:pt idx="277">
                  <c:v>45641</c:v>
                </c:pt>
                <c:pt idx="278">
                  <c:v>45640</c:v>
                </c:pt>
                <c:pt idx="279">
                  <c:v>45639</c:v>
                </c:pt>
                <c:pt idx="280">
                  <c:v>45638</c:v>
                </c:pt>
                <c:pt idx="281">
                  <c:v>45637</c:v>
                </c:pt>
                <c:pt idx="282">
                  <c:v>45636</c:v>
                </c:pt>
                <c:pt idx="283">
                  <c:v>45635</c:v>
                </c:pt>
                <c:pt idx="284">
                  <c:v>45634</c:v>
                </c:pt>
                <c:pt idx="285">
                  <c:v>45633</c:v>
                </c:pt>
                <c:pt idx="286">
                  <c:v>45632</c:v>
                </c:pt>
                <c:pt idx="287">
                  <c:v>45631</c:v>
                </c:pt>
                <c:pt idx="288">
                  <c:v>45630</c:v>
                </c:pt>
                <c:pt idx="289">
                  <c:v>45629</c:v>
                </c:pt>
                <c:pt idx="290">
                  <c:v>45628</c:v>
                </c:pt>
                <c:pt idx="291">
                  <c:v>45627</c:v>
                </c:pt>
                <c:pt idx="292">
                  <c:v>45626</c:v>
                </c:pt>
                <c:pt idx="293">
                  <c:v>45625</c:v>
                </c:pt>
                <c:pt idx="294">
                  <c:v>45624</c:v>
                </c:pt>
                <c:pt idx="295">
                  <c:v>45623</c:v>
                </c:pt>
                <c:pt idx="296">
                  <c:v>45622</c:v>
                </c:pt>
                <c:pt idx="297">
                  <c:v>45621</c:v>
                </c:pt>
                <c:pt idx="298">
                  <c:v>45620</c:v>
                </c:pt>
                <c:pt idx="299">
                  <c:v>45619</c:v>
                </c:pt>
                <c:pt idx="300">
                  <c:v>45618</c:v>
                </c:pt>
                <c:pt idx="301">
                  <c:v>45617</c:v>
                </c:pt>
                <c:pt idx="302">
                  <c:v>45616</c:v>
                </c:pt>
                <c:pt idx="303">
                  <c:v>45615</c:v>
                </c:pt>
                <c:pt idx="304">
                  <c:v>45614</c:v>
                </c:pt>
                <c:pt idx="305">
                  <c:v>45613</c:v>
                </c:pt>
                <c:pt idx="306">
                  <c:v>45612</c:v>
                </c:pt>
                <c:pt idx="307">
                  <c:v>45611</c:v>
                </c:pt>
                <c:pt idx="308">
                  <c:v>45610</c:v>
                </c:pt>
                <c:pt idx="309">
                  <c:v>45609</c:v>
                </c:pt>
                <c:pt idx="310">
                  <c:v>45608</c:v>
                </c:pt>
                <c:pt idx="311">
                  <c:v>45607</c:v>
                </c:pt>
                <c:pt idx="312">
                  <c:v>45606</c:v>
                </c:pt>
                <c:pt idx="313">
                  <c:v>45605</c:v>
                </c:pt>
                <c:pt idx="314">
                  <c:v>45604</c:v>
                </c:pt>
                <c:pt idx="315">
                  <c:v>45603</c:v>
                </c:pt>
                <c:pt idx="316">
                  <c:v>45602</c:v>
                </c:pt>
                <c:pt idx="317">
                  <c:v>45601</c:v>
                </c:pt>
                <c:pt idx="318">
                  <c:v>45600</c:v>
                </c:pt>
                <c:pt idx="319">
                  <c:v>45599</c:v>
                </c:pt>
                <c:pt idx="320">
                  <c:v>45598</c:v>
                </c:pt>
                <c:pt idx="321">
                  <c:v>45597</c:v>
                </c:pt>
                <c:pt idx="322">
                  <c:v>45596</c:v>
                </c:pt>
                <c:pt idx="323">
                  <c:v>45595</c:v>
                </c:pt>
                <c:pt idx="324">
                  <c:v>45594</c:v>
                </c:pt>
                <c:pt idx="325">
                  <c:v>45593</c:v>
                </c:pt>
                <c:pt idx="326">
                  <c:v>45592</c:v>
                </c:pt>
                <c:pt idx="327">
                  <c:v>45591</c:v>
                </c:pt>
                <c:pt idx="328">
                  <c:v>45590</c:v>
                </c:pt>
                <c:pt idx="329">
                  <c:v>45589</c:v>
                </c:pt>
                <c:pt idx="330">
                  <c:v>45588</c:v>
                </c:pt>
                <c:pt idx="331">
                  <c:v>45587</c:v>
                </c:pt>
                <c:pt idx="332">
                  <c:v>45586</c:v>
                </c:pt>
                <c:pt idx="333">
                  <c:v>45585</c:v>
                </c:pt>
                <c:pt idx="334">
                  <c:v>45584</c:v>
                </c:pt>
                <c:pt idx="335">
                  <c:v>45583</c:v>
                </c:pt>
                <c:pt idx="336">
                  <c:v>45582</c:v>
                </c:pt>
                <c:pt idx="337">
                  <c:v>45581</c:v>
                </c:pt>
                <c:pt idx="338">
                  <c:v>45580</c:v>
                </c:pt>
                <c:pt idx="339">
                  <c:v>45579</c:v>
                </c:pt>
                <c:pt idx="340">
                  <c:v>45578</c:v>
                </c:pt>
                <c:pt idx="341">
                  <c:v>45577</c:v>
                </c:pt>
                <c:pt idx="342">
                  <c:v>45576</c:v>
                </c:pt>
                <c:pt idx="343">
                  <c:v>45575</c:v>
                </c:pt>
                <c:pt idx="344">
                  <c:v>45574</c:v>
                </c:pt>
                <c:pt idx="345">
                  <c:v>45573</c:v>
                </c:pt>
                <c:pt idx="346">
                  <c:v>45572</c:v>
                </c:pt>
                <c:pt idx="347">
                  <c:v>45571</c:v>
                </c:pt>
                <c:pt idx="348">
                  <c:v>45570</c:v>
                </c:pt>
                <c:pt idx="349">
                  <c:v>45569</c:v>
                </c:pt>
                <c:pt idx="350">
                  <c:v>45568</c:v>
                </c:pt>
                <c:pt idx="351">
                  <c:v>45567</c:v>
                </c:pt>
                <c:pt idx="352">
                  <c:v>45566</c:v>
                </c:pt>
                <c:pt idx="353">
                  <c:v>45565</c:v>
                </c:pt>
                <c:pt idx="354">
                  <c:v>45564</c:v>
                </c:pt>
                <c:pt idx="355">
                  <c:v>45563</c:v>
                </c:pt>
                <c:pt idx="356">
                  <c:v>45562</c:v>
                </c:pt>
                <c:pt idx="357">
                  <c:v>45561</c:v>
                </c:pt>
                <c:pt idx="358">
                  <c:v>45560</c:v>
                </c:pt>
                <c:pt idx="359">
                  <c:v>45559</c:v>
                </c:pt>
                <c:pt idx="360">
                  <c:v>45558</c:v>
                </c:pt>
                <c:pt idx="361">
                  <c:v>45557</c:v>
                </c:pt>
                <c:pt idx="362">
                  <c:v>45556</c:v>
                </c:pt>
                <c:pt idx="363">
                  <c:v>45555</c:v>
                </c:pt>
                <c:pt idx="364">
                  <c:v>45554</c:v>
                </c:pt>
                <c:pt idx="365">
                  <c:v>45553</c:v>
                </c:pt>
                <c:pt idx="366">
                  <c:v>45552</c:v>
                </c:pt>
                <c:pt idx="367">
                  <c:v>45551</c:v>
                </c:pt>
                <c:pt idx="368">
                  <c:v>45550</c:v>
                </c:pt>
                <c:pt idx="369">
                  <c:v>45549</c:v>
                </c:pt>
                <c:pt idx="370">
                  <c:v>45548</c:v>
                </c:pt>
                <c:pt idx="371">
                  <c:v>45547</c:v>
                </c:pt>
                <c:pt idx="372">
                  <c:v>45546</c:v>
                </c:pt>
                <c:pt idx="373">
                  <c:v>45545</c:v>
                </c:pt>
                <c:pt idx="374">
                  <c:v>45544</c:v>
                </c:pt>
                <c:pt idx="375">
                  <c:v>45543</c:v>
                </c:pt>
                <c:pt idx="376">
                  <c:v>45542</c:v>
                </c:pt>
                <c:pt idx="377">
                  <c:v>45541</c:v>
                </c:pt>
                <c:pt idx="378">
                  <c:v>45540</c:v>
                </c:pt>
                <c:pt idx="379">
                  <c:v>45539</c:v>
                </c:pt>
                <c:pt idx="380">
                  <c:v>45538</c:v>
                </c:pt>
                <c:pt idx="381">
                  <c:v>45537</c:v>
                </c:pt>
                <c:pt idx="382">
                  <c:v>45536</c:v>
                </c:pt>
                <c:pt idx="383">
                  <c:v>45535</c:v>
                </c:pt>
                <c:pt idx="384">
                  <c:v>45534</c:v>
                </c:pt>
                <c:pt idx="385">
                  <c:v>45533</c:v>
                </c:pt>
                <c:pt idx="386">
                  <c:v>45532</c:v>
                </c:pt>
                <c:pt idx="387">
                  <c:v>45531</c:v>
                </c:pt>
                <c:pt idx="388">
                  <c:v>45530</c:v>
                </c:pt>
                <c:pt idx="389">
                  <c:v>45529</c:v>
                </c:pt>
                <c:pt idx="390">
                  <c:v>45528</c:v>
                </c:pt>
                <c:pt idx="391">
                  <c:v>45527</c:v>
                </c:pt>
                <c:pt idx="392">
                  <c:v>45526</c:v>
                </c:pt>
                <c:pt idx="393">
                  <c:v>45525</c:v>
                </c:pt>
                <c:pt idx="394">
                  <c:v>45524</c:v>
                </c:pt>
                <c:pt idx="395">
                  <c:v>45523</c:v>
                </c:pt>
                <c:pt idx="396">
                  <c:v>45522</c:v>
                </c:pt>
                <c:pt idx="397">
                  <c:v>45521</c:v>
                </c:pt>
                <c:pt idx="398">
                  <c:v>45520</c:v>
                </c:pt>
                <c:pt idx="399">
                  <c:v>45519</c:v>
                </c:pt>
                <c:pt idx="400">
                  <c:v>45518</c:v>
                </c:pt>
                <c:pt idx="401">
                  <c:v>45517</c:v>
                </c:pt>
                <c:pt idx="402">
                  <c:v>45516</c:v>
                </c:pt>
                <c:pt idx="403">
                  <c:v>45515</c:v>
                </c:pt>
                <c:pt idx="404">
                  <c:v>45514</c:v>
                </c:pt>
                <c:pt idx="405">
                  <c:v>45513</c:v>
                </c:pt>
                <c:pt idx="406">
                  <c:v>45512</c:v>
                </c:pt>
                <c:pt idx="407">
                  <c:v>45511</c:v>
                </c:pt>
                <c:pt idx="408">
                  <c:v>45510</c:v>
                </c:pt>
                <c:pt idx="409">
                  <c:v>45509</c:v>
                </c:pt>
                <c:pt idx="410">
                  <c:v>45508</c:v>
                </c:pt>
                <c:pt idx="411">
                  <c:v>45507</c:v>
                </c:pt>
                <c:pt idx="412">
                  <c:v>45506</c:v>
                </c:pt>
                <c:pt idx="413">
                  <c:v>45505</c:v>
                </c:pt>
                <c:pt idx="414">
                  <c:v>45504</c:v>
                </c:pt>
                <c:pt idx="415">
                  <c:v>45503</c:v>
                </c:pt>
                <c:pt idx="416">
                  <c:v>45502</c:v>
                </c:pt>
                <c:pt idx="417">
                  <c:v>45501</c:v>
                </c:pt>
                <c:pt idx="418">
                  <c:v>45500</c:v>
                </c:pt>
                <c:pt idx="419">
                  <c:v>45499</c:v>
                </c:pt>
                <c:pt idx="420">
                  <c:v>45498</c:v>
                </c:pt>
                <c:pt idx="421">
                  <c:v>45497</c:v>
                </c:pt>
                <c:pt idx="422">
                  <c:v>45496</c:v>
                </c:pt>
                <c:pt idx="423">
                  <c:v>45495</c:v>
                </c:pt>
                <c:pt idx="424">
                  <c:v>45494</c:v>
                </c:pt>
                <c:pt idx="425">
                  <c:v>45493</c:v>
                </c:pt>
                <c:pt idx="426">
                  <c:v>45492</c:v>
                </c:pt>
                <c:pt idx="427">
                  <c:v>45491</c:v>
                </c:pt>
                <c:pt idx="428">
                  <c:v>45490</c:v>
                </c:pt>
                <c:pt idx="429">
                  <c:v>45489</c:v>
                </c:pt>
                <c:pt idx="430">
                  <c:v>45488</c:v>
                </c:pt>
                <c:pt idx="431">
                  <c:v>45487</c:v>
                </c:pt>
                <c:pt idx="432">
                  <c:v>45486</c:v>
                </c:pt>
                <c:pt idx="433">
                  <c:v>45485</c:v>
                </c:pt>
                <c:pt idx="434">
                  <c:v>45484</c:v>
                </c:pt>
                <c:pt idx="435">
                  <c:v>45483</c:v>
                </c:pt>
                <c:pt idx="436">
                  <c:v>45482</c:v>
                </c:pt>
                <c:pt idx="437">
                  <c:v>45481</c:v>
                </c:pt>
                <c:pt idx="438">
                  <c:v>45480</c:v>
                </c:pt>
                <c:pt idx="439">
                  <c:v>45479</c:v>
                </c:pt>
                <c:pt idx="440">
                  <c:v>45478</c:v>
                </c:pt>
                <c:pt idx="441">
                  <c:v>45477</c:v>
                </c:pt>
                <c:pt idx="442">
                  <c:v>45476</c:v>
                </c:pt>
                <c:pt idx="443">
                  <c:v>45475</c:v>
                </c:pt>
                <c:pt idx="444">
                  <c:v>45474</c:v>
                </c:pt>
                <c:pt idx="445">
                  <c:v>45473</c:v>
                </c:pt>
                <c:pt idx="446">
                  <c:v>45472</c:v>
                </c:pt>
                <c:pt idx="447">
                  <c:v>45471</c:v>
                </c:pt>
                <c:pt idx="448">
                  <c:v>45470</c:v>
                </c:pt>
                <c:pt idx="449">
                  <c:v>45469</c:v>
                </c:pt>
                <c:pt idx="450">
                  <c:v>45468</c:v>
                </c:pt>
                <c:pt idx="451">
                  <c:v>45467</c:v>
                </c:pt>
                <c:pt idx="452">
                  <c:v>45466</c:v>
                </c:pt>
                <c:pt idx="453">
                  <c:v>45465</c:v>
                </c:pt>
                <c:pt idx="454">
                  <c:v>45464</c:v>
                </c:pt>
                <c:pt idx="455">
                  <c:v>45463</c:v>
                </c:pt>
                <c:pt idx="456">
                  <c:v>45462</c:v>
                </c:pt>
                <c:pt idx="457">
                  <c:v>45461</c:v>
                </c:pt>
                <c:pt idx="458">
                  <c:v>45460</c:v>
                </c:pt>
                <c:pt idx="459">
                  <c:v>45459</c:v>
                </c:pt>
                <c:pt idx="460">
                  <c:v>45458</c:v>
                </c:pt>
                <c:pt idx="461">
                  <c:v>45457</c:v>
                </c:pt>
                <c:pt idx="462">
                  <c:v>45456</c:v>
                </c:pt>
                <c:pt idx="463">
                  <c:v>45455</c:v>
                </c:pt>
                <c:pt idx="464">
                  <c:v>45454</c:v>
                </c:pt>
                <c:pt idx="465">
                  <c:v>45453</c:v>
                </c:pt>
                <c:pt idx="466">
                  <c:v>45452</c:v>
                </c:pt>
                <c:pt idx="467">
                  <c:v>45451</c:v>
                </c:pt>
                <c:pt idx="468">
                  <c:v>45450</c:v>
                </c:pt>
                <c:pt idx="469">
                  <c:v>45449</c:v>
                </c:pt>
                <c:pt idx="470">
                  <c:v>45448</c:v>
                </c:pt>
                <c:pt idx="471">
                  <c:v>45447</c:v>
                </c:pt>
                <c:pt idx="472">
                  <c:v>45446</c:v>
                </c:pt>
                <c:pt idx="473">
                  <c:v>45445</c:v>
                </c:pt>
                <c:pt idx="474">
                  <c:v>45444</c:v>
                </c:pt>
                <c:pt idx="475">
                  <c:v>45443</c:v>
                </c:pt>
                <c:pt idx="476">
                  <c:v>45442</c:v>
                </c:pt>
                <c:pt idx="477">
                  <c:v>45441</c:v>
                </c:pt>
                <c:pt idx="478">
                  <c:v>45440</c:v>
                </c:pt>
                <c:pt idx="479">
                  <c:v>45439</c:v>
                </c:pt>
                <c:pt idx="480">
                  <c:v>45438</c:v>
                </c:pt>
                <c:pt idx="481">
                  <c:v>45437</c:v>
                </c:pt>
                <c:pt idx="482">
                  <c:v>45436</c:v>
                </c:pt>
                <c:pt idx="483">
                  <c:v>45435</c:v>
                </c:pt>
                <c:pt idx="484">
                  <c:v>45434</c:v>
                </c:pt>
                <c:pt idx="485">
                  <c:v>45433</c:v>
                </c:pt>
                <c:pt idx="486">
                  <c:v>45432</c:v>
                </c:pt>
                <c:pt idx="487">
                  <c:v>45431</c:v>
                </c:pt>
                <c:pt idx="488">
                  <c:v>45430</c:v>
                </c:pt>
                <c:pt idx="489">
                  <c:v>45429</c:v>
                </c:pt>
                <c:pt idx="490">
                  <c:v>45428</c:v>
                </c:pt>
                <c:pt idx="491">
                  <c:v>45427</c:v>
                </c:pt>
                <c:pt idx="492">
                  <c:v>45426</c:v>
                </c:pt>
                <c:pt idx="493">
                  <c:v>45425</c:v>
                </c:pt>
                <c:pt idx="494">
                  <c:v>45424</c:v>
                </c:pt>
                <c:pt idx="495">
                  <c:v>45423</c:v>
                </c:pt>
                <c:pt idx="496">
                  <c:v>45422</c:v>
                </c:pt>
                <c:pt idx="497">
                  <c:v>45421</c:v>
                </c:pt>
                <c:pt idx="498">
                  <c:v>45420</c:v>
                </c:pt>
                <c:pt idx="499">
                  <c:v>45419</c:v>
                </c:pt>
                <c:pt idx="500">
                  <c:v>45418</c:v>
                </c:pt>
                <c:pt idx="501">
                  <c:v>45417</c:v>
                </c:pt>
                <c:pt idx="502">
                  <c:v>45416</c:v>
                </c:pt>
                <c:pt idx="503">
                  <c:v>45415</c:v>
                </c:pt>
                <c:pt idx="504">
                  <c:v>45414</c:v>
                </c:pt>
                <c:pt idx="505">
                  <c:v>45413</c:v>
                </c:pt>
                <c:pt idx="506">
                  <c:v>45412</c:v>
                </c:pt>
                <c:pt idx="507">
                  <c:v>45411</c:v>
                </c:pt>
                <c:pt idx="508">
                  <c:v>45410</c:v>
                </c:pt>
                <c:pt idx="509">
                  <c:v>45409</c:v>
                </c:pt>
                <c:pt idx="510">
                  <c:v>45408</c:v>
                </c:pt>
                <c:pt idx="511">
                  <c:v>45407</c:v>
                </c:pt>
                <c:pt idx="512">
                  <c:v>45406</c:v>
                </c:pt>
                <c:pt idx="513">
                  <c:v>45405</c:v>
                </c:pt>
                <c:pt idx="514">
                  <c:v>45404</c:v>
                </c:pt>
                <c:pt idx="515">
                  <c:v>45403</c:v>
                </c:pt>
                <c:pt idx="516">
                  <c:v>45402</c:v>
                </c:pt>
                <c:pt idx="517">
                  <c:v>45401</c:v>
                </c:pt>
                <c:pt idx="518">
                  <c:v>45400</c:v>
                </c:pt>
                <c:pt idx="519">
                  <c:v>45399</c:v>
                </c:pt>
                <c:pt idx="520">
                  <c:v>45398</c:v>
                </c:pt>
                <c:pt idx="521">
                  <c:v>45397</c:v>
                </c:pt>
                <c:pt idx="522">
                  <c:v>45396</c:v>
                </c:pt>
                <c:pt idx="523">
                  <c:v>45395</c:v>
                </c:pt>
                <c:pt idx="524">
                  <c:v>45394</c:v>
                </c:pt>
                <c:pt idx="525">
                  <c:v>45393</c:v>
                </c:pt>
                <c:pt idx="526">
                  <c:v>45392</c:v>
                </c:pt>
                <c:pt idx="527">
                  <c:v>45391</c:v>
                </c:pt>
                <c:pt idx="528">
                  <c:v>45390</c:v>
                </c:pt>
                <c:pt idx="529">
                  <c:v>45389</c:v>
                </c:pt>
                <c:pt idx="530">
                  <c:v>45388</c:v>
                </c:pt>
                <c:pt idx="531">
                  <c:v>45387</c:v>
                </c:pt>
                <c:pt idx="532">
                  <c:v>45386</c:v>
                </c:pt>
                <c:pt idx="533">
                  <c:v>45385</c:v>
                </c:pt>
                <c:pt idx="534">
                  <c:v>45384</c:v>
                </c:pt>
                <c:pt idx="535">
                  <c:v>45383</c:v>
                </c:pt>
                <c:pt idx="536">
                  <c:v>45382</c:v>
                </c:pt>
                <c:pt idx="537">
                  <c:v>45381</c:v>
                </c:pt>
                <c:pt idx="538">
                  <c:v>45380</c:v>
                </c:pt>
                <c:pt idx="539">
                  <c:v>45379</c:v>
                </c:pt>
                <c:pt idx="540">
                  <c:v>45378</c:v>
                </c:pt>
                <c:pt idx="541">
                  <c:v>45377</c:v>
                </c:pt>
                <c:pt idx="542">
                  <c:v>45376</c:v>
                </c:pt>
                <c:pt idx="543">
                  <c:v>45375</c:v>
                </c:pt>
                <c:pt idx="544">
                  <c:v>45374</c:v>
                </c:pt>
                <c:pt idx="545">
                  <c:v>45373</c:v>
                </c:pt>
                <c:pt idx="546">
                  <c:v>45372</c:v>
                </c:pt>
                <c:pt idx="547">
                  <c:v>45371</c:v>
                </c:pt>
                <c:pt idx="548">
                  <c:v>45370</c:v>
                </c:pt>
                <c:pt idx="549">
                  <c:v>45369</c:v>
                </c:pt>
                <c:pt idx="550">
                  <c:v>45368</c:v>
                </c:pt>
                <c:pt idx="551">
                  <c:v>45367</c:v>
                </c:pt>
                <c:pt idx="552">
                  <c:v>45366</c:v>
                </c:pt>
                <c:pt idx="553">
                  <c:v>45365</c:v>
                </c:pt>
                <c:pt idx="554">
                  <c:v>45364</c:v>
                </c:pt>
                <c:pt idx="555">
                  <c:v>45363</c:v>
                </c:pt>
                <c:pt idx="556">
                  <c:v>45362</c:v>
                </c:pt>
                <c:pt idx="557">
                  <c:v>45361</c:v>
                </c:pt>
                <c:pt idx="558">
                  <c:v>45360</c:v>
                </c:pt>
                <c:pt idx="559">
                  <c:v>45359</c:v>
                </c:pt>
                <c:pt idx="560">
                  <c:v>45358</c:v>
                </c:pt>
                <c:pt idx="561">
                  <c:v>45357</c:v>
                </c:pt>
                <c:pt idx="562">
                  <c:v>45356</c:v>
                </c:pt>
                <c:pt idx="563">
                  <c:v>45355</c:v>
                </c:pt>
                <c:pt idx="564">
                  <c:v>45354</c:v>
                </c:pt>
                <c:pt idx="565">
                  <c:v>45353</c:v>
                </c:pt>
                <c:pt idx="566">
                  <c:v>45352</c:v>
                </c:pt>
                <c:pt idx="567">
                  <c:v>45351</c:v>
                </c:pt>
                <c:pt idx="568">
                  <c:v>45350</c:v>
                </c:pt>
                <c:pt idx="569">
                  <c:v>45349</c:v>
                </c:pt>
                <c:pt idx="570">
                  <c:v>45348</c:v>
                </c:pt>
                <c:pt idx="571">
                  <c:v>45347</c:v>
                </c:pt>
                <c:pt idx="572">
                  <c:v>45346</c:v>
                </c:pt>
                <c:pt idx="573">
                  <c:v>45345</c:v>
                </c:pt>
                <c:pt idx="574">
                  <c:v>45344</c:v>
                </c:pt>
                <c:pt idx="575">
                  <c:v>45343</c:v>
                </c:pt>
                <c:pt idx="576">
                  <c:v>45342</c:v>
                </c:pt>
                <c:pt idx="577">
                  <c:v>45341</c:v>
                </c:pt>
                <c:pt idx="578">
                  <c:v>45340</c:v>
                </c:pt>
                <c:pt idx="579">
                  <c:v>45339</c:v>
                </c:pt>
                <c:pt idx="580">
                  <c:v>45338</c:v>
                </c:pt>
                <c:pt idx="581">
                  <c:v>45337</c:v>
                </c:pt>
                <c:pt idx="582">
                  <c:v>45336</c:v>
                </c:pt>
                <c:pt idx="583">
                  <c:v>45335</c:v>
                </c:pt>
                <c:pt idx="584">
                  <c:v>45334</c:v>
                </c:pt>
                <c:pt idx="585">
                  <c:v>45333</c:v>
                </c:pt>
                <c:pt idx="586">
                  <c:v>45332</c:v>
                </c:pt>
                <c:pt idx="587">
                  <c:v>45331</c:v>
                </c:pt>
                <c:pt idx="588">
                  <c:v>45330</c:v>
                </c:pt>
                <c:pt idx="589">
                  <c:v>45329</c:v>
                </c:pt>
                <c:pt idx="590">
                  <c:v>45328</c:v>
                </c:pt>
                <c:pt idx="591">
                  <c:v>45327</c:v>
                </c:pt>
                <c:pt idx="592">
                  <c:v>45326</c:v>
                </c:pt>
                <c:pt idx="593">
                  <c:v>45325</c:v>
                </c:pt>
                <c:pt idx="594">
                  <c:v>45324</c:v>
                </c:pt>
                <c:pt idx="595">
                  <c:v>45323</c:v>
                </c:pt>
                <c:pt idx="596">
                  <c:v>45322</c:v>
                </c:pt>
                <c:pt idx="597">
                  <c:v>45321</c:v>
                </c:pt>
                <c:pt idx="598">
                  <c:v>45320</c:v>
                </c:pt>
                <c:pt idx="599">
                  <c:v>45319</c:v>
                </c:pt>
                <c:pt idx="600">
                  <c:v>45318</c:v>
                </c:pt>
                <c:pt idx="601">
                  <c:v>45317</c:v>
                </c:pt>
                <c:pt idx="602">
                  <c:v>45316</c:v>
                </c:pt>
                <c:pt idx="603">
                  <c:v>45315</c:v>
                </c:pt>
                <c:pt idx="604">
                  <c:v>45314</c:v>
                </c:pt>
                <c:pt idx="605">
                  <c:v>45313</c:v>
                </c:pt>
                <c:pt idx="606">
                  <c:v>45312</c:v>
                </c:pt>
                <c:pt idx="607">
                  <c:v>45311</c:v>
                </c:pt>
                <c:pt idx="608">
                  <c:v>45310</c:v>
                </c:pt>
                <c:pt idx="609">
                  <c:v>45309</c:v>
                </c:pt>
                <c:pt idx="610">
                  <c:v>45308</c:v>
                </c:pt>
                <c:pt idx="611">
                  <c:v>45307</c:v>
                </c:pt>
                <c:pt idx="612">
                  <c:v>45306</c:v>
                </c:pt>
                <c:pt idx="613">
                  <c:v>45305</c:v>
                </c:pt>
                <c:pt idx="614">
                  <c:v>45304</c:v>
                </c:pt>
                <c:pt idx="615">
                  <c:v>45303</c:v>
                </c:pt>
                <c:pt idx="616">
                  <c:v>45302</c:v>
                </c:pt>
                <c:pt idx="617">
                  <c:v>45301</c:v>
                </c:pt>
                <c:pt idx="618">
                  <c:v>45300</c:v>
                </c:pt>
                <c:pt idx="619">
                  <c:v>45299</c:v>
                </c:pt>
                <c:pt idx="620">
                  <c:v>45298</c:v>
                </c:pt>
                <c:pt idx="621">
                  <c:v>45297</c:v>
                </c:pt>
                <c:pt idx="622">
                  <c:v>45296</c:v>
                </c:pt>
                <c:pt idx="623">
                  <c:v>45295</c:v>
                </c:pt>
                <c:pt idx="624">
                  <c:v>45294</c:v>
                </c:pt>
                <c:pt idx="625">
                  <c:v>45293</c:v>
                </c:pt>
                <c:pt idx="626">
                  <c:v>45292</c:v>
                </c:pt>
                <c:pt idx="627">
                  <c:v>45291</c:v>
                </c:pt>
                <c:pt idx="628">
                  <c:v>45290</c:v>
                </c:pt>
                <c:pt idx="629">
                  <c:v>45289</c:v>
                </c:pt>
                <c:pt idx="630">
                  <c:v>45288</c:v>
                </c:pt>
                <c:pt idx="631">
                  <c:v>45287</c:v>
                </c:pt>
                <c:pt idx="632">
                  <c:v>45286</c:v>
                </c:pt>
                <c:pt idx="633">
                  <c:v>45285</c:v>
                </c:pt>
                <c:pt idx="634">
                  <c:v>45284</c:v>
                </c:pt>
                <c:pt idx="635">
                  <c:v>45283</c:v>
                </c:pt>
                <c:pt idx="636">
                  <c:v>45282</c:v>
                </c:pt>
                <c:pt idx="637">
                  <c:v>45281</c:v>
                </c:pt>
                <c:pt idx="638">
                  <c:v>45280</c:v>
                </c:pt>
                <c:pt idx="639">
                  <c:v>45279</c:v>
                </c:pt>
                <c:pt idx="640">
                  <c:v>45278</c:v>
                </c:pt>
                <c:pt idx="641">
                  <c:v>45277</c:v>
                </c:pt>
                <c:pt idx="642">
                  <c:v>45276</c:v>
                </c:pt>
                <c:pt idx="643">
                  <c:v>45275</c:v>
                </c:pt>
                <c:pt idx="644">
                  <c:v>45274</c:v>
                </c:pt>
                <c:pt idx="645">
                  <c:v>45273</c:v>
                </c:pt>
                <c:pt idx="646">
                  <c:v>45272</c:v>
                </c:pt>
                <c:pt idx="647">
                  <c:v>45271</c:v>
                </c:pt>
                <c:pt idx="648">
                  <c:v>45270</c:v>
                </c:pt>
                <c:pt idx="649">
                  <c:v>45269</c:v>
                </c:pt>
                <c:pt idx="650">
                  <c:v>45268</c:v>
                </c:pt>
                <c:pt idx="651">
                  <c:v>45267</c:v>
                </c:pt>
                <c:pt idx="652">
                  <c:v>45266</c:v>
                </c:pt>
                <c:pt idx="653">
                  <c:v>45265</c:v>
                </c:pt>
                <c:pt idx="654">
                  <c:v>45264</c:v>
                </c:pt>
                <c:pt idx="655">
                  <c:v>45263</c:v>
                </c:pt>
                <c:pt idx="656">
                  <c:v>45262</c:v>
                </c:pt>
                <c:pt idx="657">
                  <c:v>45261</c:v>
                </c:pt>
                <c:pt idx="658">
                  <c:v>45260</c:v>
                </c:pt>
                <c:pt idx="659">
                  <c:v>45259</c:v>
                </c:pt>
                <c:pt idx="660">
                  <c:v>45258</c:v>
                </c:pt>
                <c:pt idx="661">
                  <c:v>45257</c:v>
                </c:pt>
                <c:pt idx="662">
                  <c:v>45256</c:v>
                </c:pt>
                <c:pt idx="663">
                  <c:v>45255</c:v>
                </c:pt>
                <c:pt idx="664">
                  <c:v>45254</c:v>
                </c:pt>
                <c:pt idx="665">
                  <c:v>45253</c:v>
                </c:pt>
                <c:pt idx="666">
                  <c:v>45252</c:v>
                </c:pt>
                <c:pt idx="667">
                  <c:v>45251</c:v>
                </c:pt>
                <c:pt idx="668">
                  <c:v>45250</c:v>
                </c:pt>
                <c:pt idx="669">
                  <c:v>45249</c:v>
                </c:pt>
                <c:pt idx="670">
                  <c:v>45248</c:v>
                </c:pt>
                <c:pt idx="671">
                  <c:v>45247</c:v>
                </c:pt>
                <c:pt idx="672">
                  <c:v>45246</c:v>
                </c:pt>
                <c:pt idx="673">
                  <c:v>45245</c:v>
                </c:pt>
                <c:pt idx="674">
                  <c:v>45244</c:v>
                </c:pt>
                <c:pt idx="675">
                  <c:v>45243</c:v>
                </c:pt>
                <c:pt idx="676">
                  <c:v>45242</c:v>
                </c:pt>
                <c:pt idx="677">
                  <c:v>45241</c:v>
                </c:pt>
                <c:pt idx="678">
                  <c:v>45240</c:v>
                </c:pt>
                <c:pt idx="679">
                  <c:v>45239</c:v>
                </c:pt>
                <c:pt idx="680">
                  <c:v>45238</c:v>
                </c:pt>
                <c:pt idx="681">
                  <c:v>45237</c:v>
                </c:pt>
                <c:pt idx="682">
                  <c:v>45236</c:v>
                </c:pt>
                <c:pt idx="683">
                  <c:v>45235</c:v>
                </c:pt>
                <c:pt idx="684">
                  <c:v>45234</c:v>
                </c:pt>
                <c:pt idx="685">
                  <c:v>45233</c:v>
                </c:pt>
                <c:pt idx="686">
                  <c:v>45232</c:v>
                </c:pt>
                <c:pt idx="687">
                  <c:v>45231</c:v>
                </c:pt>
                <c:pt idx="688">
                  <c:v>45230</c:v>
                </c:pt>
                <c:pt idx="689">
                  <c:v>45229</c:v>
                </c:pt>
                <c:pt idx="690">
                  <c:v>45228</c:v>
                </c:pt>
                <c:pt idx="691">
                  <c:v>45227</c:v>
                </c:pt>
                <c:pt idx="692">
                  <c:v>45226</c:v>
                </c:pt>
                <c:pt idx="693">
                  <c:v>45225</c:v>
                </c:pt>
                <c:pt idx="694">
                  <c:v>45224</c:v>
                </c:pt>
                <c:pt idx="695">
                  <c:v>45223</c:v>
                </c:pt>
                <c:pt idx="696">
                  <c:v>45222</c:v>
                </c:pt>
                <c:pt idx="697">
                  <c:v>45221</c:v>
                </c:pt>
                <c:pt idx="698">
                  <c:v>45220</c:v>
                </c:pt>
                <c:pt idx="699">
                  <c:v>45219</c:v>
                </c:pt>
                <c:pt idx="700">
                  <c:v>45218</c:v>
                </c:pt>
                <c:pt idx="701">
                  <c:v>45217</c:v>
                </c:pt>
                <c:pt idx="702">
                  <c:v>45216</c:v>
                </c:pt>
                <c:pt idx="703">
                  <c:v>45215</c:v>
                </c:pt>
                <c:pt idx="704">
                  <c:v>45214</c:v>
                </c:pt>
                <c:pt idx="705">
                  <c:v>45213</c:v>
                </c:pt>
                <c:pt idx="706">
                  <c:v>45212</c:v>
                </c:pt>
                <c:pt idx="707">
                  <c:v>45211</c:v>
                </c:pt>
                <c:pt idx="708">
                  <c:v>45210</c:v>
                </c:pt>
                <c:pt idx="709">
                  <c:v>45209</c:v>
                </c:pt>
                <c:pt idx="710">
                  <c:v>45208</c:v>
                </c:pt>
                <c:pt idx="711">
                  <c:v>45207</c:v>
                </c:pt>
                <c:pt idx="712">
                  <c:v>45206</c:v>
                </c:pt>
                <c:pt idx="713">
                  <c:v>45205</c:v>
                </c:pt>
                <c:pt idx="714">
                  <c:v>45204</c:v>
                </c:pt>
                <c:pt idx="715">
                  <c:v>45203</c:v>
                </c:pt>
                <c:pt idx="716">
                  <c:v>45202</c:v>
                </c:pt>
                <c:pt idx="717">
                  <c:v>45201</c:v>
                </c:pt>
                <c:pt idx="718">
                  <c:v>45200</c:v>
                </c:pt>
                <c:pt idx="719">
                  <c:v>45199</c:v>
                </c:pt>
                <c:pt idx="720">
                  <c:v>45198</c:v>
                </c:pt>
                <c:pt idx="721">
                  <c:v>45197</c:v>
                </c:pt>
                <c:pt idx="722">
                  <c:v>45196</c:v>
                </c:pt>
                <c:pt idx="723">
                  <c:v>45195</c:v>
                </c:pt>
                <c:pt idx="724">
                  <c:v>45194</c:v>
                </c:pt>
                <c:pt idx="725">
                  <c:v>45193</c:v>
                </c:pt>
                <c:pt idx="726">
                  <c:v>45192</c:v>
                </c:pt>
                <c:pt idx="727">
                  <c:v>45191</c:v>
                </c:pt>
                <c:pt idx="728">
                  <c:v>45190</c:v>
                </c:pt>
                <c:pt idx="729">
                  <c:v>45189</c:v>
                </c:pt>
                <c:pt idx="730">
                  <c:v>45188</c:v>
                </c:pt>
                <c:pt idx="731">
                  <c:v>45187</c:v>
                </c:pt>
                <c:pt idx="732">
                  <c:v>45186</c:v>
                </c:pt>
                <c:pt idx="733">
                  <c:v>45185</c:v>
                </c:pt>
                <c:pt idx="734">
                  <c:v>45184</c:v>
                </c:pt>
                <c:pt idx="735">
                  <c:v>45183</c:v>
                </c:pt>
                <c:pt idx="736">
                  <c:v>45182</c:v>
                </c:pt>
                <c:pt idx="737">
                  <c:v>45181</c:v>
                </c:pt>
                <c:pt idx="738">
                  <c:v>45180</c:v>
                </c:pt>
                <c:pt idx="739">
                  <c:v>45179</c:v>
                </c:pt>
                <c:pt idx="740">
                  <c:v>45178</c:v>
                </c:pt>
                <c:pt idx="741">
                  <c:v>45177</c:v>
                </c:pt>
                <c:pt idx="742">
                  <c:v>45176</c:v>
                </c:pt>
                <c:pt idx="743">
                  <c:v>45175</c:v>
                </c:pt>
                <c:pt idx="744">
                  <c:v>45174</c:v>
                </c:pt>
                <c:pt idx="745">
                  <c:v>45173</c:v>
                </c:pt>
                <c:pt idx="746">
                  <c:v>45172</c:v>
                </c:pt>
                <c:pt idx="747">
                  <c:v>45171</c:v>
                </c:pt>
                <c:pt idx="748">
                  <c:v>45170</c:v>
                </c:pt>
                <c:pt idx="749">
                  <c:v>45169</c:v>
                </c:pt>
                <c:pt idx="750">
                  <c:v>45168</c:v>
                </c:pt>
                <c:pt idx="751">
                  <c:v>45167</c:v>
                </c:pt>
                <c:pt idx="752">
                  <c:v>45166</c:v>
                </c:pt>
                <c:pt idx="753">
                  <c:v>45165</c:v>
                </c:pt>
                <c:pt idx="754">
                  <c:v>45164</c:v>
                </c:pt>
                <c:pt idx="755">
                  <c:v>45163</c:v>
                </c:pt>
                <c:pt idx="756">
                  <c:v>45162</c:v>
                </c:pt>
                <c:pt idx="757">
                  <c:v>45161</c:v>
                </c:pt>
                <c:pt idx="758">
                  <c:v>45160</c:v>
                </c:pt>
                <c:pt idx="759">
                  <c:v>45159</c:v>
                </c:pt>
                <c:pt idx="760">
                  <c:v>45158</c:v>
                </c:pt>
                <c:pt idx="761">
                  <c:v>45157</c:v>
                </c:pt>
                <c:pt idx="762">
                  <c:v>45156</c:v>
                </c:pt>
                <c:pt idx="763">
                  <c:v>45155</c:v>
                </c:pt>
                <c:pt idx="764">
                  <c:v>45154</c:v>
                </c:pt>
                <c:pt idx="765">
                  <c:v>45153</c:v>
                </c:pt>
                <c:pt idx="766">
                  <c:v>45152</c:v>
                </c:pt>
                <c:pt idx="767">
                  <c:v>45151</c:v>
                </c:pt>
                <c:pt idx="768">
                  <c:v>45150</c:v>
                </c:pt>
                <c:pt idx="769">
                  <c:v>45149</c:v>
                </c:pt>
                <c:pt idx="770">
                  <c:v>45148</c:v>
                </c:pt>
                <c:pt idx="771">
                  <c:v>45147</c:v>
                </c:pt>
                <c:pt idx="772">
                  <c:v>45146</c:v>
                </c:pt>
                <c:pt idx="773">
                  <c:v>45145</c:v>
                </c:pt>
                <c:pt idx="774">
                  <c:v>45144</c:v>
                </c:pt>
                <c:pt idx="775">
                  <c:v>45143</c:v>
                </c:pt>
                <c:pt idx="776">
                  <c:v>45142</c:v>
                </c:pt>
                <c:pt idx="777">
                  <c:v>45141</c:v>
                </c:pt>
                <c:pt idx="778">
                  <c:v>45140</c:v>
                </c:pt>
                <c:pt idx="779">
                  <c:v>45139</c:v>
                </c:pt>
                <c:pt idx="780">
                  <c:v>45138</c:v>
                </c:pt>
                <c:pt idx="781">
                  <c:v>45137</c:v>
                </c:pt>
                <c:pt idx="782">
                  <c:v>45136</c:v>
                </c:pt>
                <c:pt idx="783">
                  <c:v>45135</c:v>
                </c:pt>
                <c:pt idx="784">
                  <c:v>45134</c:v>
                </c:pt>
                <c:pt idx="785">
                  <c:v>45133</c:v>
                </c:pt>
                <c:pt idx="786">
                  <c:v>45132</c:v>
                </c:pt>
                <c:pt idx="787">
                  <c:v>45131</c:v>
                </c:pt>
                <c:pt idx="788">
                  <c:v>45130</c:v>
                </c:pt>
                <c:pt idx="789">
                  <c:v>45129</c:v>
                </c:pt>
                <c:pt idx="790">
                  <c:v>45128</c:v>
                </c:pt>
                <c:pt idx="791">
                  <c:v>45127</c:v>
                </c:pt>
                <c:pt idx="792">
                  <c:v>45126</c:v>
                </c:pt>
                <c:pt idx="793">
                  <c:v>45125</c:v>
                </c:pt>
                <c:pt idx="794">
                  <c:v>45124</c:v>
                </c:pt>
                <c:pt idx="795">
                  <c:v>45123</c:v>
                </c:pt>
                <c:pt idx="796">
                  <c:v>45122</c:v>
                </c:pt>
                <c:pt idx="797">
                  <c:v>45121</c:v>
                </c:pt>
                <c:pt idx="798">
                  <c:v>45120</c:v>
                </c:pt>
                <c:pt idx="799">
                  <c:v>45119</c:v>
                </c:pt>
                <c:pt idx="800">
                  <c:v>45118</c:v>
                </c:pt>
                <c:pt idx="801">
                  <c:v>45117</c:v>
                </c:pt>
                <c:pt idx="802">
                  <c:v>45116</c:v>
                </c:pt>
                <c:pt idx="803">
                  <c:v>45115</c:v>
                </c:pt>
                <c:pt idx="804">
                  <c:v>45114</c:v>
                </c:pt>
                <c:pt idx="805">
                  <c:v>45113</c:v>
                </c:pt>
                <c:pt idx="806">
                  <c:v>45112</c:v>
                </c:pt>
                <c:pt idx="807">
                  <c:v>45111</c:v>
                </c:pt>
                <c:pt idx="808">
                  <c:v>45110</c:v>
                </c:pt>
                <c:pt idx="809">
                  <c:v>45109</c:v>
                </c:pt>
                <c:pt idx="810">
                  <c:v>45108</c:v>
                </c:pt>
                <c:pt idx="811">
                  <c:v>45107</c:v>
                </c:pt>
                <c:pt idx="812">
                  <c:v>45106</c:v>
                </c:pt>
                <c:pt idx="813">
                  <c:v>45105</c:v>
                </c:pt>
                <c:pt idx="814">
                  <c:v>45104</c:v>
                </c:pt>
                <c:pt idx="815">
                  <c:v>45103</c:v>
                </c:pt>
                <c:pt idx="816">
                  <c:v>45102</c:v>
                </c:pt>
                <c:pt idx="817">
                  <c:v>45101</c:v>
                </c:pt>
                <c:pt idx="818">
                  <c:v>45100</c:v>
                </c:pt>
                <c:pt idx="819">
                  <c:v>45099</c:v>
                </c:pt>
                <c:pt idx="820">
                  <c:v>45098</c:v>
                </c:pt>
                <c:pt idx="821">
                  <c:v>45097</c:v>
                </c:pt>
                <c:pt idx="822">
                  <c:v>45096</c:v>
                </c:pt>
                <c:pt idx="823">
                  <c:v>45095</c:v>
                </c:pt>
                <c:pt idx="824">
                  <c:v>45094</c:v>
                </c:pt>
                <c:pt idx="825">
                  <c:v>45093</c:v>
                </c:pt>
                <c:pt idx="826">
                  <c:v>45092</c:v>
                </c:pt>
                <c:pt idx="827">
                  <c:v>45091</c:v>
                </c:pt>
                <c:pt idx="828">
                  <c:v>45090</c:v>
                </c:pt>
                <c:pt idx="829">
                  <c:v>45089</c:v>
                </c:pt>
                <c:pt idx="830">
                  <c:v>45088</c:v>
                </c:pt>
                <c:pt idx="831">
                  <c:v>45087</c:v>
                </c:pt>
                <c:pt idx="832">
                  <c:v>45086</c:v>
                </c:pt>
                <c:pt idx="833">
                  <c:v>45085</c:v>
                </c:pt>
                <c:pt idx="834">
                  <c:v>45084</c:v>
                </c:pt>
                <c:pt idx="835">
                  <c:v>45083</c:v>
                </c:pt>
                <c:pt idx="836">
                  <c:v>45082</c:v>
                </c:pt>
                <c:pt idx="837">
                  <c:v>45081</c:v>
                </c:pt>
                <c:pt idx="838">
                  <c:v>45080</c:v>
                </c:pt>
                <c:pt idx="839">
                  <c:v>45079</c:v>
                </c:pt>
                <c:pt idx="840">
                  <c:v>45078</c:v>
                </c:pt>
                <c:pt idx="841">
                  <c:v>45077</c:v>
                </c:pt>
                <c:pt idx="842">
                  <c:v>45076</c:v>
                </c:pt>
                <c:pt idx="843">
                  <c:v>45075</c:v>
                </c:pt>
                <c:pt idx="844">
                  <c:v>45074</c:v>
                </c:pt>
                <c:pt idx="845">
                  <c:v>45073</c:v>
                </c:pt>
                <c:pt idx="846">
                  <c:v>45072</c:v>
                </c:pt>
                <c:pt idx="847">
                  <c:v>45071</c:v>
                </c:pt>
                <c:pt idx="848">
                  <c:v>45070</c:v>
                </c:pt>
                <c:pt idx="849">
                  <c:v>45069</c:v>
                </c:pt>
                <c:pt idx="850">
                  <c:v>45068</c:v>
                </c:pt>
                <c:pt idx="851">
                  <c:v>45067</c:v>
                </c:pt>
                <c:pt idx="852">
                  <c:v>45066</c:v>
                </c:pt>
                <c:pt idx="853">
                  <c:v>45065</c:v>
                </c:pt>
                <c:pt idx="854">
                  <c:v>45064</c:v>
                </c:pt>
                <c:pt idx="855">
                  <c:v>45063</c:v>
                </c:pt>
                <c:pt idx="856">
                  <c:v>45062</c:v>
                </c:pt>
                <c:pt idx="857">
                  <c:v>45061</c:v>
                </c:pt>
                <c:pt idx="858">
                  <c:v>45060</c:v>
                </c:pt>
                <c:pt idx="859">
                  <c:v>45059</c:v>
                </c:pt>
                <c:pt idx="860">
                  <c:v>45058</c:v>
                </c:pt>
                <c:pt idx="861">
                  <c:v>45057</c:v>
                </c:pt>
                <c:pt idx="862">
                  <c:v>45056</c:v>
                </c:pt>
                <c:pt idx="863">
                  <c:v>45055</c:v>
                </c:pt>
                <c:pt idx="864">
                  <c:v>45054</c:v>
                </c:pt>
                <c:pt idx="865">
                  <c:v>45053</c:v>
                </c:pt>
                <c:pt idx="866">
                  <c:v>45052</c:v>
                </c:pt>
                <c:pt idx="867">
                  <c:v>45051</c:v>
                </c:pt>
                <c:pt idx="868">
                  <c:v>45050</c:v>
                </c:pt>
                <c:pt idx="869">
                  <c:v>45049</c:v>
                </c:pt>
                <c:pt idx="870">
                  <c:v>45048</c:v>
                </c:pt>
                <c:pt idx="871">
                  <c:v>45047</c:v>
                </c:pt>
                <c:pt idx="872">
                  <c:v>45046</c:v>
                </c:pt>
                <c:pt idx="873">
                  <c:v>45045</c:v>
                </c:pt>
                <c:pt idx="874">
                  <c:v>45044</c:v>
                </c:pt>
                <c:pt idx="875">
                  <c:v>45043</c:v>
                </c:pt>
                <c:pt idx="876">
                  <c:v>45042</c:v>
                </c:pt>
                <c:pt idx="877">
                  <c:v>45041</c:v>
                </c:pt>
                <c:pt idx="878">
                  <c:v>45040</c:v>
                </c:pt>
                <c:pt idx="879">
                  <c:v>45039</c:v>
                </c:pt>
                <c:pt idx="880">
                  <c:v>45038</c:v>
                </c:pt>
                <c:pt idx="881">
                  <c:v>45037</c:v>
                </c:pt>
                <c:pt idx="882">
                  <c:v>45036</c:v>
                </c:pt>
                <c:pt idx="883">
                  <c:v>45035</c:v>
                </c:pt>
                <c:pt idx="884">
                  <c:v>45034</c:v>
                </c:pt>
                <c:pt idx="885">
                  <c:v>45033</c:v>
                </c:pt>
                <c:pt idx="886">
                  <c:v>45032</c:v>
                </c:pt>
                <c:pt idx="887">
                  <c:v>45031</c:v>
                </c:pt>
                <c:pt idx="888">
                  <c:v>45030</c:v>
                </c:pt>
                <c:pt idx="889">
                  <c:v>45029</c:v>
                </c:pt>
                <c:pt idx="890">
                  <c:v>45028</c:v>
                </c:pt>
                <c:pt idx="891">
                  <c:v>45027</c:v>
                </c:pt>
                <c:pt idx="892">
                  <c:v>45026</c:v>
                </c:pt>
                <c:pt idx="893">
                  <c:v>45025</c:v>
                </c:pt>
                <c:pt idx="894">
                  <c:v>45024</c:v>
                </c:pt>
                <c:pt idx="895">
                  <c:v>45023</c:v>
                </c:pt>
                <c:pt idx="896">
                  <c:v>45022</c:v>
                </c:pt>
                <c:pt idx="897">
                  <c:v>45021</c:v>
                </c:pt>
                <c:pt idx="898">
                  <c:v>45020</c:v>
                </c:pt>
                <c:pt idx="899">
                  <c:v>45019</c:v>
                </c:pt>
                <c:pt idx="900">
                  <c:v>45018</c:v>
                </c:pt>
                <c:pt idx="901">
                  <c:v>45017</c:v>
                </c:pt>
                <c:pt idx="902">
                  <c:v>45016</c:v>
                </c:pt>
                <c:pt idx="903">
                  <c:v>45015</c:v>
                </c:pt>
                <c:pt idx="904">
                  <c:v>45014</c:v>
                </c:pt>
                <c:pt idx="905">
                  <c:v>45013</c:v>
                </c:pt>
                <c:pt idx="906">
                  <c:v>45012</c:v>
                </c:pt>
                <c:pt idx="907">
                  <c:v>45011</c:v>
                </c:pt>
                <c:pt idx="908">
                  <c:v>45010</c:v>
                </c:pt>
                <c:pt idx="909">
                  <c:v>45009</c:v>
                </c:pt>
                <c:pt idx="910">
                  <c:v>45008</c:v>
                </c:pt>
                <c:pt idx="911">
                  <c:v>45007</c:v>
                </c:pt>
                <c:pt idx="912">
                  <c:v>45006</c:v>
                </c:pt>
                <c:pt idx="913">
                  <c:v>45005</c:v>
                </c:pt>
                <c:pt idx="914">
                  <c:v>45004</c:v>
                </c:pt>
                <c:pt idx="915">
                  <c:v>45003</c:v>
                </c:pt>
                <c:pt idx="916">
                  <c:v>45002</c:v>
                </c:pt>
                <c:pt idx="917">
                  <c:v>45001</c:v>
                </c:pt>
                <c:pt idx="918">
                  <c:v>45000</c:v>
                </c:pt>
                <c:pt idx="919">
                  <c:v>44999</c:v>
                </c:pt>
                <c:pt idx="920">
                  <c:v>44998</c:v>
                </c:pt>
                <c:pt idx="921">
                  <c:v>44997</c:v>
                </c:pt>
                <c:pt idx="922">
                  <c:v>44996</c:v>
                </c:pt>
                <c:pt idx="923">
                  <c:v>44995</c:v>
                </c:pt>
                <c:pt idx="924">
                  <c:v>44994</c:v>
                </c:pt>
                <c:pt idx="925">
                  <c:v>44993</c:v>
                </c:pt>
                <c:pt idx="926">
                  <c:v>44992</c:v>
                </c:pt>
                <c:pt idx="927">
                  <c:v>44991</c:v>
                </c:pt>
                <c:pt idx="928">
                  <c:v>44990</c:v>
                </c:pt>
                <c:pt idx="929">
                  <c:v>44989</c:v>
                </c:pt>
                <c:pt idx="930">
                  <c:v>44988</c:v>
                </c:pt>
                <c:pt idx="931">
                  <c:v>44987</c:v>
                </c:pt>
                <c:pt idx="932">
                  <c:v>44986</c:v>
                </c:pt>
                <c:pt idx="933">
                  <c:v>44985</c:v>
                </c:pt>
                <c:pt idx="934">
                  <c:v>44984</c:v>
                </c:pt>
                <c:pt idx="935">
                  <c:v>44983</c:v>
                </c:pt>
                <c:pt idx="936">
                  <c:v>44982</c:v>
                </c:pt>
                <c:pt idx="937">
                  <c:v>44981</c:v>
                </c:pt>
                <c:pt idx="938">
                  <c:v>44980</c:v>
                </c:pt>
                <c:pt idx="939">
                  <c:v>44979</c:v>
                </c:pt>
                <c:pt idx="940">
                  <c:v>44978</c:v>
                </c:pt>
                <c:pt idx="941">
                  <c:v>44977</c:v>
                </c:pt>
                <c:pt idx="942">
                  <c:v>44976</c:v>
                </c:pt>
                <c:pt idx="943">
                  <c:v>44975</c:v>
                </c:pt>
                <c:pt idx="944">
                  <c:v>44974</c:v>
                </c:pt>
                <c:pt idx="945">
                  <c:v>44973</c:v>
                </c:pt>
                <c:pt idx="946">
                  <c:v>44972</c:v>
                </c:pt>
                <c:pt idx="947">
                  <c:v>44971</c:v>
                </c:pt>
                <c:pt idx="948">
                  <c:v>44970</c:v>
                </c:pt>
                <c:pt idx="949">
                  <c:v>44969</c:v>
                </c:pt>
                <c:pt idx="950">
                  <c:v>44968</c:v>
                </c:pt>
                <c:pt idx="951">
                  <c:v>44967</c:v>
                </c:pt>
                <c:pt idx="952">
                  <c:v>44966</c:v>
                </c:pt>
                <c:pt idx="953">
                  <c:v>44965</c:v>
                </c:pt>
                <c:pt idx="954">
                  <c:v>44964</c:v>
                </c:pt>
                <c:pt idx="955">
                  <c:v>44963</c:v>
                </c:pt>
                <c:pt idx="956">
                  <c:v>44962</c:v>
                </c:pt>
                <c:pt idx="957">
                  <c:v>44961</c:v>
                </c:pt>
                <c:pt idx="958">
                  <c:v>44960</c:v>
                </c:pt>
                <c:pt idx="959">
                  <c:v>44959</c:v>
                </c:pt>
                <c:pt idx="960">
                  <c:v>44958</c:v>
                </c:pt>
                <c:pt idx="961">
                  <c:v>44957</c:v>
                </c:pt>
                <c:pt idx="962">
                  <c:v>44956</c:v>
                </c:pt>
                <c:pt idx="963">
                  <c:v>44955</c:v>
                </c:pt>
                <c:pt idx="964">
                  <c:v>44954</c:v>
                </c:pt>
                <c:pt idx="965">
                  <c:v>44953</c:v>
                </c:pt>
                <c:pt idx="966">
                  <c:v>44952</c:v>
                </c:pt>
                <c:pt idx="967">
                  <c:v>44951</c:v>
                </c:pt>
                <c:pt idx="968">
                  <c:v>44950</c:v>
                </c:pt>
                <c:pt idx="969">
                  <c:v>44949</c:v>
                </c:pt>
                <c:pt idx="970">
                  <c:v>44948</c:v>
                </c:pt>
                <c:pt idx="971">
                  <c:v>44947</c:v>
                </c:pt>
                <c:pt idx="972">
                  <c:v>44946</c:v>
                </c:pt>
                <c:pt idx="973">
                  <c:v>44945</c:v>
                </c:pt>
                <c:pt idx="974">
                  <c:v>44944</c:v>
                </c:pt>
                <c:pt idx="975">
                  <c:v>44943</c:v>
                </c:pt>
                <c:pt idx="976">
                  <c:v>44942</c:v>
                </c:pt>
                <c:pt idx="977">
                  <c:v>44941</c:v>
                </c:pt>
                <c:pt idx="978">
                  <c:v>44940</c:v>
                </c:pt>
                <c:pt idx="979">
                  <c:v>44939</c:v>
                </c:pt>
                <c:pt idx="980">
                  <c:v>44938</c:v>
                </c:pt>
                <c:pt idx="981">
                  <c:v>44937</c:v>
                </c:pt>
                <c:pt idx="982">
                  <c:v>44936</c:v>
                </c:pt>
                <c:pt idx="983">
                  <c:v>44935</c:v>
                </c:pt>
                <c:pt idx="984">
                  <c:v>44934</c:v>
                </c:pt>
                <c:pt idx="985">
                  <c:v>44933</c:v>
                </c:pt>
                <c:pt idx="986">
                  <c:v>44932</c:v>
                </c:pt>
                <c:pt idx="987">
                  <c:v>44931</c:v>
                </c:pt>
                <c:pt idx="988">
                  <c:v>44930</c:v>
                </c:pt>
                <c:pt idx="989">
                  <c:v>44929</c:v>
                </c:pt>
                <c:pt idx="990">
                  <c:v>44928</c:v>
                </c:pt>
                <c:pt idx="991">
                  <c:v>44927</c:v>
                </c:pt>
                <c:pt idx="992">
                  <c:v>44926</c:v>
                </c:pt>
                <c:pt idx="993">
                  <c:v>44925</c:v>
                </c:pt>
                <c:pt idx="994">
                  <c:v>44924</c:v>
                </c:pt>
                <c:pt idx="995">
                  <c:v>44923</c:v>
                </c:pt>
                <c:pt idx="996">
                  <c:v>44922</c:v>
                </c:pt>
                <c:pt idx="997">
                  <c:v>44921</c:v>
                </c:pt>
                <c:pt idx="998">
                  <c:v>44920</c:v>
                </c:pt>
                <c:pt idx="999">
                  <c:v>44919</c:v>
                </c:pt>
                <c:pt idx="1000">
                  <c:v>44918</c:v>
                </c:pt>
                <c:pt idx="1001">
                  <c:v>44917</c:v>
                </c:pt>
                <c:pt idx="1002">
                  <c:v>44916</c:v>
                </c:pt>
                <c:pt idx="1003">
                  <c:v>44915</c:v>
                </c:pt>
                <c:pt idx="1004">
                  <c:v>44914</c:v>
                </c:pt>
                <c:pt idx="1005">
                  <c:v>44913</c:v>
                </c:pt>
                <c:pt idx="1006">
                  <c:v>44912</c:v>
                </c:pt>
                <c:pt idx="1007">
                  <c:v>44911</c:v>
                </c:pt>
                <c:pt idx="1008">
                  <c:v>44910</c:v>
                </c:pt>
                <c:pt idx="1009">
                  <c:v>44909</c:v>
                </c:pt>
                <c:pt idx="1010">
                  <c:v>44908</c:v>
                </c:pt>
                <c:pt idx="1011">
                  <c:v>44907</c:v>
                </c:pt>
                <c:pt idx="1012">
                  <c:v>44906</c:v>
                </c:pt>
                <c:pt idx="1013">
                  <c:v>44905</c:v>
                </c:pt>
                <c:pt idx="1014">
                  <c:v>44904</c:v>
                </c:pt>
                <c:pt idx="1015">
                  <c:v>44903</c:v>
                </c:pt>
                <c:pt idx="1016">
                  <c:v>44902</c:v>
                </c:pt>
                <c:pt idx="1017">
                  <c:v>44901</c:v>
                </c:pt>
                <c:pt idx="1018">
                  <c:v>44900</c:v>
                </c:pt>
                <c:pt idx="1019">
                  <c:v>44899</c:v>
                </c:pt>
                <c:pt idx="1020">
                  <c:v>44898</c:v>
                </c:pt>
                <c:pt idx="1021">
                  <c:v>44897</c:v>
                </c:pt>
                <c:pt idx="1022">
                  <c:v>44896</c:v>
                </c:pt>
                <c:pt idx="1023">
                  <c:v>44895</c:v>
                </c:pt>
                <c:pt idx="1024">
                  <c:v>44894</c:v>
                </c:pt>
                <c:pt idx="1025">
                  <c:v>44893</c:v>
                </c:pt>
                <c:pt idx="1026">
                  <c:v>44892</c:v>
                </c:pt>
                <c:pt idx="1027">
                  <c:v>44891</c:v>
                </c:pt>
                <c:pt idx="1028">
                  <c:v>44890</c:v>
                </c:pt>
                <c:pt idx="1029">
                  <c:v>44889</c:v>
                </c:pt>
                <c:pt idx="1030">
                  <c:v>44888</c:v>
                </c:pt>
                <c:pt idx="1031">
                  <c:v>44887</c:v>
                </c:pt>
                <c:pt idx="1032">
                  <c:v>44886</c:v>
                </c:pt>
                <c:pt idx="1033">
                  <c:v>44885</c:v>
                </c:pt>
                <c:pt idx="1034">
                  <c:v>44884</c:v>
                </c:pt>
                <c:pt idx="1035">
                  <c:v>44883</c:v>
                </c:pt>
                <c:pt idx="1036">
                  <c:v>44882</c:v>
                </c:pt>
                <c:pt idx="1037">
                  <c:v>44881</c:v>
                </c:pt>
                <c:pt idx="1038">
                  <c:v>44880</c:v>
                </c:pt>
                <c:pt idx="1039">
                  <c:v>44879</c:v>
                </c:pt>
                <c:pt idx="1040">
                  <c:v>44878</c:v>
                </c:pt>
                <c:pt idx="1041">
                  <c:v>44877</c:v>
                </c:pt>
                <c:pt idx="1042">
                  <c:v>44876</c:v>
                </c:pt>
                <c:pt idx="1043">
                  <c:v>44875</c:v>
                </c:pt>
                <c:pt idx="1044">
                  <c:v>44874</c:v>
                </c:pt>
              </c:numCache>
            </c:numRef>
          </c:cat>
          <c:val>
            <c:numRef>
              <c:f>'Stock Data'!$AN$4:$AN$1048</c:f>
              <c:numCache>
                <c:formatCode>#,##0.00_);\(#,##0.00\)</c:formatCode>
                <c:ptCount val="1045"/>
                <c:pt idx="0">
                  <c:v>481.51</c:v>
                </c:pt>
                <c:pt idx="1">
                  <c:v>481.51</c:v>
                </c:pt>
                <c:pt idx="2">
                  <c:v>473.26</c:v>
                </c:pt>
                <c:pt idx="3">
                  <c:v>473.26</c:v>
                </c:pt>
                <c:pt idx="4">
                  <c:v>473.26</c:v>
                </c:pt>
                <c:pt idx="5">
                  <c:v>474.9</c:v>
                </c:pt>
                <c:pt idx="6">
                  <c:v>469.52</c:v>
                </c:pt>
                <c:pt idx="7">
                  <c:v>476.78</c:v>
                </c:pt>
                <c:pt idx="8">
                  <c:v>478.64</c:v>
                </c:pt>
                <c:pt idx="9">
                  <c:v>478.64</c:v>
                </c:pt>
                <c:pt idx="10">
                  <c:v>478.64</c:v>
                </c:pt>
                <c:pt idx="11">
                  <c:v>478.64</c:v>
                </c:pt>
                <c:pt idx="12">
                  <c:v>491.44</c:v>
                </c:pt>
                <c:pt idx="13">
                  <c:v>493.08</c:v>
                </c:pt>
                <c:pt idx="14">
                  <c:v>487.76</c:v>
                </c:pt>
                <c:pt idx="15">
                  <c:v>487.9</c:v>
                </c:pt>
                <c:pt idx="16">
                  <c:v>495.99</c:v>
                </c:pt>
                <c:pt idx="17">
                  <c:v>495.99</c:v>
                </c:pt>
                <c:pt idx="18">
                  <c:v>495.99</c:v>
                </c:pt>
                <c:pt idx="19">
                  <c:v>486.76</c:v>
                </c:pt>
                <c:pt idx="20">
                  <c:v>492.72</c:v>
                </c:pt>
                <c:pt idx="21">
                  <c:v>489.44</c:v>
                </c:pt>
                <c:pt idx="22">
                  <c:v>491.13</c:v>
                </c:pt>
                <c:pt idx="23">
                  <c:v>488.8</c:v>
                </c:pt>
                <c:pt idx="24">
                  <c:v>488.8</c:v>
                </c:pt>
                <c:pt idx="25">
                  <c:v>488.8</c:v>
                </c:pt>
                <c:pt idx="26">
                  <c:v>478.84</c:v>
                </c:pt>
                <c:pt idx="27">
                  <c:v>513.54</c:v>
                </c:pt>
                <c:pt idx="28">
                  <c:v>505.85</c:v>
                </c:pt>
                <c:pt idx="29">
                  <c:v>506.98</c:v>
                </c:pt>
                <c:pt idx="30">
                  <c:v>510.37</c:v>
                </c:pt>
                <c:pt idx="31">
                  <c:v>510.37</c:v>
                </c:pt>
                <c:pt idx="32">
                  <c:v>510.37</c:v>
                </c:pt>
                <c:pt idx="33">
                  <c:v>506.64</c:v>
                </c:pt>
                <c:pt idx="34">
                  <c:v>509.64</c:v>
                </c:pt>
                <c:pt idx="35">
                  <c:v>508.58</c:v>
                </c:pt>
                <c:pt idx="36">
                  <c:v>510.56</c:v>
                </c:pt>
                <c:pt idx="37">
                  <c:v>500.98</c:v>
                </c:pt>
                <c:pt idx="38">
                  <c:v>500.98</c:v>
                </c:pt>
                <c:pt idx="39">
                  <c:v>500.98</c:v>
                </c:pt>
                <c:pt idx="40">
                  <c:v>524.37</c:v>
                </c:pt>
                <c:pt idx="41">
                  <c:v>507.87</c:v>
                </c:pt>
                <c:pt idx="42">
                  <c:v>512.5</c:v>
                </c:pt>
                <c:pt idx="43">
                  <c:v>510.55</c:v>
                </c:pt>
                <c:pt idx="44">
                  <c:v>517.38</c:v>
                </c:pt>
                <c:pt idx="45">
                  <c:v>517.38</c:v>
                </c:pt>
                <c:pt idx="46">
                  <c:v>517.38</c:v>
                </c:pt>
                <c:pt idx="47">
                  <c:v>514.66</c:v>
                </c:pt>
                <c:pt idx="48">
                  <c:v>515.16999999999996</c:v>
                </c:pt>
                <c:pt idx="49">
                  <c:v>505.69</c:v>
                </c:pt>
                <c:pt idx="50">
                  <c:v>496.24</c:v>
                </c:pt>
                <c:pt idx="51">
                  <c:v>499.82</c:v>
                </c:pt>
                <c:pt idx="52">
                  <c:v>499.82</c:v>
                </c:pt>
                <c:pt idx="53">
                  <c:v>499.82</c:v>
                </c:pt>
                <c:pt idx="54">
                  <c:v>499.14</c:v>
                </c:pt>
                <c:pt idx="55">
                  <c:v>507.73</c:v>
                </c:pt>
                <c:pt idx="56">
                  <c:v>503.47</c:v>
                </c:pt>
                <c:pt idx="57">
                  <c:v>507.61</c:v>
                </c:pt>
                <c:pt idx="58">
                  <c:v>512.41</c:v>
                </c:pt>
                <c:pt idx="59">
                  <c:v>512.41</c:v>
                </c:pt>
                <c:pt idx="60">
                  <c:v>512.41</c:v>
                </c:pt>
                <c:pt idx="61">
                  <c:v>519.20000000000005</c:v>
                </c:pt>
                <c:pt idx="62">
                  <c:v>509.33</c:v>
                </c:pt>
                <c:pt idx="63">
                  <c:v>508.91</c:v>
                </c:pt>
                <c:pt idx="64">
                  <c:v>510.29</c:v>
                </c:pt>
                <c:pt idx="65">
                  <c:v>520.97</c:v>
                </c:pt>
                <c:pt idx="66">
                  <c:v>520.97</c:v>
                </c:pt>
                <c:pt idx="67">
                  <c:v>520.97</c:v>
                </c:pt>
                <c:pt idx="68">
                  <c:v>520.97</c:v>
                </c:pt>
                <c:pt idx="69">
                  <c:v>520.30999999999995</c:v>
                </c:pt>
                <c:pt idx="70">
                  <c:v>508.36</c:v>
                </c:pt>
                <c:pt idx="71">
                  <c:v>508.49</c:v>
                </c:pt>
                <c:pt idx="72">
                  <c:v>513.34</c:v>
                </c:pt>
                <c:pt idx="73">
                  <c:v>513.34</c:v>
                </c:pt>
                <c:pt idx="74">
                  <c:v>513.34</c:v>
                </c:pt>
                <c:pt idx="75">
                  <c:v>508.53</c:v>
                </c:pt>
                <c:pt idx="76">
                  <c:v>506.74</c:v>
                </c:pt>
                <c:pt idx="77">
                  <c:v>514.1</c:v>
                </c:pt>
                <c:pt idx="78">
                  <c:v>514.08000000000004</c:v>
                </c:pt>
                <c:pt idx="79">
                  <c:v>521.38</c:v>
                </c:pt>
                <c:pt idx="80">
                  <c:v>521.38</c:v>
                </c:pt>
                <c:pt idx="81">
                  <c:v>521.38</c:v>
                </c:pt>
                <c:pt idx="82">
                  <c:v>524.98</c:v>
                </c:pt>
                <c:pt idx="83">
                  <c:v>524.98</c:v>
                </c:pt>
                <c:pt idx="84">
                  <c:v>523.12</c:v>
                </c:pt>
                <c:pt idx="85">
                  <c:v>524.44000000000005</c:v>
                </c:pt>
                <c:pt idx="86">
                  <c:v>509.59</c:v>
                </c:pt>
                <c:pt idx="87">
                  <c:v>509.59</c:v>
                </c:pt>
                <c:pt idx="88">
                  <c:v>509.59</c:v>
                </c:pt>
                <c:pt idx="89">
                  <c:v>516.86</c:v>
                </c:pt>
                <c:pt idx="90">
                  <c:v>520.84</c:v>
                </c:pt>
                <c:pt idx="91">
                  <c:v>515.82000000000005</c:v>
                </c:pt>
                <c:pt idx="92">
                  <c:v>521.67999999999995</c:v>
                </c:pt>
                <c:pt idx="93">
                  <c:v>519.99</c:v>
                </c:pt>
                <c:pt idx="94">
                  <c:v>519.99</c:v>
                </c:pt>
                <c:pt idx="95">
                  <c:v>519.99</c:v>
                </c:pt>
                <c:pt idx="96">
                  <c:v>510.75</c:v>
                </c:pt>
                <c:pt idx="97">
                  <c:v>507.78</c:v>
                </c:pt>
                <c:pt idx="98">
                  <c:v>513.15</c:v>
                </c:pt>
                <c:pt idx="99">
                  <c:v>507.84</c:v>
                </c:pt>
                <c:pt idx="100">
                  <c:v>506.26</c:v>
                </c:pt>
                <c:pt idx="101">
                  <c:v>506.26</c:v>
                </c:pt>
                <c:pt idx="102">
                  <c:v>506.26</c:v>
                </c:pt>
                <c:pt idx="103">
                  <c:v>503.45</c:v>
                </c:pt>
                <c:pt idx="104">
                  <c:v>507.99</c:v>
                </c:pt>
                <c:pt idx="105">
                  <c:v>509.63</c:v>
                </c:pt>
                <c:pt idx="106">
                  <c:v>510.06</c:v>
                </c:pt>
                <c:pt idx="107">
                  <c:v>510.06</c:v>
                </c:pt>
                <c:pt idx="108">
                  <c:v>510.06</c:v>
                </c:pt>
                <c:pt idx="109">
                  <c:v>510.06</c:v>
                </c:pt>
                <c:pt idx="110">
                  <c:v>515.65</c:v>
                </c:pt>
                <c:pt idx="111">
                  <c:v>514.66</c:v>
                </c:pt>
                <c:pt idx="112">
                  <c:v>526.33000000000004</c:v>
                </c:pt>
                <c:pt idx="113">
                  <c:v>529.83000000000004</c:v>
                </c:pt>
                <c:pt idx="114">
                  <c:v>531.48</c:v>
                </c:pt>
                <c:pt idx="115">
                  <c:v>531.48</c:v>
                </c:pt>
                <c:pt idx="116">
                  <c:v>531.48</c:v>
                </c:pt>
                <c:pt idx="117">
                  <c:v>516.32000000000005</c:v>
                </c:pt>
                <c:pt idx="118">
                  <c:v>497.5</c:v>
                </c:pt>
                <c:pt idx="119">
                  <c:v>498.57</c:v>
                </c:pt>
                <c:pt idx="120">
                  <c:v>495.62</c:v>
                </c:pt>
                <c:pt idx="121">
                  <c:v>492.6</c:v>
                </c:pt>
                <c:pt idx="122">
                  <c:v>492.6</c:v>
                </c:pt>
                <c:pt idx="123">
                  <c:v>492.6</c:v>
                </c:pt>
                <c:pt idx="124">
                  <c:v>489.99</c:v>
                </c:pt>
                <c:pt idx="125">
                  <c:v>472.4</c:v>
                </c:pt>
                <c:pt idx="126">
                  <c:v>475.3</c:v>
                </c:pt>
                <c:pt idx="127">
                  <c:v>481.34</c:v>
                </c:pt>
                <c:pt idx="128">
                  <c:v>481.67</c:v>
                </c:pt>
                <c:pt idx="129">
                  <c:v>481.67</c:v>
                </c:pt>
                <c:pt idx="130">
                  <c:v>481.67</c:v>
                </c:pt>
                <c:pt idx="131">
                  <c:v>480.02</c:v>
                </c:pt>
                <c:pt idx="132">
                  <c:v>463.56</c:v>
                </c:pt>
                <c:pt idx="133">
                  <c:v>460.64</c:v>
                </c:pt>
                <c:pt idx="134">
                  <c:v>460.2</c:v>
                </c:pt>
                <c:pt idx="135">
                  <c:v>459.3</c:v>
                </c:pt>
                <c:pt idx="136">
                  <c:v>459.3</c:v>
                </c:pt>
                <c:pt idx="137">
                  <c:v>459.3</c:v>
                </c:pt>
                <c:pt idx="138">
                  <c:v>464.51</c:v>
                </c:pt>
                <c:pt idx="139">
                  <c:v>456.44</c:v>
                </c:pt>
                <c:pt idx="140">
                  <c:v>454.66</c:v>
                </c:pt>
                <c:pt idx="141">
                  <c:v>441.56</c:v>
                </c:pt>
                <c:pt idx="142">
                  <c:v>452.07</c:v>
                </c:pt>
                <c:pt idx="143">
                  <c:v>452.07</c:v>
                </c:pt>
                <c:pt idx="144">
                  <c:v>452.07</c:v>
                </c:pt>
                <c:pt idx="145">
                  <c:v>452.07</c:v>
                </c:pt>
                <c:pt idx="146">
                  <c:v>452.42</c:v>
                </c:pt>
                <c:pt idx="147">
                  <c:v>461.26</c:v>
                </c:pt>
                <c:pt idx="148">
                  <c:v>467.67</c:v>
                </c:pt>
                <c:pt idx="149">
                  <c:v>459.13</c:v>
                </c:pt>
                <c:pt idx="150">
                  <c:v>459.13</c:v>
                </c:pt>
                <c:pt idx="151">
                  <c:v>459.13</c:v>
                </c:pt>
                <c:pt idx="152">
                  <c:v>444.19</c:v>
                </c:pt>
                <c:pt idx="153">
                  <c:v>452.59</c:v>
                </c:pt>
                <c:pt idx="154">
                  <c:v>412.99</c:v>
                </c:pt>
                <c:pt idx="155">
                  <c:v>423.35</c:v>
                </c:pt>
                <c:pt idx="156">
                  <c:v>429.86</c:v>
                </c:pt>
                <c:pt idx="157">
                  <c:v>429.86</c:v>
                </c:pt>
                <c:pt idx="158">
                  <c:v>429.86</c:v>
                </c:pt>
                <c:pt idx="159">
                  <c:v>447.45</c:v>
                </c:pt>
                <c:pt idx="160">
                  <c:v>470.9</c:v>
                </c:pt>
                <c:pt idx="161">
                  <c:v>478.45</c:v>
                </c:pt>
                <c:pt idx="162">
                  <c:v>469.35</c:v>
                </c:pt>
                <c:pt idx="163">
                  <c:v>465.31</c:v>
                </c:pt>
                <c:pt idx="164">
                  <c:v>465.31</c:v>
                </c:pt>
                <c:pt idx="165">
                  <c:v>465.31</c:v>
                </c:pt>
                <c:pt idx="166">
                  <c:v>479.72</c:v>
                </c:pt>
                <c:pt idx="167">
                  <c:v>483.62</c:v>
                </c:pt>
                <c:pt idx="168">
                  <c:v>478.93</c:v>
                </c:pt>
                <c:pt idx="169">
                  <c:v>479.96</c:v>
                </c:pt>
                <c:pt idx="170">
                  <c:v>472.43</c:v>
                </c:pt>
                <c:pt idx="171">
                  <c:v>472.43</c:v>
                </c:pt>
                <c:pt idx="172">
                  <c:v>472.43</c:v>
                </c:pt>
                <c:pt idx="173">
                  <c:v>477.02</c:v>
                </c:pt>
                <c:pt idx="174">
                  <c:v>479.41</c:v>
                </c:pt>
                <c:pt idx="175">
                  <c:v>481.17</c:v>
                </c:pt>
                <c:pt idx="176">
                  <c:v>482.35</c:v>
                </c:pt>
                <c:pt idx="177">
                  <c:v>477.5</c:v>
                </c:pt>
                <c:pt idx="178">
                  <c:v>477.5</c:v>
                </c:pt>
                <c:pt idx="179">
                  <c:v>477.5</c:v>
                </c:pt>
                <c:pt idx="180">
                  <c:v>467.09</c:v>
                </c:pt>
                <c:pt idx="181">
                  <c:v>471.37</c:v>
                </c:pt>
                <c:pt idx="182">
                  <c:v>475.5</c:v>
                </c:pt>
                <c:pt idx="183">
                  <c:v>488.78</c:v>
                </c:pt>
                <c:pt idx="184">
                  <c:v>499.62</c:v>
                </c:pt>
                <c:pt idx="185">
                  <c:v>499.62</c:v>
                </c:pt>
                <c:pt idx="186">
                  <c:v>499.62</c:v>
                </c:pt>
                <c:pt idx="187">
                  <c:v>482.84</c:v>
                </c:pt>
                <c:pt idx="188">
                  <c:v>467.5</c:v>
                </c:pt>
                <c:pt idx="189">
                  <c:v>458.38</c:v>
                </c:pt>
                <c:pt idx="190">
                  <c:v>465.83</c:v>
                </c:pt>
                <c:pt idx="191">
                  <c:v>480.79</c:v>
                </c:pt>
                <c:pt idx="192">
                  <c:v>480.79</c:v>
                </c:pt>
                <c:pt idx="193">
                  <c:v>480.79</c:v>
                </c:pt>
                <c:pt idx="194">
                  <c:v>480.55</c:v>
                </c:pt>
                <c:pt idx="195">
                  <c:v>478.52</c:v>
                </c:pt>
                <c:pt idx="196">
                  <c:v>487.59</c:v>
                </c:pt>
                <c:pt idx="197">
                  <c:v>484.55</c:v>
                </c:pt>
                <c:pt idx="198">
                  <c:v>489.98</c:v>
                </c:pt>
                <c:pt idx="199">
                  <c:v>489.98</c:v>
                </c:pt>
                <c:pt idx="200">
                  <c:v>489.98</c:v>
                </c:pt>
                <c:pt idx="201">
                  <c:v>495.79</c:v>
                </c:pt>
                <c:pt idx="202">
                  <c:v>509.27</c:v>
                </c:pt>
                <c:pt idx="203">
                  <c:v>501.56</c:v>
                </c:pt>
                <c:pt idx="204">
                  <c:v>480.22</c:v>
                </c:pt>
                <c:pt idx="205">
                  <c:v>480.22</c:v>
                </c:pt>
                <c:pt idx="206">
                  <c:v>480.22</c:v>
                </c:pt>
                <c:pt idx="207">
                  <c:v>480.22</c:v>
                </c:pt>
                <c:pt idx="208">
                  <c:v>466.22</c:v>
                </c:pt>
                <c:pt idx="209">
                  <c:v>476.56</c:v>
                </c:pt>
                <c:pt idx="210">
                  <c:v>474.3</c:v>
                </c:pt>
                <c:pt idx="211">
                  <c:v>469.98</c:v>
                </c:pt>
                <c:pt idx="212">
                  <c:v>465.6</c:v>
                </c:pt>
                <c:pt idx="213">
                  <c:v>465.6</c:v>
                </c:pt>
                <c:pt idx="214">
                  <c:v>465.6</c:v>
                </c:pt>
                <c:pt idx="215">
                  <c:v>464.98</c:v>
                </c:pt>
                <c:pt idx="216">
                  <c:v>467.68</c:v>
                </c:pt>
                <c:pt idx="217">
                  <c:v>472.27</c:v>
                </c:pt>
                <c:pt idx="218">
                  <c:v>467.05</c:v>
                </c:pt>
                <c:pt idx="219">
                  <c:v>476.56</c:v>
                </c:pt>
                <c:pt idx="220">
                  <c:v>476.56</c:v>
                </c:pt>
                <c:pt idx="221">
                  <c:v>476.56</c:v>
                </c:pt>
                <c:pt idx="222">
                  <c:v>479.99</c:v>
                </c:pt>
                <c:pt idx="223">
                  <c:v>478.16</c:v>
                </c:pt>
                <c:pt idx="224">
                  <c:v>479.99</c:v>
                </c:pt>
                <c:pt idx="225">
                  <c:v>484.15</c:v>
                </c:pt>
                <c:pt idx="226">
                  <c:v>478.77</c:v>
                </c:pt>
                <c:pt idx="227">
                  <c:v>478.77</c:v>
                </c:pt>
                <c:pt idx="228">
                  <c:v>478.77</c:v>
                </c:pt>
                <c:pt idx="229">
                  <c:v>474.72</c:v>
                </c:pt>
                <c:pt idx="230">
                  <c:v>459.75</c:v>
                </c:pt>
                <c:pt idx="231">
                  <c:v>463.15</c:v>
                </c:pt>
                <c:pt idx="232">
                  <c:v>455.44</c:v>
                </c:pt>
                <c:pt idx="233">
                  <c:v>455.44</c:v>
                </c:pt>
                <c:pt idx="234">
                  <c:v>455.44</c:v>
                </c:pt>
                <c:pt idx="235">
                  <c:v>455.44</c:v>
                </c:pt>
                <c:pt idx="236">
                  <c:v>439.11</c:v>
                </c:pt>
                <c:pt idx="237">
                  <c:v>428.88</c:v>
                </c:pt>
                <c:pt idx="238">
                  <c:v>432.31</c:v>
                </c:pt>
                <c:pt idx="239">
                  <c:v>429.91</c:v>
                </c:pt>
                <c:pt idx="240">
                  <c:v>408.57</c:v>
                </c:pt>
                <c:pt idx="241">
                  <c:v>408.57</c:v>
                </c:pt>
                <c:pt idx="242">
                  <c:v>408.57</c:v>
                </c:pt>
                <c:pt idx="243">
                  <c:v>410</c:v>
                </c:pt>
                <c:pt idx="244">
                  <c:v>410</c:v>
                </c:pt>
                <c:pt idx="245">
                  <c:v>413.27</c:v>
                </c:pt>
                <c:pt idx="246">
                  <c:v>418</c:v>
                </c:pt>
                <c:pt idx="247">
                  <c:v>422.22</c:v>
                </c:pt>
                <c:pt idx="248">
                  <c:v>422.22</c:v>
                </c:pt>
                <c:pt idx="249">
                  <c:v>422.22</c:v>
                </c:pt>
                <c:pt idx="250">
                  <c:v>418.18</c:v>
                </c:pt>
                <c:pt idx="251">
                  <c:v>423.7</c:v>
                </c:pt>
                <c:pt idx="252">
                  <c:v>423.7</c:v>
                </c:pt>
                <c:pt idx="253">
                  <c:v>424.64</c:v>
                </c:pt>
                <c:pt idx="254">
                  <c:v>430.06</c:v>
                </c:pt>
                <c:pt idx="255">
                  <c:v>430.06</c:v>
                </c:pt>
                <c:pt idx="256">
                  <c:v>430.06</c:v>
                </c:pt>
                <c:pt idx="257">
                  <c:v>433.84</c:v>
                </c:pt>
                <c:pt idx="258">
                  <c:v>432.84</c:v>
                </c:pt>
                <c:pt idx="259">
                  <c:v>432.84</c:v>
                </c:pt>
                <c:pt idx="260">
                  <c:v>432.38</c:v>
                </c:pt>
                <c:pt idx="261">
                  <c:v>432.49</c:v>
                </c:pt>
                <c:pt idx="262">
                  <c:v>432.49</c:v>
                </c:pt>
                <c:pt idx="263">
                  <c:v>432.49</c:v>
                </c:pt>
                <c:pt idx="264">
                  <c:v>426.63</c:v>
                </c:pt>
                <c:pt idx="265">
                  <c:v>426</c:v>
                </c:pt>
                <c:pt idx="266">
                  <c:v>443.59</c:v>
                </c:pt>
                <c:pt idx="267">
                  <c:v>438.42</c:v>
                </c:pt>
                <c:pt idx="268">
                  <c:v>440.44</c:v>
                </c:pt>
                <c:pt idx="269">
                  <c:v>440.44</c:v>
                </c:pt>
                <c:pt idx="270">
                  <c:v>440.44</c:v>
                </c:pt>
                <c:pt idx="271">
                  <c:v>439.48</c:v>
                </c:pt>
                <c:pt idx="272">
                  <c:v>448.03</c:v>
                </c:pt>
                <c:pt idx="273">
                  <c:v>443.96</c:v>
                </c:pt>
                <c:pt idx="274">
                  <c:v>449.41</c:v>
                </c:pt>
                <c:pt idx="275">
                  <c:v>444</c:v>
                </c:pt>
                <c:pt idx="276">
                  <c:v>444</c:v>
                </c:pt>
                <c:pt idx="277">
                  <c:v>444</c:v>
                </c:pt>
                <c:pt idx="278">
                  <c:v>448.12</c:v>
                </c:pt>
                <c:pt idx="279">
                  <c:v>456.26</c:v>
                </c:pt>
                <c:pt idx="280">
                  <c:v>459.25</c:v>
                </c:pt>
                <c:pt idx="281">
                  <c:v>462.95</c:v>
                </c:pt>
                <c:pt idx="282">
                  <c:v>465.9</c:v>
                </c:pt>
                <c:pt idx="283">
                  <c:v>465.9</c:v>
                </c:pt>
                <c:pt idx="284">
                  <c:v>465.9</c:v>
                </c:pt>
                <c:pt idx="285">
                  <c:v>466</c:v>
                </c:pt>
                <c:pt idx="286">
                  <c:v>466</c:v>
                </c:pt>
                <c:pt idx="287">
                  <c:v>461.04</c:v>
                </c:pt>
                <c:pt idx="288">
                  <c:v>462.69</c:v>
                </c:pt>
                <c:pt idx="289">
                  <c:v>446.65</c:v>
                </c:pt>
                <c:pt idx="290">
                  <c:v>446.65</c:v>
                </c:pt>
                <c:pt idx="291">
                  <c:v>446.65</c:v>
                </c:pt>
                <c:pt idx="292">
                  <c:v>437.54</c:v>
                </c:pt>
                <c:pt idx="293">
                  <c:v>404.96</c:v>
                </c:pt>
                <c:pt idx="294">
                  <c:v>400.09</c:v>
                </c:pt>
                <c:pt idx="295">
                  <c:v>404.53</c:v>
                </c:pt>
                <c:pt idx="296">
                  <c:v>398.95</c:v>
                </c:pt>
                <c:pt idx="297">
                  <c:v>398.95</c:v>
                </c:pt>
                <c:pt idx="298">
                  <c:v>398.95</c:v>
                </c:pt>
                <c:pt idx="299">
                  <c:v>394.64</c:v>
                </c:pt>
                <c:pt idx="300">
                  <c:v>389.45</c:v>
                </c:pt>
                <c:pt idx="301">
                  <c:v>393.75</c:v>
                </c:pt>
                <c:pt idx="302">
                  <c:v>402.65</c:v>
                </c:pt>
                <c:pt idx="303">
                  <c:v>394.06</c:v>
                </c:pt>
                <c:pt idx="304">
                  <c:v>394.06</c:v>
                </c:pt>
                <c:pt idx="305">
                  <c:v>394.06</c:v>
                </c:pt>
                <c:pt idx="306">
                  <c:v>411.16</c:v>
                </c:pt>
                <c:pt idx="307">
                  <c:v>405.71</c:v>
                </c:pt>
                <c:pt idx="308">
                  <c:v>400.37</c:v>
                </c:pt>
                <c:pt idx="309">
                  <c:v>401.68</c:v>
                </c:pt>
                <c:pt idx="310">
                  <c:v>400.42</c:v>
                </c:pt>
                <c:pt idx="311">
                  <c:v>400.42</c:v>
                </c:pt>
                <c:pt idx="312">
                  <c:v>400.42</c:v>
                </c:pt>
                <c:pt idx="313">
                  <c:v>404.69</c:v>
                </c:pt>
                <c:pt idx="314">
                  <c:v>404.69</c:v>
                </c:pt>
                <c:pt idx="315">
                  <c:v>406.04</c:v>
                </c:pt>
                <c:pt idx="316">
                  <c:v>412.35</c:v>
                </c:pt>
                <c:pt idx="317">
                  <c:v>407.93</c:v>
                </c:pt>
                <c:pt idx="318">
                  <c:v>407.93</c:v>
                </c:pt>
                <c:pt idx="319">
                  <c:v>407.93</c:v>
                </c:pt>
                <c:pt idx="320">
                  <c:v>411.07</c:v>
                </c:pt>
                <c:pt idx="321">
                  <c:v>408.64</c:v>
                </c:pt>
                <c:pt idx="322">
                  <c:v>406.65</c:v>
                </c:pt>
                <c:pt idx="323">
                  <c:v>406.96</c:v>
                </c:pt>
                <c:pt idx="324">
                  <c:v>408.73</c:v>
                </c:pt>
                <c:pt idx="325">
                  <c:v>408.73</c:v>
                </c:pt>
                <c:pt idx="326">
                  <c:v>408.73</c:v>
                </c:pt>
                <c:pt idx="327">
                  <c:v>405.14</c:v>
                </c:pt>
                <c:pt idx="328">
                  <c:v>409.37</c:v>
                </c:pt>
                <c:pt idx="329">
                  <c:v>401.99</c:v>
                </c:pt>
                <c:pt idx="330">
                  <c:v>407.72</c:v>
                </c:pt>
                <c:pt idx="331">
                  <c:v>411.08</c:v>
                </c:pt>
                <c:pt idx="332">
                  <c:v>411.08</c:v>
                </c:pt>
                <c:pt idx="333">
                  <c:v>411.08</c:v>
                </c:pt>
                <c:pt idx="334">
                  <c:v>405.76</c:v>
                </c:pt>
                <c:pt idx="335">
                  <c:v>405.48</c:v>
                </c:pt>
                <c:pt idx="336">
                  <c:v>400.28</c:v>
                </c:pt>
                <c:pt idx="337">
                  <c:v>406.04</c:v>
                </c:pt>
                <c:pt idx="338">
                  <c:v>407.99</c:v>
                </c:pt>
                <c:pt idx="339">
                  <c:v>407.99</c:v>
                </c:pt>
                <c:pt idx="340">
                  <c:v>407.99</c:v>
                </c:pt>
                <c:pt idx="341">
                  <c:v>408.74</c:v>
                </c:pt>
                <c:pt idx="342">
                  <c:v>416.49</c:v>
                </c:pt>
                <c:pt idx="343">
                  <c:v>416.44</c:v>
                </c:pt>
                <c:pt idx="344">
                  <c:v>417.33</c:v>
                </c:pt>
                <c:pt idx="345">
                  <c:v>418</c:v>
                </c:pt>
                <c:pt idx="346">
                  <c:v>418</c:v>
                </c:pt>
                <c:pt idx="347">
                  <c:v>418</c:v>
                </c:pt>
                <c:pt idx="348">
                  <c:v>411.47</c:v>
                </c:pt>
                <c:pt idx="349">
                  <c:v>406.93</c:v>
                </c:pt>
                <c:pt idx="350">
                  <c:v>410.89</c:v>
                </c:pt>
                <c:pt idx="351">
                  <c:v>408.95</c:v>
                </c:pt>
                <c:pt idx="352">
                  <c:v>405.89</c:v>
                </c:pt>
                <c:pt idx="353">
                  <c:v>405.89</c:v>
                </c:pt>
                <c:pt idx="354">
                  <c:v>405.89</c:v>
                </c:pt>
                <c:pt idx="355">
                  <c:v>409.73</c:v>
                </c:pt>
                <c:pt idx="356">
                  <c:v>401.07</c:v>
                </c:pt>
                <c:pt idx="357">
                  <c:v>397.88</c:v>
                </c:pt>
                <c:pt idx="358">
                  <c:v>394.66</c:v>
                </c:pt>
                <c:pt idx="359">
                  <c:v>394.68</c:v>
                </c:pt>
                <c:pt idx="360">
                  <c:v>394.68</c:v>
                </c:pt>
                <c:pt idx="361">
                  <c:v>394.68</c:v>
                </c:pt>
                <c:pt idx="362">
                  <c:v>387</c:v>
                </c:pt>
                <c:pt idx="363">
                  <c:v>388.59</c:v>
                </c:pt>
                <c:pt idx="364">
                  <c:v>387.3</c:v>
                </c:pt>
                <c:pt idx="365">
                  <c:v>387.23</c:v>
                </c:pt>
                <c:pt idx="366">
                  <c:v>381.56</c:v>
                </c:pt>
                <c:pt idx="367">
                  <c:v>381.56</c:v>
                </c:pt>
                <c:pt idx="368">
                  <c:v>381.56</c:v>
                </c:pt>
                <c:pt idx="369">
                  <c:v>383.69</c:v>
                </c:pt>
                <c:pt idx="370">
                  <c:v>391.95</c:v>
                </c:pt>
                <c:pt idx="371">
                  <c:v>385.69</c:v>
                </c:pt>
                <c:pt idx="372">
                  <c:v>385.74</c:v>
                </c:pt>
                <c:pt idx="373">
                  <c:v>385.74</c:v>
                </c:pt>
                <c:pt idx="374">
                  <c:v>385.74</c:v>
                </c:pt>
                <c:pt idx="375">
                  <c:v>385.74</c:v>
                </c:pt>
                <c:pt idx="376">
                  <c:v>381.82</c:v>
                </c:pt>
                <c:pt idx="377">
                  <c:v>377.95</c:v>
                </c:pt>
                <c:pt idx="378">
                  <c:v>375.98</c:v>
                </c:pt>
                <c:pt idx="379">
                  <c:v>383.09</c:v>
                </c:pt>
                <c:pt idx="380">
                  <c:v>381.18</c:v>
                </c:pt>
                <c:pt idx="381">
                  <c:v>381.18</c:v>
                </c:pt>
                <c:pt idx="382">
                  <c:v>381.18</c:v>
                </c:pt>
                <c:pt idx="383">
                  <c:v>376.59</c:v>
                </c:pt>
                <c:pt idx="384">
                  <c:v>377.05</c:v>
                </c:pt>
                <c:pt idx="385">
                  <c:v>372.59</c:v>
                </c:pt>
                <c:pt idx="386">
                  <c:v>372.91</c:v>
                </c:pt>
                <c:pt idx="387">
                  <c:v>377.92</c:v>
                </c:pt>
                <c:pt idx="388">
                  <c:v>377.92</c:v>
                </c:pt>
                <c:pt idx="389">
                  <c:v>377.92</c:v>
                </c:pt>
                <c:pt idx="390">
                  <c:v>373.26</c:v>
                </c:pt>
                <c:pt idx="391">
                  <c:v>351.28</c:v>
                </c:pt>
                <c:pt idx="392">
                  <c:v>350.59</c:v>
                </c:pt>
                <c:pt idx="393">
                  <c:v>345.01</c:v>
                </c:pt>
                <c:pt idx="394">
                  <c:v>346.03</c:v>
                </c:pt>
                <c:pt idx="395">
                  <c:v>346.03</c:v>
                </c:pt>
                <c:pt idx="396">
                  <c:v>346.03</c:v>
                </c:pt>
                <c:pt idx="397">
                  <c:v>349.14</c:v>
                </c:pt>
                <c:pt idx="398">
                  <c:v>345.98</c:v>
                </c:pt>
                <c:pt idx="399">
                  <c:v>346.06</c:v>
                </c:pt>
                <c:pt idx="400">
                  <c:v>344.84</c:v>
                </c:pt>
                <c:pt idx="401">
                  <c:v>353.75</c:v>
                </c:pt>
                <c:pt idx="402">
                  <c:v>353.75</c:v>
                </c:pt>
                <c:pt idx="403">
                  <c:v>353.75</c:v>
                </c:pt>
                <c:pt idx="404">
                  <c:v>357.91</c:v>
                </c:pt>
                <c:pt idx="405">
                  <c:v>371.98</c:v>
                </c:pt>
                <c:pt idx="406">
                  <c:v>371.77</c:v>
                </c:pt>
                <c:pt idx="407">
                  <c:v>376.77</c:v>
                </c:pt>
                <c:pt idx="408">
                  <c:v>386.55</c:v>
                </c:pt>
                <c:pt idx="409">
                  <c:v>386.55</c:v>
                </c:pt>
                <c:pt idx="410">
                  <c:v>386.55</c:v>
                </c:pt>
                <c:pt idx="411">
                  <c:v>381.69</c:v>
                </c:pt>
                <c:pt idx="412">
                  <c:v>369.39</c:v>
                </c:pt>
                <c:pt idx="413">
                  <c:v>371.52</c:v>
                </c:pt>
                <c:pt idx="414">
                  <c:v>379.25</c:v>
                </c:pt>
                <c:pt idx="415">
                  <c:v>378.06</c:v>
                </c:pt>
                <c:pt idx="416">
                  <c:v>378.06</c:v>
                </c:pt>
                <c:pt idx="417">
                  <c:v>378.06</c:v>
                </c:pt>
                <c:pt idx="418">
                  <c:v>380.64</c:v>
                </c:pt>
                <c:pt idx="419">
                  <c:v>385.13</c:v>
                </c:pt>
                <c:pt idx="420">
                  <c:v>377.51</c:v>
                </c:pt>
                <c:pt idx="421">
                  <c:v>371.67</c:v>
                </c:pt>
                <c:pt idx="422">
                  <c:v>365.33</c:v>
                </c:pt>
                <c:pt idx="423">
                  <c:v>365.33</c:v>
                </c:pt>
                <c:pt idx="424">
                  <c:v>365.33</c:v>
                </c:pt>
                <c:pt idx="425">
                  <c:v>361.6</c:v>
                </c:pt>
                <c:pt idx="426">
                  <c:v>351.53</c:v>
                </c:pt>
                <c:pt idx="427">
                  <c:v>348.84</c:v>
                </c:pt>
                <c:pt idx="428">
                  <c:v>355</c:v>
                </c:pt>
                <c:pt idx="429">
                  <c:v>360.03</c:v>
                </c:pt>
                <c:pt idx="430">
                  <c:v>360.03</c:v>
                </c:pt>
                <c:pt idx="431">
                  <c:v>360.03</c:v>
                </c:pt>
                <c:pt idx="432">
                  <c:v>362.79</c:v>
                </c:pt>
                <c:pt idx="433">
                  <c:v>362.79</c:v>
                </c:pt>
                <c:pt idx="434">
                  <c:v>364.95</c:v>
                </c:pt>
                <c:pt idx="435">
                  <c:v>360.99</c:v>
                </c:pt>
                <c:pt idx="436">
                  <c:v>373.63</c:v>
                </c:pt>
                <c:pt idx="437">
                  <c:v>373.63</c:v>
                </c:pt>
                <c:pt idx="438">
                  <c:v>373.63</c:v>
                </c:pt>
                <c:pt idx="439">
                  <c:v>376.79</c:v>
                </c:pt>
                <c:pt idx="440">
                  <c:v>376.25</c:v>
                </c:pt>
                <c:pt idx="441">
                  <c:v>369.47</c:v>
                </c:pt>
                <c:pt idx="442">
                  <c:v>378.17</c:v>
                </c:pt>
                <c:pt idx="443">
                  <c:v>375.04</c:v>
                </c:pt>
                <c:pt idx="444">
                  <c:v>375.04</c:v>
                </c:pt>
                <c:pt idx="445">
                  <c:v>375.04</c:v>
                </c:pt>
                <c:pt idx="446">
                  <c:v>381.53</c:v>
                </c:pt>
                <c:pt idx="447">
                  <c:v>382.76</c:v>
                </c:pt>
                <c:pt idx="448">
                  <c:v>382.76</c:v>
                </c:pt>
                <c:pt idx="449">
                  <c:v>379.22</c:v>
                </c:pt>
                <c:pt idx="450">
                  <c:v>378</c:v>
                </c:pt>
                <c:pt idx="451">
                  <c:v>378</c:v>
                </c:pt>
                <c:pt idx="452">
                  <c:v>378</c:v>
                </c:pt>
                <c:pt idx="453">
                  <c:v>377.95</c:v>
                </c:pt>
                <c:pt idx="454">
                  <c:v>370.09</c:v>
                </c:pt>
                <c:pt idx="455">
                  <c:v>365.13</c:v>
                </c:pt>
                <c:pt idx="456">
                  <c:v>368.3</c:v>
                </c:pt>
                <c:pt idx="457">
                  <c:v>368.58</c:v>
                </c:pt>
                <c:pt idx="458">
                  <c:v>368.58</c:v>
                </c:pt>
                <c:pt idx="459">
                  <c:v>368.58</c:v>
                </c:pt>
                <c:pt idx="460">
                  <c:v>371.27</c:v>
                </c:pt>
                <c:pt idx="461">
                  <c:v>370.99</c:v>
                </c:pt>
                <c:pt idx="462">
                  <c:v>369.37</c:v>
                </c:pt>
                <c:pt idx="463">
                  <c:v>368.12</c:v>
                </c:pt>
                <c:pt idx="464">
                  <c:v>374.76</c:v>
                </c:pt>
                <c:pt idx="465">
                  <c:v>374.76</c:v>
                </c:pt>
                <c:pt idx="466">
                  <c:v>374.76</c:v>
                </c:pt>
                <c:pt idx="467">
                  <c:v>368.35</c:v>
                </c:pt>
                <c:pt idx="468">
                  <c:v>364.98</c:v>
                </c:pt>
                <c:pt idx="469">
                  <c:v>369.27</c:v>
                </c:pt>
                <c:pt idx="470">
                  <c:v>374.96</c:v>
                </c:pt>
                <c:pt idx="471">
                  <c:v>374.96</c:v>
                </c:pt>
                <c:pt idx="472">
                  <c:v>374.96</c:v>
                </c:pt>
                <c:pt idx="473">
                  <c:v>374.96</c:v>
                </c:pt>
                <c:pt idx="474">
                  <c:v>379.24</c:v>
                </c:pt>
                <c:pt idx="475">
                  <c:v>386.01</c:v>
                </c:pt>
                <c:pt idx="476">
                  <c:v>386.74</c:v>
                </c:pt>
                <c:pt idx="477">
                  <c:v>391.48</c:v>
                </c:pt>
                <c:pt idx="478">
                  <c:v>397.02</c:v>
                </c:pt>
                <c:pt idx="479">
                  <c:v>397.02</c:v>
                </c:pt>
                <c:pt idx="480">
                  <c:v>397.02</c:v>
                </c:pt>
                <c:pt idx="481">
                  <c:v>394.43</c:v>
                </c:pt>
                <c:pt idx="482">
                  <c:v>414.02</c:v>
                </c:pt>
                <c:pt idx="483">
                  <c:v>412.78</c:v>
                </c:pt>
                <c:pt idx="484">
                  <c:v>407.99</c:v>
                </c:pt>
                <c:pt idx="485">
                  <c:v>407.89</c:v>
                </c:pt>
                <c:pt idx="486">
                  <c:v>407.89</c:v>
                </c:pt>
                <c:pt idx="487">
                  <c:v>407.89</c:v>
                </c:pt>
                <c:pt idx="488">
                  <c:v>409</c:v>
                </c:pt>
                <c:pt idx="489">
                  <c:v>405.42</c:v>
                </c:pt>
                <c:pt idx="490">
                  <c:v>405.57</c:v>
                </c:pt>
                <c:pt idx="491">
                  <c:v>401.84</c:v>
                </c:pt>
                <c:pt idx="492">
                  <c:v>400.96</c:v>
                </c:pt>
                <c:pt idx="493">
                  <c:v>400.96</c:v>
                </c:pt>
                <c:pt idx="494">
                  <c:v>400.96</c:v>
                </c:pt>
                <c:pt idx="495">
                  <c:v>395.96</c:v>
                </c:pt>
                <c:pt idx="496">
                  <c:v>387.5</c:v>
                </c:pt>
                <c:pt idx="497">
                  <c:v>391.41</c:v>
                </c:pt>
                <c:pt idx="498">
                  <c:v>400.96</c:v>
                </c:pt>
                <c:pt idx="499">
                  <c:v>393.33</c:v>
                </c:pt>
                <c:pt idx="500">
                  <c:v>393.33</c:v>
                </c:pt>
                <c:pt idx="501">
                  <c:v>393.33</c:v>
                </c:pt>
                <c:pt idx="502">
                  <c:v>394.06</c:v>
                </c:pt>
                <c:pt idx="503">
                  <c:v>394.62</c:v>
                </c:pt>
                <c:pt idx="504">
                  <c:v>397.21</c:v>
                </c:pt>
                <c:pt idx="505">
                  <c:v>399.61</c:v>
                </c:pt>
                <c:pt idx="506">
                  <c:v>400.32</c:v>
                </c:pt>
                <c:pt idx="507">
                  <c:v>400.32</c:v>
                </c:pt>
                <c:pt idx="508">
                  <c:v>400.32</c:v>
                </c:pt>
                <c:pt idx="509">
                  <c:v>400.6</c:v>
                </c:pt>
                <c:pt idx="510">
                  <c:v>396.88</c:v>
                </c:pt>
                <c:pt idx="511">
                  <c:v>393.01</c:v>
                </c:pt>
                <c:pt idx="512">
                  <c:v>393.8</c:v>
                </c:pt>
                <c:pt idx="513">
                  <c:v>397.27</c:v>
                </c:pt>
                <c:pt idx="514">
                  <c:v>397.27</c:v>
                </c:pt>
                <c:pt idx="515">
                  <c:v>397.27</c:v>
                </c:pt>
                <c:pt idx="516">
                  <c:v>412.84</c:v>
                </c:pt>
                <c:pt idx="517">
                  <c:v>411.97</c:v>
                </c:pt>
                <c:pt idx="518">
                  <c:v>411.48</c:v>
                </c:pt>
                <c:pt idx="519">
                  <c:v>410.75</c:v>
                </c:pt>
                <c:pt idx="520">
                  <c:v>412.54</c:v>
                </c:pt>
                <c:pt idx="521">
                  <c:v>412.54</c:v>
                </c:pt>
                <c:pt idx="522">
                  <c:v>412.54</c:v>
                </c:pt>
                <c:pt idx="523">
                  <c:v>407.11</c:v>
                </c:pt>
                <c:pt idx="524">
                  <c:v>406.03</c:v>
                </c:pt>
                <c:pt idx="525">
                  <c:v>404</c:v>
                </c:pt>
                <c:pt idx="526">
                  <c:v>404.14</c:v>
                </c:pt>
                <c:pt idx="527">
                  <c:v>410.74</c:v>
                </c:pt>
                <c:pt idx="528">
                  <c:v>410.74</c:v>
                </c:pt>
                <c:pt idx="529">
                  <c:v>410.74</c:v>
                </c:pt>
                <c:pt idx="530">
                  <c:v>410.74</c:v>
                </c:pt>
                <c:pt idx="531">
                  <c:v>409.14</c:v>
                </c:pt>
                <c:pt idx="532">
                  <c:v>398.52</c:v>
                </c:pt>
                <c:pt idx="533">
                  <c:v>398.03</c:v>
                </c:pt>
                <c:pt idx="534">
                  <c:v>398.86</c:v>
                </c:pt>
                <c:pt idx="535">
                  <c:v>398.86</c:v>
                </c:pt>
                <c:pt idx="536">
                  <c:v>398.86</c:v>
                </c:pt>
                <c:pt idx="537">
                  <c:v>397.64</c:v>
                </c:pt>
                <c:pt idx="538">
                  <c:v>394.05</c:v>
                </c:pt>
                <c:pt idx="539">
                  <c:v>391.51</c:v>
                </c:pt>
                <c:pt idx="540">
                  <c:v>385.31</c:v>
                </c:pt>
                <c:pt idx="541">
                  <c:v>383.39</c:v>
                </c:pt>
                <c:pt idx="542">
                  <c:v>383.39</c:v>
                </c:pt>
                <c:pt idx="543">
                  <c:v>383.39</c:v>
                </c:pt>
                <c:pt idx="544">
                  <c:v>380.23</c:v>
                </c:pt>
                <c:pt idx="545">
                  <c:v>378.85</c:v>
                </c:pt>
                <c:pt idx="546">
                  <c:v>372.65</c:v>
                </c:pt>
                <c:pt idx="547">
                  <c:v>375.05</c:v>
                </c:pt>
                <c:pt idx="548">
                  <c:v>374.1</c:v>
                </c:pt>
                <c:pt idx="549">
                  <c:v>374.1</c:v>
                </c:pt>
                <c:pt idx="550">
                  <c:v>374.1</c:v>
                </c:pt>
                <c:pt idx="551">
                  <c:v>375.32</c:v>
                </c:pt>
                <c:pt idx="552">
                  <c:v>366.63</c:v>
                </c:pt>
                <c:pt idx="553">
                  <c:v>366.73</c:v>
                </c:pt>
                <c:pt idx="554">
                  <c:v>364.42</c:v>
                </c:pt>
                <c:pt idx="555">
                  <c:v>367.85</c:v>
                </c:pt>
                <c:pt idx="556">
                  <c:v>367.85</c:v>
                </c:pt>
                <c:pt idx="557">
                  <c:v>367.85</c:v>
                </c:pt>
                <c:pt idx="558">
                  <c:v>365.05</c:v>
                </c:pt>
                <c:pt idx="559">
                  <c:v>364.81</c:v>
                </c:pt>
                <c:pt idx="560">
                  <c:v>360.66</c:v>
                </c:pt>
                <c:pt idx="561">
                  <c:v>363.21</c:v>
                </c:pt>
                <c:pt idx="562">
                  <c:v>364.66</c:v>
                </c:pt>
                <c:pt idx="563">
                  <c:v>364.66</c:v>
                </c:pt>
                <c:pt idx="564">
                  <c:v>364.66</c:v>
                </c:pt>
                <c:pt idx="565">
                  <c:v>356.78</c:v>
                </c:pt>
                <c:pt idx="566">
                  <c:v>357.29</c:v>
                </c:pt>
                <c:pt idx="567">
                  <c:v>357.38</c:v>
                </c:pt>
                <c:pt idx="568">
                  <c:v>360.68</c:v>
                </c:pt>
                <c:pt idx="569">
                  <c:v>360.68</c:v>
                </c:pt>
                <c:pt idx="570">
                  <c:v>360.68</c:v>
                </c:pt>
                <c:pt idx="571">
                  <c:v>360.68</c:v>
                </c:pt>
                <c:pt idx="572">
                  <c:v>364.66</c:v>
                </c:pt>
                <c:pt idx="573">
                  <c:v>384.78</c:v>
                </c:pt>
                <c:pt idx="574">
                  <c:v>379.27</c:v>
                </c:pt>
                <c:pt idx="575">
                  <c:v>389.39</c:v>
                </c:pt>
                <c:pt idx="576">
                  <c:v>381.29</c:v>
                </c:pt>
                <c:pt idx="577">
                  <c:v>381.29</c:v>
                </c:pt>
                <c:pt idx="578">
                  <c:v>381.29</c:v>
                </c:pt>
                <c:pt idx="579">
                  <c:v>385.83</c:v>
                </c:pt>
                <c:pt idx="580">
                  <c:v>385.95</c:v>
                </c:pt>
                <c:pt idx="581">
                  <c:v>388.9</c:v>
                </c:pt>
                <c:pt idx="582">
                  <c:v>386.03</c:v>
                </c:pt>
                <c:pt idx="583">
                  <c:v>392.6</c:v>
                </c:pt>
                <c:pt idx="584">
                  <c:v>392.6</c:v>
                </c:pt>
                <c:pt idx="585">
                  <c:v>392.6</c:v>
                </c:pt>
                <c:pt idx="586">
                  <c:v>393.68</c:v>
                </c:pt>
                <c:pt idx="587">
                  <c:v>393.58</c:v>
                </c:pt>
                <c:pt idx="588">
                  <c:v>396.93</c:v>
                </c:pt>
                <c:pt idx="589">
                  <c:v>397.68</c:v>
                </c:pt>
                <c:pt idx="590">
                  <c:v>393.62</c:v>
                </c:pt>
                <c:pt idx="591">
                  <c:v>393.62</c:v>
                </c:pt>
                <c:pt idx="592">
                  <c:v>393.62</c:v>
                </c:pt>
                <c:pt idx="593">
                  <c:v>393.01</c:v>
                </c:pt>
                <c:pt idx="594">
                  <c:v>388.41</c:v>
                </c:pt>
                <c:pt idx="595">
                  <c:v>387.46</c:v>
                </c:pt>
                <c:pt idx="596">
                  <c:v>384.59</c:v>
                </c:pt>
                <c:pt idx="597">
                  <c:v>382.72</c:v>
                </c:pt>
                <c:pt idx="598">
                  <c:v>382.72</c:v>
                </c:pt>
                <c:pt idx="599">
                  <c:v>382.72</c:v>
                </c:pt>
                <c:pt idx="600">
                  <c:v>381.39</c:v>
                </c:pt>
                <c:pt idx="601">
                  <c:v>378.61</c:v>
                </c:pt>
                <c:pt idx="602">
                  <c:v>385.35</c:v>
                </c:pt>
                <c:pt idx="603">
                  <c:v>386.51</c:v>
                </c:pt>
                <c:pt idx="604">
                  <c:v>386.51</c:v>
                </c:pt>
                <c:pt idx="605">
                  <c:v>386.51</c:v>
                </c:pt>
                <c:pt idx="606">
                  <c:v>386.51</c:v>
                </c:pt>
                <c:pt idx="607">
                  <c:v>390.22</c:v>
                </c:pt>
                <c:pt idx="608">
                  <c:v>393.71</c:v>
                </c:pt>
                <c:pt idx="609">
                  <c:v>393.22</c:v>
                </c:pt>
                <c:pt idx="610">
                  <c:v>397.98</c:v>
                </c:pt>
                <c:pt idx="611">
                  <c:v>395.96</c:v>
                </c:pt>
                <c:pt idx="612">
                  <c:v>395.96</c:v>
                </c:pt>
                <c:pt idx="613">
                  <c:v>395.96</c:v>
                </c:pt>
                <c:pt idx="614">
                  <c:v>392.39</c:v>
                </c:pt>
                <c:pt idx="615">
                  <c:v>393.35</c:v>
                </c:pt>
                <c:pt idx="616">
                  <c:v>400.91</c:v>
                </c:pt>
                <c:pt idx="617">
                  <c:v>399.87</c:v>
                </c:pt>
                <c:pt idx="618">
                  <c:v>399.87</c:v>
                </c:pt>
                <c:pt idx="619">
                  <c:v>399.87</c:v>
                </c:pt>
                <c:pt idx="620">
                  <c:v>399.87</c:v>
                </c:pt>
                <c:pt idx="621">
                  <c:v>399.26</c:v>
                </c:pt>
                <c:pt idx="622">
                  <c:v>401.64</c:v>
                </c:pt>
                <c:pt idx="623">
                  <c:v>401.27</c:v>
                </c:pt>
                <c:pt idx="624">
                  <c:v>396.82</c:v>
                </c:pt>
                <c:pt idx="625">
                  <c:v>396.82</c:v>
                </c:pt>
                <c:pt idx="626">
                  <c:v>396.82</c:v>
                </c:pt>
                <c:pt idx="627">
                  <c:v>396.82</c:v>
                </c:pt>
                <c:pt idx="628">
                  <c:v>393.34</c:v>
                </c:pt>
                <c:pt idx="629">
                  <c:v>387.26</c:v>
                </c:pt>
                <c:pt idx="630">
                  <c:v>393.94</c:v>
                </c:pt>
                <c:pt idx="631">
                  <c:v>382.76</c:v>
                </c:pt>
                <c:pt idx="632">
                  <c:v>386.07</c:v>
                </c:pt>
                <c:pt idx="633">
                  <c:v>386.07</c:v>
                </c:pt>
                <c:pt idx="634">
                  <c:v>386.07</c:v>
                </c:pt>
                <c:pt idx="635">
                  <c:v>388.42</c:v>
                </c:pt>
                <c:pt idx="636">
                  <c:v>377.01</c:v>
                </c:pt>
                <c:pt idx="637">
                  <c:v>359.39</c:v>
                </c:pt>
                <c:pt idx="638">
                  <c:v>361.03</c:v>
                </c:pt>
                <c:pt idx="639">
                  <c:v>363.67</c:v>
                </c:pt>
                <c:pt idx="640">
                  <c:v>363.67</c:v>
                </c:pt>
                <c:pt idx="641">
                  <c:v>363.67</c:v>
                </c:pt>
                <c:pt idx="642">
                  <c:v>361.22</c:v>
                </c:pt>
                <c:pt idx="643">
                  <c:v>365.54</c:v>
                </c:pt>
                <c:pt idx="644">
                  <c:v>361.14</c:v>
                </c:pt>
                <c:pt idx="645">
                  <c:v>368.93</c:v>
                </c:pt>
                <c:pt idx="646">
                  <c:v>368.81</c:v>
                </c:pt>
                <c:pt idx="647">
                  <c:v>368.81</c:v>
                </c:pt>
                <c:pt idx="648">
                  <c:v>368.81</c:v>
                </c:pt>
                <c:pt idx="649">
                  <c:v>364.41</c:v>
                </c:pt>
                <c:pt idx="650">
                  <c:v>363.94</c:v>
                </c:pt>
                <c:pt idx="651">
                  <c:v>360.02</c:v>
                </c:pt>
                <c:pt idx="652">
                  <c:v>362.21</c:v>
                </c:pt>
                <c:pt idx="653">
                  <c:v>370.19</c:v>
                </c:pt>
                <c:pt idx="654">
                  <c:v>370.19</c:v>
                </c:pt>
                <c:pt idx="655">
                  <c:v>370.19</c:v>
                </c:pt>
                <c:pt idx="656">
                  <c:v>370.76</c:v>
                </c:pt>
                <c:pt idx="657">
                  <c:v>370.76</c:v>
                </c:pt>
                <c:pt idx="658">
                  <c:v>382.65</c:v>
                </c:pt>
                <c:pt idx="659">
                  <c:v>380.33</c:v>
                </c:pt>
                <c:pt idx="660">
                  <c:v>384.15</c:v>
                </c:pt>
                <c:pt idx="661">
                  <c:v>384.15</c:v>
                </c:pt>
                <c:pt idx="662">
                  <c:v>384.15</c:v>
                </c:pt>
                <c:pt idx="663">
                  <c:v>378.56</c:v>
                </c:pt>
                <c:pt idx="664">
                  <c:v>380.87</c:v>
                </c:pt>
                <c:pt idx="665">
                  <c:v>374.96</c:v>
                </c:pt>
                <c:pt idx="666">
                  <c:v>369.76</c:v>
                </c:pt>
                <c:pt idx="667">
                  <c:v>373.99</c:v>
                </c:pt>
                <c:pt idx="668">
                  <c:v>373.99</c:v>
                </c:pt>
                <c:pt idx="669">
                  <c:v>373.99</c:v>
                </c:pt>
                <c:pt idx="670">
                  <c:v>369.62</c:v>
                </c:pt>
                <c:pt idx="671">
                  <c:v>369.37</c:v>
                </c:pt>
                <c:pt idx="672">
                  <c:v>369.24</c:v>
                </c:pt>
                <c:pt idx="673">
                  <c:v>378.25</c:v>
                </c:pt>
                <c:pt idx="674">
                  <c:v>382.2</c:v>
                </c:pt>
                <c:pt idx="675">
                  <c:v>382.2</c:v>
                </c:pt>
                <c:pt idx="676">
                  <c:v>382.2</c:v>
                </c:pt>
                <c:pt idx="677">
                  <c:v>373.56</c:v>
                </c:pt>
                <c:pt idx="678">
                  <c:v>370.47</c:v>
                </c:pt>
                <c:pt idx="679">
                  <c:v>365.36</c:v>
                </c:pt>
                <c:pt idx="680">
                  <c:v>367.8</c:v>
                </c:pt>
                <c:pt idx="681">
                  <c:v>361.15</c:v>
                </c:pt>
                <c:pt idx="682">
                  <c:v>361.15</c:v>
                </c:pt>
                <c:pt idx="683">
                  <c:v>361.15</c:v>
                </c:pt>
                <c:pt idx="684">
                  <c:v>369.54</c:v>
                </c:pt>
                <c:pt idx="685">
                  <c:v>371.91</c:v>
                </c:pt>
                <c:pt idx="686">
                  <c:v>373.57</c:v>
                </c:pt>
                <c:pt idx="687">
                  <c:v>373.27</c:v>
                </c:pt>
                <c:pt idx="688">
                  <c:v>375.15</c:v>
                </c:pt>
                <c:pt idx="689">
                  <c:v>375.15</c:v>
                </c:pt>
                <c:pt idx="690">
                  <c:v>375.15</c:v>
                </c:pt>
                <c:pt idx="691">
                  <c:v>381.37</c:v>
                </c:pt>
                <c:pt idx="692">
                  <c:v>382.23</c:v>
                </c:pt>
                <c:pt idx="693">
                  <c:v>391.12</c:v>
                </c:pt>
                <c:pt idx="694">
                  <c:v>390.54</c:v>
                </c:pt>
                <c:pt idx="695">
                  <c:v>380.66</c:v>
                </c:pt>
                <c:pt idx="696">
                  <c:v>380.66</c:v>
                </c:pt>
                <c:pt idx="697">
                  <c:v>380.66</c:v>
                </c:pt>
                <c:pt idx="698">
                  <c:v>382.28</c:v>
                </c:pt>
                <c:pt idx="699">
                  <c:v>389.36</c:v>
                </c:pt>
                <c:pt idx="700">
                  <c:v>390.84</c:v>
                </c:pt>
                <c:pt idx="701">
                  <c:v>382.94</c:v>
                </c:pt>
                <c:pt idx="702">
                  <c:v>378.54</c:v>
                </c:pt>
                <c:pt idx="703">
                  <c:v>378.54</c:v>
                </c:pt>
                <c:pt idx="704">
                  <c:v>378.54</c:v>
                </c:pt>
                <c:pt idx="705">
                  <c:v>375.69</c:v>
                </c:pt>
                <c:pt idx="706">
                  <c:v>377</c:v>
                </c:pt>
                <c:pt idx="707">
                  <c:v>372.78</c:v>
                </c:pt>
                <c:pt idx="708">
                  <c:v>373.84</c:v>
                </c:pt>
                <c:pt idx="709">
                  <c:v>377.38</c:v>
                </c:pt>
                <c:pt idx="710">
                  <c:v>377.38</c:v>
                </c:pt>
                <c:pt idx="711">
                  <c:v>377.38</c:v>
                </c:pt>
                <c:pt idx="712">
                  <c:v>384.73</c:v>
                </c:pt>
                <c:pt idx="713">
                  <c:v>384.36</c:v>
                </c:pt>
                <c:pt idx="714">
                  <c:v>379.63</c:v>
                </c:pt>
                <c:pt idx="715">
                  <c:v>384.39</c:v>
                </c:pt>
                <c:pt idx="716">
                  <c:v>380.87</c:v>
                </c:pt>
                <c:pt idx="717">
                  <c:v>380.87</c:v>
                </c:pt>
                <c:pt idx="718">
                  <c:v>380.87</c:v>
                </c:pt>
                <c:pt idx="719">
                  <c:v>387.64</c:v>
                </c:pt>
                <c:pt idx="720">
                  <c:v>402.33</c:v>
                </c:pt>
                <c:pt idx="721">
                  <c:v>398.69</c:v>
                </c:pt>
                <c:pt idx="722">
                  <c:v>410.84</c:v>
                </c:pt>
                <c:pt idx="723">
                  <c:v>412.11</c:v>
                </c:pt>
                <c:pt idx="724">
                  <c:v>412.11</c:v>
                </c:pt>
                <c:pt idx="725">
                  <c:v>412.11</c:v>
                </c:pt>
                <c:pt idx="726">
                  <c:v>411.68</c:v>
                </c:pt>
                <c:pt idx="727">
                  <c:v>402.23</c:v>
                </c:pt>
                <c:pt idx="728">
                  <c:v>402.26</c:v>
                </c:pt>
                <c:pt idx="729">
                  <c:v>400.37</c:v>
                </c:pt>
                <c:pt idx="730">
                  <c:v>399.66</c:v>
                </c:pt>
                <c:pt idx="731">
                  <c:v>399.66</c:v>
                </c:pt>
                <c:pt idx="732">
                  <c:v>399.66</c:v>
                </c:pt>
                <c:pt idx="733">
                  <c:v>411.73</c:v>
                </c:pt>
                <c:pt idx="734">
                  <c:v>414.29</c:v>
                </c:pt>
                <c:pt idx="735">
                  <c:v>414.43</c:v>
                </c:pt>
                <c:pt idx="736">
                  <c:v>418.9</c:v>
                </c:pt>
                <c:pt idx="737">
                  <c:v>418.9</c:v>
                </c:pt>
                <c:pt idx="738">
                  <c:v>418.9</c:v>
                </c:pt>
                <c:pt idx="739">
                  <c:v>418.9</c:v>
                </c:pt>
                <c:pt idx="740">
                  <c:v>410.94</c:v>
                </c:pt>
                <c:pt idx="741">
                  <c:v>413.27</c:v>
                </c:pt>
                <c:pt idx="742">
                  <c:v>404.1</c:v>
                </c:pt>
                <c:pt idx="743">
                  <c:v>394.69</c:v>
                </c:pt>
                <c:pt idx="744">
                  <c:v>390.21</c:v>
                </c:pt>
                <c:pt idx="745">
                  <c:v>390.21</c:v>
                </c:pt>
                <c:pt idx="746">
                  <c:v>390.21</c:v>
                </c:pt>
                <c:pt idx="747">
                  <c:v>386.64</c:v>
                </c:pt>
                <c:pt idx="748">
                  <c:v>394.28</c:v>
                </c:pt>
                <c:pt idx="749">
                  <c:v>385.21</c:v>
                </c:pt>
                <c:pt idx="750">
                  <c:v>390.79</c:v>
                </c:pt>
                <c:pt idx="751">
                  <c:v>397.02</c:v>
                </c:pt>
                <c:pt idx="752">
                  <c:v>397.02</c:v>
                </c:pt>
                <c:pt idx="753">
                  <c:v>397.02</c:v>
                </c:pt>
                <c:pt idx="754">
                  <c:v>419.16</c:v>
                </c:pt>
                <c:pt idx="755">
                  <c:v>423.94</c:v>
                </c:pt>
                <c:pt idx="756">
                  <c:v>431.68</c:v>
                </c:pt>
                <c:pt idx="757">
                  <c:v>437.64</c:v>
                </c:pt>
                <c:pt idx="758">
                  <c:v>435.07</c:v>
                </c:pt>
                <c:pt idx="759">
                  <c:v>435.07</c:v>
                </c:pt>
                <c:pt idx="760">
                  <c:v>435.07</c:v>
                </c:pt>
                <c:pt idx="761">
                  <c:v>434.57</c:v>
                </c:pt>
                <c:pt idx="762">
                  <c:v>436.09</c:v>
                </c:pt>
                <c:pt idx="763">
                  <c:v>430.46</c:v>
                </c:pt>
                <c:pt idx="764">
                  <c:v>431.31</c:v>
                </c:pt>
                <c:pt idx="765">
                  <c:v>424.04</c:v>
                </c:pt>
                <c:pt idx="766">
                  <c:v>424.04</c:v>
                </c:pt>
                <c:pt idx="767">
                  <c:v>424.04</c:v>
                </c:pt>
                <c:pt idx="768">
                  <c:v>423.94</c:v>
                </c:pt>
                <c:pt idx="769">
                  <c:v>430.53</c:v>
                </c:pt>
                <c:pt idx="770">
                  <c:v>433.44</c:v>
                </c:pt>
                <c:pt idx="771">
                  <c:v>429.6</c:v>
                </c:pt>
                <c:pt idx="772">
                  <c:v>427.11</c:v>
                </c:pt>
                <c:pt idx="773">
                  <c:v>427.11</c:v>
                </c:pt>
                <c:pt idx="774">
                  <c:v>427.11</c:v>
                </c:pt>
                <c:pt idx="775">
                  <c:v>428.62</c:v>
                </c:pt>
                <c:pt idx="776">
                  <c:v>432.95</c:v>
                </c:pt>
                <c:pt idx="777">
                  <c:v>446.33</c:v>
                </c:pt>
                <c:pt idx="778">
                  <c:v>442.59</c:v>
                </c:pt>
                <c:pt idx="779">
                  <c:v>436.93</c:v>
                </c:pt>
                <c:pt idx="780">
                  <c:v>436.93</c:v>
                </c:pt>
                <c:pt idx="781">
                  <c:v>436.93</c:v>
                </c:pt>
                <c:pt idx="782">
                  <c:v>439.63</c:v>
                </c:pt>
                <c:pt idx="783">
                  <c:v>436.17</c:v>
                </c:pt>
                <c:pt idx="784">
                  <c:v>431.56</c:v>
                </c:pt>
                <c:pt idx="785">
                  <c:v>420.6</c:v>
                </c:pt>
                <c:pt idx="786">
                  <c:v>414.61</c:v>
                </c:pt>
                <c:pt idx="787">
                  <c:v>414.61</c:v>
                </c:pt>
                <c:pt idx="788">
                  <c:v>414.61</c:v>
                </c:pt>
                <c:pt idx="789">
                  <c:v>409.55</c:v>
                </c:pt>
                <c:pt idx="790">
                  <c:v>407.67</c:v>
                </c:pt>
                <c:pt idx="791">
                  <c:v>413.8</c:v>
                </c:pt>
                <c:pt idx="792">
                  <c:v>407.09</c:v>
                </c:pt>
                <c:pt idx="793">
                  <c:v>405.28</c:v>
                </c:pt>
                <c:pt idx="794">
                  <c:v>405.28</c:v>
                </c:pt>
                <c:pt idx="795">
                  <c:v>405.28</c:v>
                </c:pt>
                <c:pt idx="796">
                  <c:v>401.17</c:v>
                </c:pt>
                <c:pt idx="797">
                  <c:v>404.66</c:v>
                </c:pt>
                <c:pt idx="798">
                  <c:v>406.48</c:v>
                </c:pt>
                <c:pt idx="799">
                  <c:v>406.48</c:v>
                </c:pt>
                <c:pt idx="800">
                  <c:v>405.19</c:v>
                </c:pt>
                <c:pt idx="801">
                  <c:v>405.19</c:v>
                </c:pt>
                <c:pt idx="802">
                  <c:v>405.19</c:v>
                </c:pt>
                <c:pt idx="803">
                  <c:v>401.63</c:v>
                </c:pt>
                <c:pt idx="804">
                  <c:v>405.2</c:v>
                </c:pt>
                <c:pt idx="805">
                  <c:v>409.51</c:v>
                </c:pt>
                <c:pt idx="806">
                  <c:v>410.19</c:v>
                </c:pt>
                <c:pt idx="807">
                  <c:v>404.45</c:v>
                </c:pt>
                <c:pt idx="808">
                  <c:v>404.45</c:v>
                </c:pt>
                <c:pt idx="809">
                  <c:v>404.45</c:v>
                </c:pt>
                <c:pt idx="810">
                  <c:v>415.69</c:v>
                </c:pt>
                <c:pt idx="811">
                  <c:v>416.59</c:v>
                </c:pt>
                <c:pt idx="812">
                  <c:v>407.98</c:v>
                </c:pt>
                <c:pt idx="813">
                  <c:v>407.63</c:v>
                </c:pt>
                <c:pt idx="814">
                  <c:v>407.63</c:v>
                </c:pt>
                <c:pt idx="815">
                  <c:v>407.63</c:v>
                </c:pt>
                <c:pt idx="816">
                  <c:v>407.63</c:v>
                </c:pt>
                <c:pt idx="817">
                  <c:v>406.52</c:v>
                </c:pt>
                <c:pt idx="818">
                  <c:v>399.05</c:v>
                </c:pt>
                <c:pt idx="819">
                  <c:v>398.24</c:v>
                </c:pt>
                <c:pt idx="820">
                  <c:v>387.13</c:v>
                </c:pt>
                <c:pt idx="821">
                  <c:v>378.87</c:v>
                </c:pt>
                <c:pt idx="822">
                  <c:v>378.87</c:v>
                </c:pt>
                <c:pt idx="823">
                  <c:v>378.87</c:v>
                </c:pt>
                <c:pt idx="824">
                  <c:v>380.77</c:v>
                </c:pt>
                <c:pt idx="825">
                  <c:v>381.82</c:v>
                </c:pt>
                <c:pt idx="826">
                  <c:v>373.69</c:v>
                </c:pt>
                <c:pt idx="827">
                  <c:v>363.65</c:v>
                </c:pt>
                <c:pt idx="828">
                  <c:v>371.07</c:v>
                </c:pt>
                <c:pt idx="829">
                  <c:v>371.07</c:v>
                </c:pt>
                <c:pt idx="830">
                  <c:v>371.07</c:v>
                </c:pt>
                <c:pt idx="831">
                  <c:v>352.57</c:v>
                </c:pt>
                <c:pt idx="832">
                  <c:v>345.98</c:v>
                </c:pt>
                <c:pt idx="833">
                  <c:v>350.63</c:v>
                </c:pt>
                <c:pt idx="834">
                  <c:v>357.21</c:v>
                </c:pt>
                <c:pt idx="835">
                  <c:v>357.21</c:v>
                </c:pt>
                <c:pt idx="836">
                  <c:v>357.21</c:v>
                </c:pt>
                <c:pt idx="837">
                  <c:v>357.21</c:v>
                </c:pt>
                <c:pt idx="838">
                  <c:v>354.88</c:v>
                </c:pt>
                <c:pt idx="839">
                  <c:v>354.08</c:v>
                </c:pt>
                <c:pt idx="840">
                  <c:v>360.48</c:v>
                </c:pt>
                <c:pt idx="841">
                  <c:v>360.5</c:v>
                </c:pt>
                <c:pt idx="842">
                  <c:v>363.55</c:v>
                </c:pt>
                <c:pt idx="843">
                  <c:v>363.55</c:v>
                </c:pt>
                <c:pt idx="844">
                  <c:v>363.55</c:v>
                </c:pt>
                <c:pt idx="845">
                  <c:v>370.52</c:v>
                </c:pt>
                <c:pt idx="846">
                  <c:v>368.07</c:v>
                </c:pt>
                <c:pt idx="847">
                  <c:v>362.68</c:v>
                </c:pt>
                <c:pt idx="848">
                  <c:v>370.21</c:v>
                </c:pt>
                <c:pt idx="849">
                  <c:v>373.98</c:v>
                </c:pt>
                <c:pt idx="850">
                  <c:v>373.98</c:v>
                </c:pt>
                <c:pt idx="851">
                  <c:v>373.98</c:v>
                </c:pt>
                <c:pt idx="852">
                  <c:v>372.79</c:v>
                </c:pt>
                <c:pt idx="853">
                  <c:v>380.39</c:v>
                </c:pt>
                <c:pt idx="854">
                  <c:v>381.44</c:v>
                </c:pt>
                <c:pt idx="855">
                  <c:v>380.25</c:v>
                </c:pt>
                <c:pt idx="856">
                  <c:v>381.09</c:v>
                </c:pt>
                <c:pt idx="857">
                  <c:v>381.09</c:v>
                </c:pt>
                <c:pt idx="858">
                  <c:v>381.09</c:v>
                </c:pt>
                <c:pt idx="859">
                  <c:v>373.59</c:v>
                </c:pt>
                <c:pt idx="860">
                  <c:v>382.22</c:v>
                </c:pt>
                <c:pt idx="861">
                  <c:v>383.8</c:v>
                </c:pt>
                <c:pt idx="862">
                  <c:v>382.12</c:v>
                </c:pt>
                <c:pt idx="863">
                  <c:v>378.02</c:v>
                </c:pt>
                <c:pt idx="864">
                  <c:v>378.02</c:v>
                </c:pt>
                <c:pt idx="865">
                  <c:v>378.02</c:v>
                </c:pt>
                <c:pt idx="866">
                  <c:v>371.85</c:v>
                </c:pt>
                <c:pt idx="867">
                  <c:v>374.61</c:v>
                </c:pt>
                <c:pt idx="868">
                  <c:v>379.47</c:v>
                </c:pt>
                <c:pt idx="869">
                  <c:v>388.04</c:v>
                </c:pt>
                <c:pt idx="870">
                  <c:v>386.7</c:v>
                </c:pt>
                <c:pt idx="871">
                  <c:v>386.7</c:v>
                </c:pt>
                <c:pt idx="872">
                  <c:v>386.7</c:v>
                </c:pt>
                <c:pt idx="873">
                  <c:v>390.36</c:v>
                </c:pt>
                <c:pt idx="874">
                  <c:v>392.77</c:v>
                </c:pt>
                <c:pt idx="875">
                  <c:v>396.69</c:v>
                </c:pt>
                <c:pt idx="876">
                  <c:v>391.42</c:v>
                </c:pt>
                <c:pt idx="877">
                  <c:v>387.77</c:v>
                </c:pt>
                <c:pt idx="878">
                  <c:v>387.77</c:v>
                </c:pt>
                <c:pt idx="879">
                  <c:v>387.77</c:v>
                </c:pt>
                <c:pt idx="880">
                  <c:v>384.74</c:v>
                </c:pt>
                <c:pt idx="881">
                  <c:v>384.39</c:v>
                </c:pt>
                <c:pt idx="882">
                  <c:v>380.83</c:v>
                </c:pt>
                <c:pt idx="883">
                  <c:v>377.33</c:v>
                </c:pt>
                <c:pt idx="884">
                  <c:v>369.65</c:v>
                </c:pt>
                <c:pt idx="885">
                  <c:v>369.65</c:v>
                </c:pt>
                <c:pt idx="886">
                  <c:v>369.65</c:v>
                </c:pt>
                <c:pt idx="887">
                  <c:v>369.65</c:v>
                </c:pt>
                <c:pt idx="888">
                  <c:v>373.82</c:v>
                </c:pt>
                <c:pt idx="889">
                  <c:v>397.66</c:v>
                </c:pt>
                <c:pt idx="890">
                  <c:v>414.99</c:v>
                </c:pt>
                <c:pt idx="891">
                  <c:v>412.88</c:v>
                </c:pt>
                <c:pt idx="892">
                  <c:v>412.88</c:v>
                </c:pt>
                <c:pt idx="893">
                  <c:v>412.88</c:v>
                </c:pt>
                <c:pt idx="894">
                  <c:v>403.7</c:v>
                </c:pt>
                <c:pt idx="895">
                  <c:v>400.79</c:v>
                </c:pt>
                <c:pt idx="896">
                  <c:v>395.35</c:v>
                </c:pt>
                <c:pt idx="897">
                  <c:v>393.01</c:v>
                </c:pt>
                <c:pt idx="898">
                  <c:v>386.5</c:v>
                </c:pt>
                <c:pt idx="899">
                  <c:v>386.5</c:v>
                </c:pt>
                <c:pt idx="900">
                  <c:v>386.5</c:v>
                </c:pt>
                <c:pt idx="901">
                  <c:v>391.85</c:v>
                </c:pt>
                <c:pt idx="902">
                  <c:v>394.97</c:v>
                </c:pt>
                <c:pt idx="903">
                  <c:v>402.59</c:v>
                </c:pt>
                <c:pt idx="904">
                  <c:v>394.5</c:v>
                </c:pt>
                <c:pt idx="905">
                  <c:v>385.5</c:v>
                </c:pt>
                <c:pt idx="906">
                  <c:v>385.5</c:v>
                </c:pt>
                <c:pt idx="907">
                  <c:v>385.5</c:v>
                </c:pt>
                <c:pt idx="908">
                  <c:v>391.11</c:v>
                </c:pt>
                <c:pt idx="909">
                  <c:v>390.48</c:v>
                </c:pt>
                <c:pt idx="910">
                  <c:v>402.45</c:v>
                </c:pt>
                <c:pt idx="911">
                  <c:v>398.22</c:v>
                </c:pt>
                <c:pt idx="912">
                  <c:v>395.93</c:v>
                </c:pt>
                <c:pt idx="913">
                  <c:v>395.93</c:v>
                </c:pt>
                <c:pt idx="914">
                  <c:v>395.93</c:v>
                </c:pt>
                <c:pt idx="915">
                  <c:v>421.42</c:v>
                </c:pt>
                <c:pt idx="916">
                  <c:v>424.29</c:v>
                </c:pt>
                <c:pt idx="917">
                  <c:v>418.15</c:v>
                </c:pt>
                <c:pt idx="918">
                  <c:v>425.71</c:v>
                </c:pt>
                <c:pt idx="919">
                  <c:v>430.28</c:v>
                </c:pt>
                <c:pt idx="920">
                  <c:v>430.28</c:v>
                </c:pt>
                <c:pt idx="921">
                  <c:v>430.28</c:v>
                </c:pt>
                <c:pt idx="922">
                  <c:v>421.34</c:v>
                </c:pt>
                <c:pt idx="923">
                  <c:v>419.75</c:v>
                </c:pt>
                <c:pt idx="924">
                  <c:v>419.24</c:v>
                </c:pt>
                <c:pt idx="925">
                  <c:v>421.63</c:v>
                </c:pt>
                <c:pt idx="926">
                  <c:v>417.42</c:v>
                </c:pt>
                <c:pt idx="927">
                  <c:v>417.42</c:v>
                </c:pt>
                <c:pt idx="928">
                  <c:v>417.42</c:v>
                </c:pt>
                <c:pt idx="929">
                  <c:v>425.05</c:v>
                </c:pt>
                <c:pt idx="930">
                  <c:v>426.41</c:v>
                </c:pt>
                <c:pt idx="931">
                  <c:v>427.17</c:v>
                </c:pt>
                <c:pt idx="932">
                  <c:v>433.31</c:v>
                </c:pt>
                <c:pt idx="933">
                  <c:v>433.31</c:v>
                </c:pt>
                <c:pt idx="934">
                  <c:v>433.31</c:v>
                </c:pt>
                <c:pt idx="935">
                  <c:v>433.31</c:v>
                </c:pt>
                <c:pt idx="936">
                  <c:v>402.96</c:v>
                </c:pt>
                <c:pt idx="937">
                  <c:v>410.04</c:v>
                </c:pt>
                <c:pt idx="938">
                  <c:v>409.31</c:v>
                </c:pt>
                <c:pt idx="939">
                  <c:v>415.33</c:v>
                </c:pt>
                <c:pt idx="940">
                  <c:v>417.79</c:v>
                </c:pt>
                <c:pt idx="941">
                  <c:v>417.79</c:v>
                </c:pt>
                <c:pt idx="942">
                  <c:v>417.79</c:v>
                </c:pt>
                <c:pt idx="943">
                  <c:v>408.01</c:v>
                </c:pt>
                <c:pt idx="944">
                  <c:v>407.69</c:v>
                </c:pt>
                <c:pt idx="945">
                  <c:v>409.52</c:v>
                </c:pt>
                <c:pt idx="946">
                  <c:v>410.23</c:v>
                </c:pt>
                <c:pt idx="947">
                  <c:v>406.06</c:v>
                </c:pt>
                <c:pt idx="948">
                  <c:v>406.06</c:v>
                </c:pt>
                <c:pt idx="949">
                  <c:v>406.06</c:v>
                </c:pt>
                <c:pt idx="950">
                  <c:v>406.55</c:v>
                </c:pt>
                <c:pt idx="951">
                  <c:v>426.99</c:v>
                </c:pt>
                <c:pt idx="952">
                  <c:v>422.84</c:v>
                </c:pt>
                <c:pt idx="953">
                  <c:v>420.6</c:v>
                </c:pt>
                <c:pt idx="954">
                  <c:v>418.18</c:v>
                </c:pt>
                <c:pt idx="955">
                  <c:v>418.18</c:v>
                </c:pt>
                <c:pt idx="956">
                  <c:v>418.18</c:v>
                </c:pt>
                <c:pt idx="957">
                  <c:v>421.2</c:v>
                </c:pt>
                <c:pt idx="958">
                  <c:v>413.64</c:v>
                </c:pt>
                <c:pt idx="959">
                  <c:v>416.67</c:v>
                </c:pt>
                <c:pt idx="960">
                  <c:v>409.34</c:v>
                </c:pt>
                <c:pt idx="961">
                  <c:v>410.6</c:v>
                </c:pt>
                <c:pt idx="962">
                  <c:v>410.6</c:v>
                </c:pt>
                <c:pt idx="963">
                  <c:v>410.6</c:v>
                </c:pt>
                <c:pt idx="964">
                  <c:v>408.6</c:v>
                </c:pt>
                <c:pt idx="965">
                  <c:v>425.99</c:v>
                </c:pt>
                <c:pt idx="966">
                  <c:v>438.2</c:v>
                </c:pt>
                <c:pt idx="967">
                  <c:v>439.63</c:v>
                </c:pt>
                <c:pt idx="968">
                  <c:v>439.63</c:v>
                </c:pt>
                <c:pt idx="969">
                  <c:v>439.63</c:v>
                </c:pt>
                <c:pt idx="970">
                  <c:v>439.63</c:v>
                </c:pt>
                <c:pt idx="971">
                  <c:v>436.09</c:v>
                </c:pt>
                <c:pt idx="972">
                  <c:v>433.48</c:v>
                </c:pt>
                <c:pt idx="973">
                  <c:v>437.43</c:v>
                </c:pt>
                <c:pt idx="974">
                  <c:v>428.2</c:v>
                </c:pt>
                <c:pt idx="975">
                  <c:v>426.47</c:v>
                </c:pt>
                <c:pt idx="976">
                  <c:v>426.47</c:v>
                </c:pt>
                <c:pt idx="977">
                  <c:v>426.47</c:v>
                </c:pt>
                <c:pt idx="978">
                  <c:v>414.73</c:v>
                </c:pt>
                <c:pt idx="979">
                  <c:v>423.48</c:v>
                </c:pt>
                <c:pt idx="980">
                  <c:v>424.29</c:v>
                </c:pt>
                <c:pt idx="981">
                  <c:v>428.76</c:v>
                </c:pt>
                <c:pt idx="982">
                  <c:v>428.76</c:v>
                </c:pt>
                <c:pt idx="983">
                  <c:v>428.76</c:v>
                </c:pt>
                <c:pt idx="984">
                  <c:v>428.76</c:v>
                </c:pt>
                <c:pt idx="985">
                  <c:v>428.64</c:v>
                </c:pt>
                <c:pt idx="986">
                  <c:v>430.18</c:v>
                </c:pt>
                <c:pt idx="987">
                  <c:v>436.15</c:v>
                </c:pt>
                <c:pt idx="988">
                  <c:v>436.93</c:v>
                </c:pt>
                <c:pt idx="989">
                  <c:v>436.93</c:v>
                </c:pt>
                <c:pt idx="990">
                  <c:v>436.93</c:v>
                </c:pt>
                <c:pt idx="991">
                  <c:v>436.93</c:v>
                </c:pt>
                <c:pt idx="992">
                  <c:v>435.86</c:v>
                </c:pt>
                <c:pt idx="993">
                  <c:v>441.64</c:v>
                </c:pt>
                <c:pt idx="994">
                  <c:v>435.36</c:v>
                </c:pt>
                <c:pt idx="995">
                  <c:v>432.67</c:v>
                </c:pt>
                <c:pt idx="996">
                  <c:v>431.09</c:v>
                </c:pt>
                <c:pt idx="997">
                  <c:v>431.09</c:v>
                </c:pt>
                <c:pt idx="998">
                  <c:v>431.09</c:v>
                </c:pt>
                <c:pt idx="999">
                  <c:v>429.79</c:v>
                </c:pt>
                <c:pt idx="1000">
                  <c:v>438.44</c:v>
                </c:pt>
                <c:pt idx="1001">
                  <c:v>437.19</c:v>
                </c:pt>
                <c:pt idx="1002">
                  <c:v>437.05</c:v>
                </c:pt>
                <c:pt idx="1003">
                  <c:v>434.81</c:v>
                </c:pt>
                <c:pt idx="1004">
                  <c:v>434.81</c:v>
                </c:pt>
                <c:pt idx="1005">
                  <c:v>434.81</c:v>
                </c:pt>
                <c:pt idx="1006">
                  <c:v>442.93</c:v>
                </c:pt>
                <c:pt idx="1007">
                  <c:v>440.65</c:v>
                </c:pt>
                <c:pt idx="1008">
                  <c:v>438.25</c:v>
                </c:pt>
                <c:pt idx="1009">
                  <c:v>436.89</c:v>
                </c:pt>
                <c:pt idx="1010">
                  <c:v>445.61</c:v>
                </c:pt>
                <c:pt idx="1011">
                  <c:v>445.61</c:v>
                </c:pt>
                <c:pt idx="1012">
                  <c:v>445.61</c:v>
                </c:pt>
                <c:pt idx="1013">
                  <c:v>441.81</c:v>
                </c:pt>
                <c:pt idx="1014">
                  <c:v>441</c:v>
                </c:pt>
                <c:pt idx="1015">
                  <c:v>440.97</c:v>
                </c:pt>
                <c:pt idx="1016">
                  <c:v>441.21</c:v>
                </c:pt>
                <c:pt idx="1017">
                  <c:v>441.47</c:v>
                </c:pt>
                <c:pt idx="1018">
                  <c:v>441.47</c:v>
                </c:pt>
                <c:pt idx="1019">
                  <c:v>441.47</c:v>
                </c:pt>
                <c:pt idx="1020">
                  <c:v>437.52</c:v>
                </c:pt>
                <c:pt idx="1021">
                  <c:v>437.52</c:v>
                </c:pt>
                <c:pt idx="1022">
                  <c:v>416.56</c:v>
                </c:pt>
                <c:pt idx="1023">
                  <c:v>411.7</c:v>
                </c:pt>
                <c:pt idx="1024">
                  <c:v>414.26</c:v>
                </c:pt>
                <c:pt idx="1025">
                  <c:v>414.26</c:v>
                </c:pt>
                <c:pt idx="1026">
                  <c:v>414.26</c:v>
                </c:pt>
                <c:pt idx="1027">
                  <c:v>412.99</c:v>
                </c:pt>
                <c:pt idx="1028">
                  <c:v>406.4</c:v>
                </c:pt>
                <c:pt idx="1029">
                  <c:v>406.97</c:v>
                </c:pt>
                <c:pt idx="1030">
                  <c:v>406.94</c:v>
                </c:pt>
                <c:pt idx="1031">
                  <c:v>406.03</c:v>
                </c:pt>
                <c:pt idx="1032">
                  <c:v>406.03</c:v>
                </c:pt>
                <c:pt idx="1033">
                  <c:v>406.03</c:v>
                </c:pt>
                <c:pt idx="1034">
                  <c:v>407.61</c:v>
                </c:pt>
                <c:pt idx="1035">
                  <c:v>397.09</c:v>
                </c:pt>
                <c:pt idx="1036">
                  <c:v>404.57</c:v>
                </c:pt>
                <c:pt idx="1037">
                  <c:v>398.77</c:v>
                </c:pt>
                <c:pt idx="1038">
                  <c:v>395.09</c:v>
                </c:pt>
                <c:pt idx="1039">
                  <c:v>395.09</c:v>
                </c:pt>
                <c:pt idx="1040">
                  <c:v>395.09</c:v>
                </c:pt>
                <c:pt idx="1041">
                  <c:v>393.63</c:v>
                </c:pt>
                <c:pt idx="1042">
                  <c:v>385.95</c:v>
                </c:pt>
                <c:pt idx="1043">
                  <c:v>388.71</c:v>
                </c:pt>
                <c:pt idx="1044">
                  <c:v>395.82</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Industry!$O$32:$O$36</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Industry!$R$32:$R$36</c:f>
              <c:numCache>
                <c:formatCode>0.0</c:formatCode>
                <c:ptCount val="5"/>
                <c:pt idx="0" formatCode="General">
                  <c:v>3.8</c:v>
                </c:pt>
                <c:pt idx="1">
                  <c:v>2.5</c:v>
                </c:pt>
                <c:pt idx="2" formatCode="General">
                  <c:v>3</c:v>
                </c:pt>
                <c:pt idx="3" formatCode="General">
                  <c:v>3.2</c:v>
                </c:pt>
                <c:pt idx="4" formatCode="General">
                  <c:v>2.6</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DE US Equity</c:v>
                </c:pt>
              </c:strCache>
            </c:strRef>
          </c:tx>
          <c:spPr>
            <a:ln w="28575" cap="rnd">
              <a:solidFill>
                <a:schemeClr val="accent1"/>
              </a:solidFill>
              <a:round/>
            </a:ln>
            <a:effectLst/>
          </c:spPr>
          <c:marker>
            <c:symbol val="none"/>
          </c:marker>
          <c:cat>
            <c:numRef>
              <c:f>'Stock Data'!$Q$5:$Q$159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Data'!$U$5:$U$159</c:f>
              <c:numCache>
                <c:formatCode>General</c:formatCode>
                <c:ptCount val="155"/>
                <c:pt idx="0">
                  <c:v>1.420340800762631</c:v>
                </c:pt>
                <c:pt idx="1">
                  <c:v>1.420340800762631</c:v>
                </c:pt>
                <c:pt idx="2">
                  <c:v>1.4530505243088656</c:v>
                </c:pt>
                <c:pt idx="3">
                  <c:v>1.4580552907530981</c:v>
                </c:pt>
                <c:pt idx="4">
                  <c:v>1.5069411344137273</c:v>
                </c:pt>
                <c:pt idx="5">
                  <c:v>1.5150738798856052</c:v>
                </c:pt>
                <c:pt idx="6">
                  <c:v>1.5267516682554814</c:v>
                </c:pt>
                <c:pt idx="7">
                  <c:v>1.5064644899904671</c:v>
                </c:pt>
                <c:pt idx="8">
                  <c:v>1.4998510486177312</c:v>
                </c:pt>
                <c:pt idx="9">
                  <c:v>1.5160569590085797</c:v>
                </c:pt>
                <c:pt idx="10">
                  <c:v>1.5144184938036225</c:v>
                </c:pt>
                <c:pt idx="11">
                  <c:v>1.5315181124880839</c:v>
                </c:pt>
                <c:pt idx="12">
                  <c:v>1.5583889418493804</c:v>
                </c:pt>
                <c:pt idx="13">
                  <c:v>1.5366420400381318</c:v>
                </c:pt>
                <c:pt idx="14">
                  <c:v>1.5286880362249762</c:v>
                </c:pt>
                <c:pt idx="15">
                  <c:v>1.5182018589132507</c:v>
                </c:pt>
                <c:pt idx="16">
                  <c:v>1.5679516205910391</c:v>
                </c:pt>
                <c:pt idx="17">
                  <c:v>1.4852538131553861</c:v>
                </c:pt>
                <c:pt idx="18">
                  <c:v>1.4159318398474738</c:v>
                </c:pt>
                <c:pt idx="19">
                  <c:v>1.3722592945662535</c:v>
                </c:pt>
                <c:pt idx="20">
                  <c:v>1.3544447092469019</c:v>
                </c:pt>
                <c:pt idx="21">
                  <c:v>1.3741062917063869</c:v>
                </c:pt>
                <c:pt idx="22">
                  <c:v>1.2303086272640611</c:v>
                </c:pt>
                <c:pt idx="23">
                  <c:v>1.4253157769304099</c:v>
                </c:pt>
                <c:pt idx="24">
                  <c:v>1.4267457102001906</c:v>
                </c:pt>
                <c:pt idx="25">
                  <c:v>1.433418732125834</c:v>
                </c:pt>
                <c:pt idx="26">
                  <c:v>1.416527645376549</c:v>
                </c:pt>
                <c:pt idx="27">
                  <c:v>1.3655266920877025</c:v>
                </c:pt>
                <c:pt idx="28">
                  <c:v>1.4525440896091515</c:v>
                </c:pt>
                <c:pt idx="29">
                  <c:v>1.4941611058150619</c:v>
                </c:pt>
                <c:pt idx="30">
                  <c:v>1.4129528122020973</c:v>
                </c:pt>
                <c:pt idx="31">
                  <c:v>1.4069053860819827</c:v>
                </c:pt>
                <c:pt idx="32">
                  <c:v>1.4299034795042898</c:v>
                </c:pt>
                <c:pt idx="33">
                  <c:v>1.3797366539561486</c:v>
                </c:pt>
                <c:pt idx="34">
                  <c:v>1.2878634413727359</c:v>
                </c:pt>
                <c:pt idx="35">
                  <c:v>1.2311427550047664</c:v>
                </c:pt>
                <c:pt idx="36">
                  <c:v>1.2622140133460438</c:v>
                </c:pt>
                <c:pt idx="37">
                  <c:v>1.2894423260247854</c:v>
                </c:pt>
                <c:pt idx="38">
                  <c:v>1.3214668732125834</c:v>
                </c:pt>
                <c:pt idx="39">
                  <c:v>1.3225691134413726</c:v>
                </c:pt>
                <c:pt idx="40">
                  <c:v>1.3681184461391802</c:v>
                </c:pt>
                <c:pt idx="41">
                  <c:v>1.3734509056244042</c:v>
                </c:pt>
                <c:pt idx="42">
                  <c:v>1.1918791706387035</c:v>
                </c:pt>
                <c:pt idx="43">
                  <c:v>1.1729921353670161</c:v>
                </c:pt>
                <c:pt idx="44">
                  <c:v>1.1927132983794089</c:v>
                </c:pt>
                <c:pt idx="45">
                  <c:v>1.2096043851286939</c:v>
                </c:pt>
                <c:pt idx="46">
                  <c:v>1.2114215919923736</c:v>
                </c:pt>
                <c:pt idx="47">
                  <c:v>1.197539323164919</c:v>
                </c:pt>
                <c:pt idx="48">
                  <c:v>1.192445185891325</c:v>
                </c:pt>
                <c:pt idx="49">
                  <c:v>1.2405862726406101</c:v>
                </c:pt>
                <c:pt idx="50">
                  <c:v>1.2240526692087701</c:v>
                </c:pt>
                <c:pt idx="51">
                  <c:v>1.1852955195424213</c:v>
                </c:pt>
                <c:pt idx="52">
                  <c:v>1.1537774070543374</c:v>
                </c:pt>
                <c:pt idx="53">
                  <c:v>1.1489811725452812</c:v>
                </c:pt>
                <c:pt idx="54">
                  <c:v>1.120054814108675</c:v>
                </c:pt>
                <c:pt idx="55">
                  <c:v>1.1099559103908483</c:v>
                </c:pt>
                <c:pt idx="56">
                  <c:v>1.0444173021925642</c:v>
                </c:pt>
                <c:pt idx="57">
                  <c:v>1.0309223069590085</c:v>
                </c:pt>
                <c:pt idx="58">
                  <c:v>1.1075131077216396</c:v>
                </c:pt>
                <c:pt idx="59">
                  <c:v>1.1067683508102955</c:v>
                </c:pt>
                <c:pt idx="60">
                  <c:v>1.124612726406101</c:v>
                </c:pt>
                <c:pt idx="61">
                  <c:v>1.0392040038131554</c:v>
                </c:pt>
                <c:pt idx="62">
                  <c:v>1.0871961391801714</c:v>
                </c:pt>
                <c:pt idx="63">
                  <c:v>1.1006613441372737</c:v>
                </c:pt>
                <c:pt idx="64">
                  <c:v>1.1402526215443278</c:v>
                </c:pt>
                <c:pt idx="65">
                  <c:v>1.0877323641563392</c:v>
                </c:pt>
                <c:pt idx="66">
                  <c:v>1.1003634413727359</c:v>
                </c:pt>
                <c:pt idx="67">
                  <c:v>1.1000655386081981</c:v>
                </c:pt>
                <c:pt idx="68">
                  <c:v>1.1521091515729267</c:v>
                </c:pt>
                <c:pt idx="69">
                  <c:v>1.2296830314585319</c:v>
                </c:pt>
                <c:pt idx="70">
                  <c:v>1.2082042421353669</c:v>
                </c:pt>
                <c:pt idx="71">
                  <c:v>1.1660212106768351</c:v>
                </c:pt>
                <c:pt idx="72">
                  <c:v>1.1832995710200189</c:v>
                </c:pt>
                <c:pt idx="73">
                  <c:v>1.1707876549094376</c:v>
                </c:pt>
                <c:pt idx="74">
                  <c:v>1.2258102955195425</c:v>
                </c:pt>
                <c:pt idx="75">
                  <c:v>1.2035271687321258</c:v>
                </c:pt>
                <c:pt idx="76">
                  <c:v>1.1872020972354622</c:v>
                </c:pt>
                <c:pt idx="77">
                  <c:v>1.1663191134413726</c:v>
                </c:pt>
                <c:pt idx="78">
                  <c:v>1.110134652049571</c:v>
                </c:pt>
                <c:pt idx="79">
                  <c:v>1.092498808388942</c:v>
                </c:pt>
                <c:pt idx="80">
                  <c:v>1.0744161105815062</c:v>
                </c:pt>
                <c:pt idx="81">
                  <c:v>1.0646448999046711</c:v>
                </c:pt>
                <c:pt idx="82">
                  <c:v>1.1298558150619638</c:v>
                </c:pt>
                <c:pt idx="83">
                  <c:v>1.1585438512869399</c:v>
                </c:pt>
                <c:pt idx="84">
                  <c:v>1.1824654432793136</c:v>
                </c:pt>
                <c:pt idx="85">
                  <c:v>1.1542540514775976</c:v>
                </c:pt>
                <c:pt idx="86">
                  <c:v>1.1479683031458532</c:v>
                </c:pt>
                <c:pt idx="87">
                  <c:v>1.1714132507149666</c:v>
                </c:pt>
                <c:pt idx="88">
                  <c:v>1.1943219733079125</c:v>
                </c:pt>
                <c:pt idx="89">
                  <c:v>1.1953944232602478</c:v>
                </c:pt>
                <c:pt idx="90">
                  <c:v>1.1735581506196378</c:v>
                </c:pt>
                <c:pt idx="91">
                  <c:v>1.0706327454718778</c:v>
                </c:pt>
                <c:pt idx="92">
                  <c:v>1.0758460438512869</c:v>
                </c:pt>
                <c:pt idx="93">
                  <c:v>1.0725095328884651</c:v>
                </c:pt>
                <c:pt idx="94">
                  <c:v>1.1399249285033364</c:v>
                </c:pt>
                <c:pt idx="95">
                  <c:v>1.1170162059103907</c:v>
                </c:pt>
                <c:pt idx="96">
                  <c:v>1.0999761677788369</c:v>
                </c:pt>
                <c:pt idx="97">
                  <c:v>1.088417540514776</c:v>
                </c:pt>
                <c:pt idx="98">
                  <c:v>1.1128753574833175</c:v>
                </c:pt>
                <c:pt idx="99">
                  <c:v>1.1651572926596758</c:v>
                </c:pt>
                <c:pt idx="100">
                  <c:v>1.1643231649189703</c:v>
                </c:pt>
                <c:pt idx="101">
                  <c:v>1.11052192564347</c:v>
                </c:pt>
                <c:pt idx="102">
                  <c:v>1.1309282650142993</c:v>
                </c:pt>
                <c:pt idx="103">
                  <c:v>1.1877085319351763</c:v>
                </c:pt>
                <c:pt idx="104">
                  <c:v>1.1983436606291706</c:v>
                </c:pt>
                <c:pt idx="105">
                  <c:v>1.2345984270734032</c:v>
                </c:pt>
                <c:pt idx="106">
                  <c:v>1.2038250714966636</c:v>
                </c:pt>
                <c:pt idx="107">
                  <c:v>1.1475512392755003</c:v>
                </c:pt>
                <c:pt idx="108">
                  <c:v>1.2859866539561486</c:v>
                </c:pt>
                <c:pt idx="109">
                  <c:v>1.2823522402287892</c:v>
                </c:pt>
                <c:pt idx="110">
                  <c:v>1.2912297426120114</c:v>
                </c:pt>
                <c:pt idx="111">
                  <c:v>1.3296294089609151</c:v>
                </c:pt>
                <c:pt idx="112">
                  <c:v>1.2856291706387035</c:v>
                </c:pt>
                <c:pt idx="113">
                  <c:v>1.2327216396568159</c:v>
                </c:pt>
                <c:pt idx="114">
                  <c:v>1.2199416110581505</c:v>
                </c:pt>
                <c:pt idx="115">
                  <c:v>1.2199416110581505</c:v>
                </c:pt>
                <c:pt idx="116">
                  <c:v>1.2153836987607245</c:v>
                </c:pt>
                <c:pt idx="117">
                  <c:v>1.1863679694947569</c:v>
                </c:pt>
                <c:pt idx="118">
                  <c:v>1.1132328408007626</c:v>
                </c:pt>
                <c:pt idx="119">
                  <c:v>1.0445364632983793</c:v>
                </c:pt>
                <c:pt idx="120">
                  <c:v>1.0738798856053384</c:v>
                </c:pt>
                <c:pt idx="121">
                  <c:v>1.0804337464251668</c:v>
                </c:pt>
                <c:pt idx="122">
                  <c:v>1.1363203050524309</c:v>
                </c:pt>
                <c:pt idx="123">
                  <c:v>1.1433508102955197</c:v>
                </c:pt>
                <c:pt idx="124">
                  <c:v>1.1304516205910391</c:v>
                </c:pt>
                <c:pt idx="125">
                  <c:v>1.1817504766444231</c:v>
                </c:pt>
                <c:pt idx="126">
                  <c:v>1.1345030981887512</c:v>
                </c:pt>
                <c:pt idx="127">
                  <c:v>1.1846401334604386</c:v>
                </c:pt>
                <c:pt idx="128">
                  <c:v>1.1777585795996188</c:v>
                </c:pt>
                <c:pt idx="129">
                  <c:v>1.1993267397521448</c:v>
                </c:pt>
                <c:pt idx="130">
                  <c:v>1.1989096758817921</c:v>
                </c:pt>
                <c:pt idx="131">
                  <c:v>1.2456804099142038</c:v>
                </c:pt>
                <c:pt idx="132">
                  <c:v>1.2489275500476644</c:v>
                </c:pt>
                <c:pt idx="133">
                  <c:v>1.2725512392755005</c:v>
                </c:pt>
                <c:pt idx="134">
                  <c:v>1.2193458055290753</c:v>
                </c:pt>
                <c:pt idx="135">
                  <c:v>1.2199714013346044</c:v>
                </c:pt>
                <c:pt idx="136">
                  <c:v>1.2596520495710199</c:v>
                </c:pt>
                <c:pt idx="137">
                  <c:v>1.2412714489990466</c:v>
                </c:pt>
                <c:pt idx="138">
                  <c:v>1.3054099142040037</c:v>
                </c:pt>
                <c:pt idx="139">
                  <c:v>1.3031160629170639</c:v>
                </c:pt>
                <c:pt idx="140">
                  <c:v>1.2639716396568161</c:v>
                </c:pt>
                <c:pt idx="141">
                  <c:v>1.2993029075309819</c:v>
                </c:pt>
                <c:pt idx="142">
                  <c:v>1.2969494756911344</c:v>
                </c:pt>
                <c:pt idx="143">
                  <c:v>1.3024010962821735</c:v>
                </c:pt>
                <c:pt idx="144">
                  <c:v>1.3055588655862727</c:v>
                </c:pt>
                <c:pt idx="145">
                  <c:v>1.3136618207816968</c:v>
                </c:pt>
                <c:pt idx="146">
                  <c:v>1.2409437559580552</c:v>
                </c:pt>
                <c:pt idx="147">
                  <c:v>1.2123748808388943</c:v>
                </c:pt>
                <c:pt idx="148">
                  <c:v>1.2052252144899904</c:v>
                </c:pt>
                <c:pt idx="149">
                  <c:v>1.1579778360343183</c:v>
                </c:pt>
                <c:pt idx="150">
                  <c:v>1.166676596758818</c:v>
                </c:pt>
                <c:pt idx="151">
                  <c:v>1.1061427550047664</c:v>
                </c:pt>
                <c:pt idx="152">
                  <c:v>1.0823701143946616</c:v>
                </c:pt>
                <c:pt idx="153">
                  <c:v>1.073313870352717</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NDX Index</c:v>
                </c:pt>
              </c:strCache>
            </c:strRef>
          </c:tx>
          <c:spPr>
            <a:ln w="19050" cap="rnd">
              <a:solidFill>
                <a:schemeClr val="accent3"/>
              </a:solidFill>
              <a:round/>
            </a:ln>
            <a:effectLst/>
          </c:spPr>
          <c:marker>
            <c:symbol val="none"/>
          </c:marker>
          <c:cat>
            <c:numRef>
              <c:f>'Stock Data'!$Q$5:$Q$159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Data'!$V$5:$V$159</c:f>
              <c:numCache>
                <c:formatCode>General</c:formatCode>
                <c:ptCount val="155"/>
                <c:pt idx="0">
                  <c:v>2.0610029498525075</c:v>
                </c:pt>
                <c:pt idx="1">
                  <c:v>2.0610029498525075</c:v>
                </c:pt>
                <c:pt idx="2">
                  <c:v>2.0871018253598601</c:v>
                </c:pt>
                <c:pt idx="3">
                  <c:v>2.0746352607181673</c:v>
                </c:pt>
                <c:pt idx="4">
                  <c:v>2.1149510945505359</c:v>
                </c:pt>
                <c:pt idx="5">
                  <c:v>2.0421460731474705</c:v>
                </c:pt>
                <c:pt idx="6">
                  <c:v>2.0678510435380484</c:v>
                </c:pt>
                <c:pt idx="7">
                  <c:v>2.0461401290837715</c:v>
                </c:pt>
                <c:pt idx="8">
                  <c:v>2.0302606072703884</c:v>
                </c:pt>
                <c:pt idx="9">
                  <c:v>2.0140838822720517</c:v>
                </c:pt>
                <c:pt idx="10">
                  <c:v>1.9942014327855035</c:v>
                </c:pt>
                <c:pt idx="11">
                  <c:v>1.9686845432164481</c:v>
                </c:pt>
                <c:pt idx="12">
                  <c:v>1.926859626943465</c:v>
                </c:pt>
                <c:pt idx="13">
                  <c:v>1.9466294053718365</c:v>
                </c:pt>
                <c:pt idx="14">
                  <c:v>1.9218470956151441</c:v>
                </c:pt>
                <c:pt idx="15">
                  <c:v>1.899881562312862</c:v>
                </c:pt>
                <c:pt idx="16">
                  <c:v>1.8956568412180894</c:v>
                </c:pt>
                <c:pt idx="17">
                  <c:v>1.8806041652804579</c:v>
                </c:pt>
                <c:pt idx="18">
                  <c:v>1.7558364938895912</c:v>
                </c:pt>
                <c:pt idx="19">
                  <c:v>1.7339765342559941</c:v>
                </c:pt>
                <c:pt idx="20">
                  <c:v>1.621435003437798</c:v>
                </c:pt>
                <c:pt idx="21">
                  <c:v>1.6705684565395791</c:v>
                </c:pt>
                <c:pt idx="22">
                  <c:v>1.5162153170536963</c:v>
                </c:pt>
                <c:pt idx="23">
                  <c:v>1.7243480382371856</c:v>
                </c:pt>
                <c:pt idx="24">
                  <c:v>1.7998828930733917</c:v>
                </c:pt>
                <c:pt idx="25">
                  <c:v>1.7285124315212812</c:v>
                </c:pt>
                <c:pt idx="26">
                  <c:v>1.7190729034976822</c:v>
                </c:pt>
                <c:pt idx="27">
                  <c:v>1.8056229068245835</c:v>
                </c:pt>
                <c:pt idx="28">
                  <c:v>1.8708053319138553</c:v>
                </c:pt>
                <c:pt idx="29">
                  <c:v>1.966385876194912</c:v>
                </c:pt>
                <c:pt idx="30">
                  <c:v>1.9245920110009538</c:v>
                </c:pt>
                <c:pt idx="31">
                  <c:v>1.9133603921307691</c:v>
                </c:pt>
                <c:pt idx="32">
                  <c:v>1.9041444318761507</c:v>
                </c:pt>
                <c:pt idx="33">
                  <c:v>1.9133240180096256</c:v>
                </c:pt>
                <c:pt idx="34">
                  <c:v>1.8415427950406991</c:v>
                </c:pt>
                <c:pt idx="35">
                  <c:v>1.8784163949697252</c:v>
                </c:pt>
                <c:pt idx="36">
                  <c:v>1.8641444318761504</c:v>
                </c:pt>
                <c:pt idx="37">
                  <c:v>1.9338301505977333</c:v>
                </c:pt>
                <c:pt idx="38">
                  <c:v>1.9518779249007476</c:v>
                </c:pt>
                <c:pt idx="39">
                  <c:v>1.8957287022866902</c:v>
                </c:pt>
                <c:pt idx="40">
                  <c:v>1.8834094084769446</c:v>
                </c:pt>
                <c:pt idx="41">
                  <c:v>1.8562246323774039</c:v>
                </c:pt>
                <c:pt idx="42">
                  <c:v>1.8350823962561271</c:v>
                </c:pt>
                <c:pt idx="43">
                  <c:v>1.8693450440259942</c:v>
                </c:pt>
                <c:pt idx="44">
                  <c:v>1.7945270255284227</c:v>
                </c:pt>
                <c:pt idx="45">
                  <c:v>1.8231995919001043</c:v>
                </c:pt>
                <c:pt idx="46">
                  <c:v>1.8083837913367491</c:v>
                </c:pt>
                <c:pt idx="47">
                  <c:v>1.7885270698871074</c:v>
                </c:pt>
                <c:pt idx="48">
                  <c:v>1.7839093308492469</c:v>
                </c:pt>
                <c:pt idx="49">
                  <c:v>1.7542351453855878</c:v>
                </c:pt>
                <c:pt idx="50">
                  <c:v>1.7694537228025817</c:v>
                </c:pt>
                <c:pt idx="51">
                  <c:v>1.7239913944152419</c:v>
                </c:pt>
                <c:pt idx="52">
                  <c:v>1.6704717546077583</c:v>
                </c:pt>
                <c:pt idx="53">
                  <c:v>1.6819686384101846</c:v>
                </c:pt>
                <c:pt idx="54">
                  <c:v>1.7372209284272628</c:v>
                </c:pt>
                <c:pt idx="55">
                  <c:v>1.7494905405105685</c:v>
                </c:pt>
                <c:pt idx="56">
                  <c:v>1.6862004568944486</c:v>
                </c:pt>
                <c:pt idx="57">
                  <c:v>1.6038254929358793</c:v>
                </c:pt>
                <c:pt idx="58">
                  <c:v>1.667555614700468</c:v>
                </c:pt>
                <c:pt idx="59">
                  <c:v>1.7525530640761195</c:v>
                </c:pt>
                <c:pt idx="60">
                  <c:v>1.8097127775190189</c:v>
                </c:pt>
                <c:pt idx="61">
                  <c:v>1.8145381151995033</c:v>
                </c:pt>
                <c:pt idx="62">
                  <c:v>1.7754022223700845</c:v>
                </c:pt>
                <c:pt idx="63">
                  <c:v>1.7478324128906337</c:v>
                </c:pt>
                <c:pt idx="64">
                  <c:v>1.7662616718788122</c:v>
                </c:pt>
                <c:pt idx="65">
                  <c:v>1.7042766207554285</c:v>
                </c:pt>
                <c:pt idx="66">
                  <c:v>1.6550083172533103</c:v>
                </c:pt>
                <c:pt idx="67">
                  <c:v>1.6740470645640648</c:v>
                </c:pt>
                <c:pt idx="68">
                  <c:v>1.6602390933084925</c:v>
                </c:pt>
                <c:pt idx="69">
                  <c:v>1.6255479406480804</c:v>
                </c:pt>
                <c:pt idx="70">
                  <c:v>1.6050258389336174</c:v>
                </c:pt>
                <c:pt idx="71">
                  <c:v>1.5472921241155986</c:v>
                </c:pt>
                <c:pt idx="72">
                  <c:v>1.5500228447224256</c:v>
                </c:pt>
                <c:pt idx="73">
                  <c:v>1.5715093042340365</c:v>
                </c:pt>
                <c:pt idx="74">
                  <c:v>1.6119857165036486</c:v>
                </c:pt>
                <c:pt idx="75">
                  <c:v>1.6077166367245546</c:v>
                </c:pt>
                <c:pt idx="76">
                  <c:v>1.6155911903652938</c:v>
                </c:pt>
                <c:pt idx="77">
                  <c:v>1.599770222015215</c:v>
                </c:pt>
                <c:pt idx="78">
                  <c:v>1.6163523853882493</c:v>
                </c:pt>
                <c:pt idx="79">
                  <c:v>1.5878519307117349</c:v>
                </c:pt>
                <c:pt idx="80">
                  <c:v>1.5943442677490185</c:v>
                </c:pt>
                <c:pt idx="81">
                  <c:v>1.5566438219442411</c:v>
                </c:pt>
                <c:pt idx="82">
                  <c:v>1.5614629494089203</c:v>
                </c:pt>
                <c:pt idx="83">
                  <c:v>1.5590063654712001</c:v>
                </c:pt>
                <c:pt idx="84">
                  <c:v>1.5504877237341139</c:v>
                </c:pt>
                <c:pt idx="85">
                  <c:v>1.5440557145075076</c:v>
                </c:pt>
                <c:pt idx="86">
                  <c:v>1.4931763035908354</c:v>
                </c:pt>
                <c:pt idx="87">
                  <c:v>1.4796912635571229</c:v>
                </c:pt>
                <c:pt idx="88">
                  <c:v>1.4677348237851264</c:v>
                </c:pt>
                <c:pt idx="89">
                  <c:v>1.4974125579435313</c:v>
                </c:pt>
                <c:pt idx="90">
                  <c:v>1.4915030940182312</c:v>
                </c:pt>
                <c:pt idx="91">
                  <c:v>1.450906026127265</c:v>
                </c:pt>
                <c:pt idx="92">
                  <c:v>1.4086286512742032</c:v>
                </c:pt>
                <c:pt idx="93">
                  <c:v>1.4204032204404817</c:v>
                </c:pt>
                <c:pt idx="94">
                  <c:v>1.4135888393550249</c:v>
                </c:pt>
                <c:pt idx="95">
                  <c:v>1.4028407301439438</c:v>
                </c:pt>
                <c:pt idx="96">
                  <c:v>1.357022645108346</c:v>
                </c:pt>
                <c:pt idx="97">
                  <c:v>1.2783977643223103</c:v>
                </c:pt>
                <c:pt idx="98">
                  <c:v>1.3082130104021115</c:v>
                </c:pt>
                <c:pt idx="99">
                  <c:v>1.3415849357908045</c:v>
                </c:pt>
                <c:pt idx="100">
                  <c:v>1.3424286379665979</c:v>
                </c:pt>
                <c:pt idx="101">
                  <c:v>1.2922234790516114</c:v>
                </c:pt>
                <c:pt idx="102">
                  <c:v>1.2904677623261693</c:v>
                </c:pt>
                <c:pt idx="103">
                  <c:v>1.3477259520482623</c:v>
                </c:pt>
                <c:pt idx="104">
                  <c:v>1.356465500033269</c:v>
                </c:pt>
                <c:pt idx="105">
                  <c:v>1.3758502450817309</c:v>
                </c:pt>
                <c:pt idx="106">
                  <c:v>1.3641670548051543</c:v>
                </c:pt>
                <c:pt idx="107">
                  <c:v>1.322683700401446</c:v>
                </c:pt>
                <c:pt idx="108">
                  <c:v>1.334100738572094</c:v>
                </c:pt>
                <c:pt idx="109">
                  <c:v>1.3549848071506199</c:v>
                </c:pt>
                <c:pt idx="110">
                  <c:v>1.3944604875019406</c:v>
                </c:pt>
                <c:pt idx="111">
                  <c:v>1.3805682347461574</c:v>
                </c:pt>
                <c:pt idx="112">
                  <c:v>1.4054028877503493</c:v>
                </c:pt>
                <c:pt idx="113">
                  <c:v>1.341323219553308</c:v>
                </c:pt>
                <c:pt idx="114">
                  <c:v>1.3259618071727992</c:v>
                </c:pt>
                <c:pt idx="115">
                  <c:v>1.3259618071727992</c:v>
                </c:pt>
                <c:pt idx="116">
                  <c:v>1.3369840530529864</c:v>
                </c:pt>
                <c:pt idx="117">
                  <c:v>1.3219642025417526</c:v>
                </c:pt>
                <c:pt idx="118">
                  <c:v>1.2915554372657307</c:v>
                </c:pt>
                <c:pt idx="119">
                  <c:v>1.2735369396943685</c:v>
                </c:pt>
                <c:pt idx="120">
                  <c:v>1.2129917714640583</c:v>
                </c:pt>
                <c:pt idx="121">
                  <c:v>1.1911202785725377</c:v>
                </c:pt>
                <c:pt idx="122">
                  <c:v>1.1711677423647615</c:v>
                </c:pt>
                <c:pt idx="123">
                  <c:v>1.1634094084769446</c:v>
                </c:pt>
                <c:pt idx="124">
                  <c:v>1.1289382748907668</c:v>
                </c:pt>
                <c:pt idx="125">
                  <c:v>1.1614691596247255</c:v>
                </c:pt>
                <c:pt idx="126">
                  <c:v>1.150146161864839</c:v>
                </c:pt>
                <c:pt idx="127">
                  <c:v>1.1622037394370883</c:v>
                </c:pt>
                <c:pt idx="128">
                  <c:v>1.1187765874864151</c:v>
                </c:pt>
                <c:pt idx="129">
                  <c:v>1.1303870295207044</c:v>
                </c:pt>
                <c:pt idx="130">
                  <c:v>1.0823332667953069</c:v>
                </c:pt>
                <c:pt idx="131">
                  <c:v>1.0781085457005346</c:v>
                </c:pt>
                <c:pt idx="132">
                  <c:v>1.0683451992813895</c:v>
                </c:pt>
                <c:pt idx="133">
                  <c:v>1.0699580810433162</c:v>
                </c:pt>
                <c:pt idx="134">
                  <c:v>1.117030629671524</c:v>
                </c:pt>
                <c:pt idx="135">
                  <c:v>1.1292186217756781</c:v>
                </c:pt>
                <c:pt idx="136">
                  <c:v>1.0736513850999179</c:v>
                </c:pt>
                <c:pt idx="137">
                  <c:v>1.0510027280590857</c:v>
                </c:pt>
                <c:pt idx="138">
                  <c:v>1.0253234857054141</c:v>
                </c:pt>
                <c:pt idx="139">
                  <c:v>0.99414731519063149</c:v>
                </c:pt>
                <c:pt idx="140">
                  <c:v>0.96370483731452516</c:v>
                </c:pt>
                <c:pt idx="141">
                  <c:v>0.96014460931088785</c:v>
                </c:pt>
                <c:pt idx="142">
                  <c:v>0.98231596690842149</c:v>
                </c:pt>
                <c:pt idx="143">
                  <c:v>1.0498999711668551</c:v>
                </c:pt>
                <c:pt idx="144">
                  <c:v>1.0246581054405928</c:v>
                </c:pt>
                <c:pt idx="145">
                  <c:v>1.0205558143145474</c:v>
                </c:pt>
                <c:pt idx="146">
                  <c:v>1.0401969525583872</c:v>
                </c:pt>
                <c:pt idx="147">
                  <c:v>1.053177190764522</c:v>
                </c:pt>
                <c:pt idx="148">
                  <c:v>0.98116973850555589</c:v>
                </c:pt>
                <c:pt idx="149">
                  <c:v>1.001525938740657</c:v>
                </c:pt>
                <c:pt idx="150">
                  <c:v>1.035330804888327</c:v>
                </c:pt>
                <c:pt idx="151">
                  <c:v>0.98899815911460065</c:v>
                </c:pt>
                <c:pt idx="152">
                  <c:v>0.95738017610397674</c:v>
                </c:pt>
                <c:pt idx="153">
                  <c:v>1.0275724710005103</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USECCIVL Index</c:v>
                </c:pt>
              </c:strCache>
            </c:strRef>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Data'!$W$5:$W$159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DE US Equity</c:v>
                </c:pt>
              </c:strCache>
            </c:strRef>
          </c:tx>
          <c:spPr>
            <a:ln w="28575" cap="rnd">
              <a:solidFill>
                <a:schemeClr val="accent1"/>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Data'!$C$5:$C$159</c:f>
              <c:numCache>
                <c:formatCode>0.0</c:formatCode>
                <c:ptCount val="155"/>
                <c:pt idx="0">
                  <c:v>10.941599999999999</c:v>
                </c:pt>
                <c:pt idx="1">
                  <c:v>11.109500000000001</c:v>
                </c:pt>
                <c:pt idx="2">
                  <c:v>11.0738</c:v>
                </c:pt>
                <c:pt idx="3">
                  <c:v>11.452299999999999</c:v>
                </c:pt>
                <c:pt idx="4">
                  <c:v>11.3657</c:v>
                </c:pt>
                <c:pt idx="5">
                  <c:v>11.184200000000001</c:v>
                </c:pt>
                <c:pt idx="6">
                  <c:v>11.821400000000001</c:v>
                </c:pt>
                <c:pt idx="7">
                  <c:v>12.2278</c:v>
                </c:pt>
                <c:pt idx="8">
                  <c:v>11.2599</c:v>
                </c:pt>
                <c:pt idx="9">
                  <c:v>10.926399999999999</c:v>
                </c:pt>
                <c:pt idx="10">
                  <c:v>11.3574</c:v>
                </c:pt>
                <c:pt idx="11">
                  <c:v>11.3955</c:v>
                </c:pt>
                <c:pt idx="12">
                  <c:v>11.1282</c:v>
                </c:pt>
                <c:pt idx="13">
                  <c:v>11.404299999999999</c:v>
                </c:pt>
                <c:pt idx="14">
                  <c:v>11.3072</c:v>
                </c:pt>
                <c:pt idx="15">
                  <c:v>11.1759</c:v>
                </c:pt>
                <c:pt idx="16">
                  <c:v>11.0425</c:v>
                </c:pt>
                <c:pt idx="17">
                  <c:v>11.305199999999999</c:v>
                </c:pt>
                <c:pt idx="18">
                  <c:v>11.319599999999999</c:v>
                </c:pt>
                <c:pt idx="19">
                  <c:v>10.752599999999999</c:v>
                </c:pt>
                <c:pt idx="20">
                  <c:v>10.538</c:v>
                </c:pt>
                <c:pt idx="21">
                  <c:v>9.7570999999999994</c:v>
                </c:pt>
                <c:pt idx="22">
                  <c:v>9.5053000000000001</c:v>
                </c:pt>
                <c:pt idx="23">
                  <c:v>9.3457000000000008</c:v>
                </c:pt>
                <c:pt idx="24">
                  <c:v>9.4116999999999997</c:v>
                </c:pt>
                <c:pt idx="25">
                  <c:v>10.065</c:v>
                </c:pt>
                <c:pt idx="26">
                  <c:v>10.010400000000001</c:v>
                </c:pt>
                <c:pt idx="27">
                  <c:v>9.8093000000000004</c:v>
                </c:pt>
                <c:pt idx="28">
                  <c:v>10.1282</c:v>
                </c:pt>
                <c:pt idx="29">
                  <c:v>10.081799999999999</c:v>
                </c:pt>
                <c:pt idx="30">
                  <c:v>10.425000000000001</c:v>
                </c:pt>
                <c:pt idx="31">
                  <c:v>9.8242999999999991</c:v>
                </c:pt>
                <c:pt idx="32">
                  <c:v>9.7990999999999993</c:v>
                </c:pt>
                <c:pt idx="33">
                  <c:v>10.103999999999999</c:v>
                </c:pt>
                <c:pt idx="34">
                  <c:v>8.9396000000000004</c:v>
                </c:pt>
                <c:pt idx="35">
                  <c:v>8.2786000000000008</c:v>
                </c:pt>
                <c:pt idx="36">
                  <c:v>7.7115999999999998</c:v>
                </c:pt>
                <c:pt idx="37">
                  <c:v>7.8678999999999997</c:v>
                </c:pt>
                <c:pt idx="38">
                  <c:v>8.1577999999999999</c:v>
                </c:pt>
                <c:pt idx="39">
                  <c:v>8.0243000000000002</c:v>
                </c:pt>
                <c:pt idx="40">
                  <c:v>8.2622</c:v>
                </c:pt>
                <c:pt idx="41">
                  <c:v>8.484</c:v>
                </c:pt>
                <c:pt idx="42">
                  <c:v>8.8155999999999999</c:v>
                </c:pt>
                <c:pt idx="43">
                  <c:v>8.2866999999999997</c:v>
                </c:pt>
                <c:pt idx="44">
                  <c:v>7.4866000000000001</c:v>
                </c:pt>
                <c:pt idx="45">
                  <c:v>7.7946999999999997</c:v>
                </c:pt>
                <c:pt idx="46">
                  <c:v>7.6741000000000001</c:v>
                </c:pt>
                <c:pt idx="47">
                  <c:v>7.1200999999999999</c:v>
                </c:pt>
                <c:pt idx="48">
                  <c:v>7.0193000000000003</c:v>
                </c:pt>
                <c:pt idx="49">
                  <c:v>7.0297999999999998</c:v>
                </c:pt>
                <c:pt idx="50">
                  <c:v>7.0804999999999998</c:v>
                </c:pt>
                <c:pt idx="51">
                  <c:v>7.1269</c:v>
                </c:pt>
                <c:pt idx="52">
                  <c:v>7.0972999999999997</c:v>
                </c:pt>
                <c:pt idx="53">
                  <c:v>6.7108999999999996</c:v>
                </c:pt>
                <c:pt idx="54">
                  <c:v>6.6546000000000003</c:v>
                </c:pt>
                <c:pt idx="55">
                  <c:v>6.6227999999999998</c:v>
                </c:pt>
                <c:pt idx="56">
                  <c:v>6.58</c:v>
                </c:pt>
                <c:pt idx="57">
                  <c:v>6.5229999999999997</c:v>
                </c:pt>
                <c:pt idx="58">
                  <c:v>6.11</c:v>
                </c:pt>
                <c:pt idx="59">
                  <c:v>6.2602000000000002</c:v>
                </c:pt>
                <c:pt idx="60">
                  <c:v>6.3696999999999999</c:v>
                </c:pt>
                <c:pt idx="61">
                  <c:v>6.3528000000000002</c:v>
                </c:pt>
                <c:pt idx="62">
                  <c:v>6.0461</c:v>
                </c:pt>
                <c:pt idx="63">
                  <c:v>6.0208000000000004</c:v>
                </c:pt>
                <c:pt idx="64">
                  <c:v>6.2907999999999999</c:v>
                </c:pt>
                <c:pt idx="65">
                  <c:v>6.3670999999999998</c:v>
                </c:pt>
                <c:pt idx="66">
                  <c:v>6.3094999999999999</c:v>
                </c:pt>
                <c:pt idx="67">
                  <c:v>6.2018000000000004</c:v>
                </c:pt>
                <c:pt idx="68">
                  <c:v>6.1547999999999998</c:v>
                </c:pt>
                <c:pt idx="69">
                  <c:v>6.3920000000000003</c:v>
                </c:pt>
                <c:pt idx="70">
                  <c:v>6.6391999999999998</c:v>
                </c:pt>
                <c:pt idx="71">
                  <c:v>6.8762999999999996</c:v>
                </c:pt>
                <c:pt idx="72">
                  <c:v>6.6641000000000004</c:v>
                </c:pt>
                <c:pt idx="73">
                  <c:v>6.5339999999999998</c:v>
                </c:pt>
                <c:pt idx="74">
                  <c:v>6.6378000000000004</c:v>
                </c:pt>
                <c:pt idx="75">
                  <c:v>6.8319999999999999</c:v>
                </c:pt>
                <c:pt idx="76">
                  <c:v>6.7411000000000003</c:v>
                </c:pt>
                <c:pt idx="77">
                  <c:v>6.7986000000000004</c:v>
                </c:pt>
                <c:pt idx="78">
                  <c:v>6.5907999999999998</c:v>
                </c:pt>
                <c:pt idx="79">
                  <c:v>6.3146000000000004</c:v>
                </c:pt>
                <c:pt idx="80">
                  <c:v>6.2367999999999997</c:v>
                </c:pt>
                <c:pt idx="81">
                  <c:v>6.0738000000000003</c:v>
                </c:pt>
                <c:pt idx="82">
                  <c:v>5.9757999999999996</c:v>
                </c:pt>
                <c:pt idx="83">
                  <c:v>6.1016000000000004</c:v>
                </c:pt>
                <c:pt idx="84">
                  <c:v>6.4394</c:v>
                </c:pt>
                <c:pt idx="85">
                  <c:v>6.5646000000000004</c:v>
                </c:pt>
                <c:pt idx="86">
                  <c:v>6.452</c:v>
                </c:pt>
                <c:pt idx="87">
                  <c:v>6.2659000000000002</c:v>
                </c:pt>
                <c:pt idx="88">
                  <c:v>6.4073000000000002</c:v>
                </c:pt>
                <c:pt idx="89">
                  <c:v>6.4481000000000002</c:v>
                </c:pt>
                <c:pt idx="90">
                  <c:v>6.5582000000000003</c:v>
                </c:pt>
                <c:pt idx="91">
                  <c:v>6.4633000000000003</c:v>
                </c:pt>
                <c:pt idx="92">
                  <c:v>6.5564999999999998</c:v>
                </c:pt>
                <c:pt idx="93">
                  <c:v>6.1082999999999998</c:v>
                </c:pt>
                <c:pt idx="94">
                  <c:v>6.1608999999999998</c:v>
                </c:pt>
                <c:pt idx="95">
                  <c:v>6.2561</c:v>
                </c:pt>
                <c:pt idx="96">
                  <c:v>6.3940999999999999</c:v>
                </c:pt>
                <c:pt idx="97">
                  <c:v>6.2466999999999997</c:v>
                </c:pt>
                <c:pt idx="98">
                  <c:v>6.3117000000000001</c:v>
                </c:pt>
                <c:pt idx="99">
                  <c:v>6.1462000000000003</c:v>
                </c:pt>
                <c:pt idx="100">
                  <c:v>6.3486000000000002</c:v>
                </c:pt>
                <c:pt idx="101">
                  <c:v>6.3642000000000003</c:v>
                </c:pt>
                <c:pt idx="102">
                  <c:v>6.2514000000000003</c:v>
                </c:pt>
                <c:pt idx="103">
                  <c:v>6.4061000000000003</c:v>
                </c:pt>
                <c:pt idx="104">
                  <c:v>6.4558999999999997</c:v>
                </c:pt>
                <c:pt idx="105">
                  <c:v>6.8673000000000002</c:v>
                </c:pt>
                <c:pt idx="106">
                  <c:v>6.8681000000000001</c:v>
                </c:pt>
                <c:pt idx="107">
                  <c:v>6.8545999999999996</c:v>
                </c:pt>
                <c:pt idx="108">
                  <c:v>6.5580999999999996</c:v>
                </c:pt>
                <c:pt idx="109">
                  <c:v>7.1246</c:v>
                </c:pt>
                <c:pt idx="110">
                  <c:v>7.3929999999999998</c:v>
                </c:pt>
                <c:pt idx="111">
                  <c:v>7.2077999999999998</c:v>
                </c:pt>
                <c:pt idx="112">
                  <c:v>8.5137</c:v>
                </c:pt>
                <c:pt idx="113">
                  <c:v>8.7231000000000005</c:v>
                </c:pt>
                <c:pt idx="114">
                  <c:v>8.1509</c:v>
                </c:pt>
                <c:pt idx="115">
                  <c:v>7.9916</c:v>
                </c:pt>
                <c:pt idx="116">
                  <c:v>8.0002999999999993</c:v>
                </c:pt>
                <c:pt idx="117">
                  <c:v>8.2676999999999996</c:v>
                </c:pt>
                <c:pt idx="118">
                  <c:v>8.0932999999999993</c:v>
                </c:pt>
                <c:pt idx="119">
                  <c:v>7.6036000000000001</c:v>
                </c:pt>
                <c:pt idx="120">
                  <c:v>7.0671999999999997</c:v>
                </c:pt>
                <c:pt idx="121">
                  <c:v>7.1832000000000003</c:v>
                </c:pt>
                <c:pt idx="122">
                  <c:v>7.4837999999999996</c:v>
                </c:pt>
                <c:pt idx="123">
                  <c:v>7.5274999999999999</c:v>
                </c:pt>
                <c:pt idx="124">
                  <c:v>7.5429000000000004</c:v>
                </c:pt>
                <c:pt idx="125">
                  <c:v>8.5312000000000001</c:v>
                </c:pt>
                <c:pt idx="126">
                  <c:v>8.9321000000000002</c:v>
                </c:pt>
                <c:pt idx="127">
                  <c:v>8.8103999999999996</c:v>
                </c:pt>
                <c:pt idx="128">
                  <c:v>8.4835999999999991</c:v>
                </c:pt>
                <c:pt idx="129">
                  <c:v>9.2210000000000001</c:v>
                </c:pt>
                <c:pt idx="130">
                  <c:v>8.9642999999999997</c:v>
                </c:pt>
                <c:pt idx="131">
                  <c:v>8.9482999999999997</c:v>
                </c:pt>
                <c:pt idx="132">
                  <c:v>9.6046999999999993</c:v>
                </c:pt>
                <c:pt idx="133">
                  <c:v>9.6029999999999998</c:v>
                </c:pt>
                <c:pt idx="134">
                  <c:v>9.6832999999999991</c:v>
                </c:pt>
                <c:pt idx="135">
                  <c:v>9.2294999999999998</c:v>
                </c:pt>
                <c:pt idx="136">
                  <c:v>9.3391999999999999</c:v>
                </c:pt>
                <c:pt idx="137">
                  <c:v>9.3074999999999992</c:v>
                </c:pt>
                <c:pt idx="138">
                  <c:v>10.790900000000001</c:v>
                </c:pt>
                <c:pt idx="139">
                  <c:v>10.481</c:v>
                </c:pt>
                <c:pt idx="140">
                  <c:v>11.1571</c:v>
                </c:pt>
                <c:pt idx="141">
                  <c:v>10.668900000000001</c:v>
                </c:pt>
                <c:pt idx="142">
                  <c:v>11.0122</c:v>
                </c:pt>
                <c:pt idx="143">
                  <c:v>11.1904</c:v>
                </c:pt>
                <c:pt idx="144">
                  <c:v>11.0406</c:v>
                </c:pt>
                <c:pt idx="145">
                  <c:v>11.4962</c:v>
                </c:pt>
                <c:pt idx="146">
                  <c:v>11.468299999999999</c:v>
                </c:pt>
                <c:pt idx="147">
                  <c:v>11.4598</c:v>
                </c:pt>
                <c:pt idx="148">
                  <c:v>10.7484</c:v>
                </c:pt>
                <c:pt idx="149">
                  <c:v>10.614000000000001</c:v>
                </c:pt>
                <c:pt idx="150">
                  <c:v>10.264799999999999</c:v>
                </c:pt>
                <c:pt idx="151">
                  <c:v>11.6442</c:v>
                </c:pt>
                <c:pt idx="152">
                  <c:v>10.824299999999999</c:v>
                </c:pt>
                <c:pt idx="153">
                  <c:v>10.870900000000001</c:v>
                </c:pt>
                <c:pt idx="154">
                  <c:v>10.540900000000001</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AGCO CORP</c:v>
                </c:pt>
              </c:strCache>
            </c:strRef>
          </c:tx>
          <c:spPr>
            <a:ln w="28575" cap="rnd">
              <a:solidFill>
                <a:schemeClr val="accent3"/>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Data'!$D$5:$D$159</c:f>
              <c:numCache>
                <c:formatCode>0.0</c:formatCode>
                <c:ptCount val="155"/>
                <c:pt idx="0">
                  <c:v>28.8764</c:v>
                </c:pt>
                <c:pt idx="1">
                  <c:v>28.852399999999999</c:v>
                </c:pt>
                <c:pt idx="2">
                  <c:v>28.9544</c:v>
                </c:pt>
                <c:pt idx="3">
                  <c:v>29.644400000000001</c:v>
                </c:pt>
                <c:pt idx="4">
                  <c:v>29.394400000000001</c:v>
                </c:pt>
                <c:pt idx="5">
                  <c:v>29.292400000000001</c:v>
                </c:pt>
                <c:pt idx="6">
                  <c:v>29.368400000000001</c:v>
                </c:pt>
                <c:pt idx="7">
                  <c:v>30.599799999999998</c:v>
                </c:pt>
                <c:pt idx="8">
                  <c:v>29.108499999999999</c:v>
                </c:pt>
                <c:pt idx="9">
                  <c:v>28.550799999999999</c:v>
                </c:pt>
                <c:pt idx="10">
                  <c:v>29.760200000000001</c:v>
                </c:pt>
                <c:pt idx="11">
                  <c:v>28.9466</c:v>
                </c:pt>
                <c:pt idx="12">
                  <c:v>47.059399999999997</c:v>
                </c:pt>
                <c:pt idx="13">
                  <c:v>47.059399999999997</c:v>
                </c:pt>
                <c:pt idx="14">
                  <c:v>47.059399999999997</c:v>
                </c:pt>
                <c:pt idx="15">
                  <c:v>47.059399999999997</c:v>
                </c:pt>
                <c:pt idx="16">
                  <c:v>47.059399999999997</c:v>
                </c:pt>
                <c:pt idx="17">
                  <c:v>47.059399999999997</c:v>
                </c:pt>
                <c:pt idx="18">
                  <c:v>47.059399999999997</c:v>
                </c:pt>
                <c:pt idx="19">
                  <c:v>47.059399999999997</c:v>
                </c:pt>
                <c:pt idx="20">
                  <c:v>47.059399999999997</c:v>
                </c:pt>
                <c:pt idx="21">
                  <c:v>47.059399999999997</c:v>
                </c:pt>
                <c:pt idx="22">
                  <c:v>47.059399999999997</c:v>
                </c:pt>
                <c:pt idx="23">
                  <c:v>47.059399999999997</c:v>
                </c:pt>
                <c:pt idx="24">
                  <c:v>47.059399999999997</c:v>
                </c:pt>
                <c:pt idx="25">
                  <c:v>47.059399999999997</c:v>
                </c:pt>
                <c:pt idx="26">
                  <c:v>45.500999999999998</c:v>
                </c:pt>
                <c:pt idx="27">
                  <c:v>44.688099999999999</c:v>
                </c:pt>
                <c:pt idx="28">
                  <c:v>46.310400000000001</c:v>
                </c:pt>
                <c:pt idx="29">
                  <c:v>46.544699999999999</c:v>
                </c:pt>
                <c:pt idx="30">
                  <c:v>48.112400000000001</c:v>
                </c:pt>
                <c:pt idx="31">
                  <c:v>45.412199999999999</c:v>
                </c:pt>
                <c:pt idx="32">
                  <c:v>46.815600000000003</c:v>
                </c:pt>
                <c:pt idx="33">
                  <c:v>49.760899999999999</c:v>
                </c:pt>
                <c:pt idx="34">
                  <c:v>49.309699999999999</c:v>
                </c:pt>
                <c:pt idx="35">
                  <c:v>47.494199999999999</c:v>
                </c:pt>
                <c:pt idx="36">
                  <c:v>44.243299999999998</c:v>
                </c:pt>
                <c:pt idx="37">
                  <c:v>44.406799999999997</c:v>
                </c:pt>
                <c:pt idx="38">
                  <c:v>13.0365</c:v>
                </c:pt>
                <c:pt idx="39">
                  <c:v>12.769</c:v>
                </c:pt>
                <c:pt idx="40">
                  <c:v>13.309200000000001</c:v>
                </c:pt>
                <c:pt idx="41">
                  <c:v>13.3691</c:v>
                </c:pt>
                <c:pt idx="42">
                  <c:v>13.694800000000001</c:v>
                </c:pt>
                <c:pt idx="43">
                  <c:v>13.3682</c:v>
                </c:pt>
                <c:pt idx="44">
                  <c:v>12.922700000000001</c:v>
                </c:pt>
                <c:pt idx="45">
                  <c:v>13.079000000000001</c:v>
                </c:pt>
                <c:pt idx="46">
                  <c:v>13.5754</c:v>
                </c:pt>
                <c:pt idx="47">
                  <c:v>13.5954</c:v>
                </c:pt>
                <c:pt idx="48">
                  <c:v>13.664899999999999</c:v>
                </c:pt>
                <c:pt idx="49">
                  <c:v>13.403499999999999</c:v>
                </c:pt>
                <c:pt idx="50">
                  <c:v>13.2654</c:v>
                </c:pt>
                <c:pt idx="51">
                  <c:v>9.4815000000000005</c:v>
                </c:pt>
                <c:pt idx="52">
                  <c:v>9.4242000000000008</c:v>
                </c:pt>
                <c:pt idx="53">
                  <c:v>9.0094999999999992</c:v>
                </c:pt>
                <c:pt idx="54">
                  <c:v>8.9783000000000008</c:v>
                </c:pt>
                <c:pt idx="55">
                  <c:v>9.0808999999999997</c:v>
                </c:pt>
                <c:pt idx="56">
                  <c:v>8.9514999999999993</c:v>
                </c:pt>
                <c:pt idx="57">
                  <c:v>8.9337</c:v>
                </c:pt>
                <c:pt idx="58">
                  <c:v>8.9833999999999996</c:v>
                </c:pt>
                <c:pt idx="59">
                  <c:v>9.1370000000000005</c:v>
                </c:pt>
                <c:pt idx="60">
                  <c:v>9.8049999999999997</c:v>
                </c:pt>
                <c:pt idx="61">
                  <c:v>9.8305000000000007</c:v>
                </c:pt>
                <c:pt idx="62">
                  <c:v>9.5096000000000007</c:v>
                </c:pt>
                <c:pt idx="63">
                  <c:v>9.3254999999999999</c:v>
                </c:pt>
                <c:pt idx="64">
                  <c:v>4.6599000000000004</c:v>
                </c:pt>
                <c:pt idx="65">
                  <c:v>4.7438000000000002</c:v>
                </c:pt>
                <c:pt idx="66">
                  <c:v>4.9233000000000002</c:v>
                </c:pt>
                <c:pt idx="67">
                  <c:v>4.8491999999999997</c:v>
                </c:pt>
                <c:pt idx="68">
                  <c:v>4.8928000000000003</c:v>
                </c:pt>
                <c:pt idx="69">
                  <c:v>5.0016999999999996</c:v>
                </c:pt>
                <c:pt idx="70">
                  <c:v>5.1832000000000003</c:v>
                </c:pt>
                <c:pt idx="71">
                  <c:v>5.3518999999999997</c:v>
                </c:pt>
                <c:pt idx="72">
                  <c:v>5.1276000000000002</c:v>
                </c:pt>
                <c:pt idx="73">
                  <c:v>5.4065000000000003</c:v>
                </c:pt>
                <c:pt idx="74">
                  <c:v>5.3693</c:v>
                </c:pt>
                <c:pt idx="75">
                  <c:v>5.5732999999999997</c:v>
                </c:pt>
                <c:pt idx="76">
                  <c:v>5.5792000000000002</c:v>
                </c:pt>
                <c:pt idx="77">
                  <c:v>5.1104000000000003</c:v>
                </c:pt>
                <c:pt idx="78">
                  <c:v>4.9230999999999998</c:v>
                </c:pt>
                <c:pt idx="79">
                  <c:v>4.8465999999999996</c:v>
                </c:pt>
                <c:pt idx="80">
                  <c:v>4.7351000000000001</c:v>
                </c:pt>
                <c:pt idx="81">
                  <c:v>4.6105999999999998</c:v>
                </c:pt>
                <c:pt idx="82">
                  <c:v>4.5270999999999999</c:v>
                </c:pt>
                <c:pt idx="83">
                  <c:v>4.6581000000000001</c:v>
                </c:pt>
                <c:pt idx="84">
                  <c:v>4.9157000000000002</c:v>
                </c:pt>
                <c:pt idx="85">
                  <c:v>5.1360000000000001</c:v>
                </c:pt>
                <c:pt idx="86">
                  <c:v>5.1585999999999999</c:v>
                </c:pt>
                <c:pt idx="87">
                  <c:v>4.8562000000000003</c:v>
                </c:pt>
                <c:pt idx="88">
                  <c:v>4.9884000000000004</c:v>
                </c:pt>
                <c:pt idx="89">
                  <c:v>5.0030999999999999</c:v>
                </c:pt>
                <c:pt idx="90">
                  <c:v>5.1936999999999998</c:v>
                </c:pt>
                <c:pt idx="91">
                  <c:v>5.1925999999999997</c:v>
                </c:pt>
                <c:pt idx="92">
                  <c:v>5.2098000000000004</c:v>
                </c:pt>
                <c:pt idx="93">
                  <c:v>4.9179000000000004</c:v>
                </c:pt>
                <c:pt idx="94">
                  <c:v>4.8807</c:v>
                </c:pt>
                <c:pt idx="95">
                  <c:v>4.9707999999999997</c:v>
                </c:pt>
                <c:pt idx="96">
                  <c:v>4.9748000000000001</c:v>
                </c:pt>
                <c:pt idx="97">
                  <c:v>4.9008000000000003</c:v>
                </c:pt>
                <c:pt idx="98">
                  <c:v>5.0456000000000003</c:v>
                </c:pt>
                <c:pt idx="99">
                  <c:v>4.8628</c:v>
                </c:pt>
                <c:pt idx="100">
                  <c:v>4.9649999999999999</c:v>
                </c:pt>
                <c:pt idx="101">
                  <c:v>5.1466000000000003</c:v>
                </c:pt>
                <c:pt idx="102">
                  <c:v>4.9546999999999999</c:v>
                </c:pt>
                <c:pt idx="103">
                  <c:v>5.62</c:v>
                </c:pt>
                <c:pt idx="104">
                  <c:v>5.4661999999999997</c:v>
                </c:pt>
                <c:pt idx="105">
                  <c:v>5.6959</c:v>
                </c:pt>
                <c:pt idx="106">
                  <c:v>5.8228</c:v>
                </c:pt>
                <c:pt idx="107">
                  <c:v>5.9539</c:v>
                </c:pt>
                <c:pt idx="108">
                  <c:v>5.4950000000000001</c:v>
                </c:pt>
                <c:pt idx="109">
                  <c:v>5.6528999999999998</c:v>
                </c:pt>
                <c:pt idx="110">
                  <c:v>5.9313000000000002</c:v>
                </c:pt>
                <c:pt idx="111">
                  <c:v>5.9080000000000004</c:v>
                </c:pt>
                <c:pt idx="112">
                  <c:v>6.0682999999999998</c:v>
                </c:pt>
                <c:pt idx="113">
                  <c:v>6.3155000000000001</c:v>
                </c:pt>
                <c:pt idx="114">
                  <c:v>6.1614000000000004</c:v>
                </c:pt>
                <c:pt idx="115">
                  <c:v>5.9432999999999998</c:v>
                </c:pt>
                <c:pt idx="116">
                  <c:v>6.5396000000000001</c:v>
                </c:pt>
                <c:pt idx="117">
                  <c:v>6.7314999999999996</c:v>
                </c:pt>
                <c:pt idx="118">
                  <c:v>6.6561000000000003</c:v>
                </c:pt>
                <c:pt idx="119">
                  <c:v>6.2569999999999997</c:v>
                </c:pt>
                <c:pt idx="120">
                  <c:v>5.7704000000000004</c:v>
                </c:pt>
                <c:pt idx="121">
                  <c:v>5.8571999999999997</c:v>
                </c:pt>
                <c:pt idx="122">
                  <c:v>5.9701000000000004</c:v>
                </c:pt>
                <c:pt idx="123">
                  <c:v>6.2897999999999996</c:v>
                </c:pt>
                <c:pt idx="124">
                  <c:v>6.2305000000000001</c:v>
                </c:pt>
                <c:pt idx="125">
                  <c:v>6.2653999999999996</c:v>
                </c:pt>
                <c:pt idx="126">
                  <c:v>6.3987999999999996</c:v>
                </c:pt>
                <c:pt idx="127">
                  <c:v>6.3655999999999997</c:v>
                </c:pt>
                <c:pt idx="128">
                  <c:v>6.0869999999999997</c:v>
                </c:pt>
                <c:pt idx="129">
                  <c:v>7.0404999999999998</c:v>
                </c:pt>
                <c:pt idx="130">
                  <c:v>6.6757999999999997</c:v>
                </c:pt>
                <c:pt idx="131">
                  <c:v>6.5076000000000001</c:v>
                </c:pt>
                <c:pt idx="132">
                  <c:v>7.2458</c:v>
                </c:pt>
                <c:pt idx="133">
                  <c:v>7.5106000000000002</c:v>
                </c:pt>
                <c:pt idx="134">
                  <c:v>7.4398999999999997</c:v>
                </c:pt>
                <c:pt idx="135">
                  <c:v>7.125</c:v>
                </c:pt>
                <c:pt idx="136">
                  <c:v>7.0529999999999999</c:v>
                </c:pt>
                <c:pt idx="137">
                  <c:v>6.9509999999999996</c:v>
                </c:pt>
                <c:pt idx="138">
                  <c:v>7.3091999999999997</c:v>
                </c:pt>
                <c:pt idx="139">
                  <c:v>7.1303000000000001</c:v>
                </c:pt>
                <c:pt idx="140">
                  <c:v>7.4082999999999997</c:v>
                </c:pt>
                <c:pt idx="141">
                  <c:v>7.0982000000000003</c:v>
                </c:pt>
                <c:pt idx="142">
                  <c:v>7.8132999999999999</c:v>
                </c:pt>
                <c:pt idx="143">
                  <c:v>7.5824999999999996</c:v>
                </c:pt>
                <c:pt idx="144">
                  <c:v>7.3072999999999997</c:v>
                </c:pt>
                <c:pt idx="145">
                  <c:v>7.6432000000000002</c:v>
                </c:pt>
                <c:pt idx="146">
                  <c:v>7.4691999999999998</c:v>
                </c:pt>
                <c:pt idx="147">
                  <c:v>7.5319000000000003</c:v>
                </c:pt>
                <c:pt idx="148">
                  <c:v>7.0956999999999999</c:v>
                </c:pt>
                <c:pt idx="149">
                  <c:v>7.2716000000000003</c:v>
                </c:pt>
                <c:pt idx="150">
                  <c:v>6.8234000000000004</c:v>
                </c:pt>
                <c:pt idx="151">
                  <c:v>6.9767000000000001</c:v>
                </c:pt>
                <c:pt idx="152">
                  <c:v>6.4581</c:v>
                </c:pt>
                <c:pt idx="153">
                  <c:v>6.5149999999999997</c:v>
                </c:pt>
                <c:pt idx="154">
                  <c:v>6.2591000000000001</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CATTERPILLAR INC</c:v>
                </c:pt>
              </c:strCache>
            </c:strRef>
          </c:tx>
          <c:spPr>
            <a:ln w="28575" cap="rnd">
              <a:solidFill>
                <a:schemeClr val="accent5"/>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Data'!$E$5:$E$159</c:f>
              <c:numCache>
                <c:formatCode>0.0</c:formatCode>
                <c:ptCount val="155"/>
                <c:pt idx="0">
                  <c:v>15.879300000000001</c:v>
                </c:pt>
                <c:pt idx="1">
                  <c:v>15.2201</c:v>
                </c:pt>
                <c:pt idx="2">
                  <c:v>14.8386</c:v>
                </c:pt>
                <c:pt idx="3">
                  <c:v>15.3408</c:v>
                </c:pt>
                <c:pt idx="4">
                  <c:v>14.758900000000001</c:v>
                </c:pt>
                <c:pt idx="5">
                  <c:v>14.7456</c:v>
                </c:pt>
                <c:pt idx="6">
                  <c:v>14.7326</c:v>
                </c:pt>
                <c:pt idx="7">
                  <c:v>15.5059</c:v>
                </c:pt>
                <c:pt idx="8">
                  <c:v>15.2141</c:v>
                </c:pt>
                <c:pt idx="9">
                  <c:v>14.821099999999999</c:v>
                </c:pt>
                <c:pt idx="10">
                  <c:v>14.486800000000001</c:v>
                </c:pt>
                <c:pt idx="11">
                  <c:v>14.1274</c:v>
                </c:pt>
                <c:pt idx="12">
                  <c:v>12.9855</c:v>
                </c:pt>
                <c:pt idx="13">
                  <c:v>12.283099999999999</c:v>
                </c:pt>
                <c:pt idx="14">
                  <c:v>12.297499999999999</c:v>
                </c:pt>
                <c:pt idx="15">
                  <c:v>11.902900000000001</c:v>
                </c:pt>
                <c:pt idx="16">
                  <c:v>11.996</c:v>
                </c:pt>
                <c:pt idx="17">
                  <c:v>11.7789</c:v>
                </c:pt>
                <c:pt idx="18">
                  <c:v>11.9308</c:v>
                </c:pt>
                <c:pt idx="19">
                  <c:v>11.090199999999999</c:v>
                </c:pt>
                <c:pt idx="20">
                  <c:v>10.751799999999999</c:v>
                </c:pt>
                <c:pt idx="21">
                  <c:v>10.681800000000001</c:v>
                </c:pt>
                <c:pt idx="22">
                  <c:v>10.260400000000001</c:v>
                </c:pt>
                <c:pt idx="23">
                  <c:v>10.090299999999999</c:v>
                </c:pt>
                <c:pt idx="24">
                  <c:v>10.645</c:v>
                </c:pt>
                <c:pt idx="25">
                  <c:v>10.8118</c:v>
                </c:pt>
                <c:pt idx="26">
                  <c:v>10.716100000000001</c:v>
                </c:pt>
                <c:pt idx="27">
                  <c:v>10.623799999999999</c:v>
                </c:pt>
                <c:pt idx="28">
                  <c:v>10.865500000000001</c:v>
                </c:pt>
                <c:pt idx="29">
                  <c:v>10.8338</c:v>
                </c:pt>
                <c:pt idx="30">
                  <c:v>11.121</c:v>
                </c:pt>
                <c:pt idx="31">
                  <c:v>11.377000000000001</c:v>
                </c:pt>
                <c:pt idx="32">
                  <c:v>11.749599999999999</c:v>
                </c:pt>
                <c:pt idx="33">
                  <c:v>12.0518</c:v>
                </c:pt>
                <c:pt idx="34">
                  <c:v>13.0482</c:v>
                </c:pt>
                <c:pt idx="35">
                  <c:v>12.2285</c:v>
                </c:pt>
                <c:pt idx="36">
                  <c:v>11.291399999999999</c:v>
                </c:pt>
                <c:pt idx="37">
                  <c:v>11.5695</c:v>
                </c:pt>
                <c:pt idx="38">
                  <c:v>11.7521</c:v>
                </c:pt>
                <c:pt idx="39">
                  <c:v>11.540800000000001</c:v>
                </c:pt>
                <c:pt idx="40">
                  <c:v>12.1797</c:v>
                </c:pt>
                <c:pt idx="41">
                  <c:v>12.6241</c:v>
                </c:pt>
                <c:pt idx="42">
                  <c:v>12.9725</c:v>
                </c:pt>
                <c:pt idx="43">
                  <c:v>12.455399999999999</c:v>
                </c:pt>
                <c:pt idx="44">
                  <c:v>12.3856</c:v>
                </c:pt>
                <c:pt idx="45">
                  <c:v>13.0382</c:v>
                </c:pt>
                <c:pt idx="46">
                  <c:v>12.087400000000001</c:v>
                </c:pt>
                <c:pt idx="47">
                  <c:v>12.428800000000001</c:v>
                </c:pt>
                <c:pt idx="48">
                  <c:v>12.6624</c:v>
                </c:pt>
                <c:pt idx="49">
                  <c:v>12.73</c:v>
                </c:pt>
                <c:pt idx="50">
                  <c:v>12.5555</c:v>
                </c:pt>
                <c:pt idx="51">
                  <c:v>12.397399999999999</c:v>
                </c:pt>
                <c:pt idx="52">
                  <c:v>11.852600000000001</c:v>
                </c:pt>
                <c:pt idx="53">
                  <c:v>10.811400000000001</c:v>
                </c:pt>
                <c:pt idx="54">
                  <c:v>10.6256</c:v>
                </c:pt>
                <c:pt idx="55">
                  <c:v>11.1837</c:v>
                </c:pt>
                <c:pt idx="56">
                  <c:v>10.8972</c:v>
                </c:pt>
                <c:pt idx="57">
                  <c:v>10.9985</c:v>
                </c:pt>
                <c:pt idx="58">
                  <c:v>10.7059</c:v>
                </c:pt>
                <c:pt idx="59">
                  <c:v>10.6503</c:v>
                </c:pt>
                <c:pt idx="60">
                  <c:v>11.0482</c:v>
                </c:pt>
                <c:pt idx="61">
                  <c:v>11.413399999999999</c:v>
                </c:pt>
                <c:pt idx="62">
                  <c:v>10.638199999999999</c:v>
                </c:pt>
                <c:pt idx="63">
                  <c:v>10.551600000000001</c:v>
                </c:pt>
                <c:pt idx="64">
                  <c:v>10.432499999999999</c:v>
                </c:pt>
                <c:pt idx="65">
                  <c:v>10.4839</c:v>
                </c:pt>
                <c:pt idx="66">
                  <c:v>10.3986</c:v>
                </c:pt>
                <c:pt idx="67">
                  <c:v>10.458</c:v>
                </c:pt>
                <c:pt idx="68">
                  <c:v>10.795400000000001</c:v>
                </c:pt>
                <c:pt idx="69">
                  <c:v>11.1478</c:v>
                </c:pt>
                <c:pt idx="70">
                  <c:v>11.148400000000001</c:v>
                </c:pt>
                <c:pt idx="71">
                  <c:v>11.180999999999999</c:v>
                </c:pt>
                <c:pt idx="72">
                  <c:v>10.678100000000001</c:v>
                </c:pt>
                <c:pt idx="73">
                  <c:v>10.9765</c:v>
                </c:pt>
                <c:pt idx="74">
                  <c:v>11.6028</c:v>
                </c:pt>
                <c:pt idx="75">
                  <c:v>12.0444</c:v>
                </c:pt>
                <c:pt idx="76">
                  <c:v>11.9756</c:v>
                </c:pt>
                <c:pt idx="77">
                  <c:v>12.3437</c:v>
                </c:pt>
                <c:pt idx="78">
                  <c:v>12.2819</c:v>
                </c:pt>
                <c:pt idx="79">
                  <c:v>11.5336</c:v>
                </c:pt>
                <c:pt idx="80">
                  <c:v>11.477399999999999</c:v>
                </c:pt>
                <c:pt idx="81">
                  <c:v>11.2706</c:v>
                </c:pt>
                <c:pt idx="82">
                  <c:v>10.878299999999999</c:v>
                </c:pt>
                <c:pt idx="83">
                  <c:v>11.1182</c:v>
                </c:pt>
                <c:pt idx="84">
                  <c:v>11.0822</c:v>
                </c:pt>
                <c:pt idx="85">
                  <c:v>10.6</c:v>
                </c:pt>
                <c:pt idx="86">
                  <c:v>10.366899999999999</c:v>
                </c:pt>
                <c:pt idx="87">
                  <c:v>9.7310999999999996</c:v>
                </c:pt>
                <c:pt idx="88">
                  <c:v>10.073399999999999</c:v>
                </c:pt>
                <c:pt idx="89">
                  <c:v>9.8726000000000003</c:v>
                </c:pt>
                <c:pt idx="90">
                  <c:v>11.327400000000001</c:v>
                </c:pt>
                <c:pt idx="91">
                  <c:v>11.0738</c:v>
                </c:pt>
                <c:pt idx="92">
                  <c:v>10.891299999999999</c:v>
                </c:pt>
                <c:pt idx="93">
                  <c:v>9.8574000000000002</c:v>
                </c:pt>
                <c:pt idx="94">
                  <c:v>9.6082000000000001</c:v>
                </c:pt>
                <c:pt idx="95">
                  <c:v>9.4831000000000003</c:v>
                </c:pt>
                <c:pt idx="96">
                  <c:v>9.5146999999999995</c:v>
                </c:pt>
                <c:pt idx="97">
                  <c:v>8.9910999999999994</c:v>
                </c:pt>
                <c:pt idx="98">
                  <c:v>9.1761999999999997</c:v>
                </c:pt>
                <c:pt idx="99">
                  <c:v>9.3181999999999992</c:v>
                </c:pt>
                <c:pt idx="100">
                  <c:v>9.7086000000000006</c:v>
                </c:pt>
                <c:pt idx="101">
                  <c:v>10.332599999999999</c:v>
                </c:pt>
                <c:pt idx="102">
                  <c:v>10.0038</c:v>
                </c:pt>
                <c:pt idx="103">
                  <c:v>11.3832</c:v>
                </c:pt>
                <c:pt idx="104">
                  <c:v>11.213699999999999</c:v>
                </c:pt>
                <c:pt idx="105">
                  <c:v>11.637700000000001</c:v>
                </c:pt>
                <c:pt idx="106">
                  <c:v>11.5922</c:v>
                </c:pt>
                <c:pt idx="107">
                  <c:v>11.5801</c:v>
                </c:pt>
                <c:pt idx="108">
                  <c:v>11.1038</c:v>
                </c:pt>
                <c:pt idx="109">
                  <c:v>11.340199999999999</c:v>
                </c:pt>
                <c:pt idx="110">
                  <c:v>11.6884</c:v>
                </c:pt>
                <c:pt idx="111">
                  <c:v>11.593</c:v>
                </c:pt>
                <c:pt idx="112">
                  <c:v>10.767200000000001</c:v>
                </c:pt>
                <c:pt idx="113">
                  <c:v>10.880699999999999</c:v>
                </c:pt>
                <c:pt idx="114">
                  <c:v>10.667999999999999</c:v>
                </c:pt>
                <c:pt idx="115">
                  <c:v>10.0465</c:v>
                </c:pt>
                <c:pt idx="116">
                  <c:v>11.797800000000001</c:v>
                </c:pt>
                <c:pt idx="117">
                  <c:v>11.473800000000001</c:v>
                </c:pt>
                <c:pt idx="118">
                  <c:v>11.9589</c:v>
                </c:pt>
                <c:pt idx="119">
                  <c:v>11.338100000000001</c:v>
                </c:pt>
                <c:pt idx="120">
                  <c:v>10.1462</c:v>
                </c:pt>
                <c:pt idx="121">
                  <c:v>10.1889</c:v>
                </c:pt>
                <c:pt idx="122">
                  <c:v>10.4115</c:v>
                </c:pt>
                <c:pt idx="123">
                  <c:v>10.1913</c:v>
                </c:pt>
                <c:pt idx="124">
                  <c:v>10.207700000000001</c:v>
                </c:pt>
                <c:pt idx="125">
                  <c:v>10.412599999999999</c:v>
                </c:pt>
                <c:pt idx="126">
                  <c:v>10.786099999999999</c:v>
                </c:pt>
                <c:pt idx="127">
                  <c:v>10.757899999999999</c:v>
                </c:pt>
                <c:pt idx="128">
                  <c:v>10.1698</c:v>
                </c:pt>
                <c:pt idx="129">
                  <c:v>11.9039</c:v>
                </c:pt>
                <c:pt idx="130">
                  <c:v>11.643800000000001</c:v>
                </c:pt>
                <c:pt idx="131">
                  <c:v>11.6065</c:v>
                </c:pt>
                <c:pt idx="132">
                  <c:v>12.741400000000001</c:v>
                </c:pt>
                <c:pt idx="133">
                  <c:v>13.313700000000001</c:v>
                </c:pt>
                <c:pt idx="134">
                  <c:v>12.587899999999999</c:v>
                </c:pt>
                <c:pt idx="135">
                  <c:v>13.025</c:v>
                </c:pt>
                <c:pt idx="136">
                  <c:v>13.111700000000001</c:v>
                </c:pt>
                <c:pt idx="137">
                  <c:v>13.040699999999999</c:v>
                </c:pt>
                <c:pt idx="138">
                  <c:v>13.926</c:v>
                </c:pt>
                <c:pt idx="139">
                  <c:v>13.0844</c:v>
                </c:pt>
                <c:pt idx="140">
                  <c:v>13.563499999999999</c:v>
                </c:pt>
                <c:pt idx="141">
                  <c:v>12.8032</c:v>
                </c:pt>
                <c:pt idx="142">
                  <c:v>12.821300000000001</c:v>
                </c:pt>
                <c:pt idx="143">
                  <c:v>12.683999999999999</c:v>
                </c:pt>
                <c:pt idx="144">
                  <c:v>12.328900000000001</c:v>
                </c:pt>
                <c:pt idx="145">
                  <c:v>12.3423</c:v>
                </c:pt>
                <c:pt idx="146">
                  <c:v>12.5885</c:v>
                </c:pt>
                <c:pt idx="147">
                  <c:v>12.589</c:v>
                </c:pt>
                <c:pt idx="148">
                  <c:v>12.317500000000001</c:v>
                </c:pt>
                <c:pt idx="149">
                  <c:v>12.4213</c:v>
                </c:pt>
                <c:pt idx="150">
                  <c:v>11.740399999999999</c:v>
                </c:pt>
                <c:pt idx="151">
                  <c:v>11.5307</c:v>
                </c:pt>
                <c:pt idx="152">
                  <c:v>9.8760999999999992</c:v>
                </c:pt>
                <c:pt idx="153">
                  <c:v>10.0122</c:v>
                </c:pt>
                <c:pt idx="154">
                  <c:v>9.7855000000000008</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CNH INDUSTRIAL N</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Data'!$F$5:$F$159</c:f>
              <c:numCache>
                <c:formatCode>0.0</c:formatCode>
                <c:ptCount val="155"/>
                <c:pt idx="0">
                  <c:v>4.1752000000000002</c:v>
                </c:pt>
                <c:pt idx="1">
                  <c:v>4.2916999999999996</c:v>
                </c:pt>
                <c:pt idx="2">
                  <c:v>4.3357999999999999</c:v>
                </c:pt>
                <c:pt idx="3">
                  <c:v>4.5153999999999996</c:v>
                </c:pt>
                <c:pt idx="4">
                  <c:v>4.5279999999999996</c:v>
                </c:pt>
                <c:pt idx="5">
                  <c:v>4.5848000000000004</c:v>
                </c:pt>
                <c:pt idx="6">
                  <c:v>4.6760999999999999</c:v>
                </c:pt>
                <c:pt idx="7">
                  <c:v>4.8353999999999999</c:v>
                </c:pt>
                <c:pt idx="8">
                  <c:v>4.9141000000000004</c:v>
                </c:pt>
                <c:pt idx="9">
                  <c:v>4.8385999999999996</c:v>
                </c:pt>
                <c:pt idx="10">
                  <c:v>5.0998000000000001</c:v>
                </c:pt>
                <c:pt idx="11">
                  <c:v>5.0651999999999999</c:v>
                </c:pt>
                <c:pt idx="12">
                  <c:v>4.5431999999999997</c:v>
                </c:pt>
                <c:pt idx="13">
                  <c:v>4.5103</c:v>
                </c:pt>
                <c:pt idx="14">
                  <c:v>4.5072999999999999</c:v>
                </c:pt>
                <c:pt idx="15">
                  <c:v>4.4386000000000001</c:v>
                </c:pt>
                <c:pt idx="16">
                  <c:v>4.4684999999999997</c:v>
                </c:pt>
                <c:pt idx="17">
                  <c:v>4.5610999999999997</c:v>
                </c:pt>
                <c:pt idx="18">
                  <c:v>4.6925999999999997</c:v>
                </c:pt>
                <c:pt idx="19">
                  <c:v>4.4565999999999999</c:v>
                </c:pt>
                <c:pt idx="20">
                  <c:v>4.3926999999999996</c:v>
                </c:pt>
                <c:pt idx="21">
                  <c:v>4.2106000000000003</c:v>
                </c:pt>
                <c:pt idx="22">
                  <c:v>4.0076999999999998</c:v>
                </c:pt>
                <c:pt idx="23">
                  <c:v>4.0286</c:v>
                </c:pt>
                <c:pt idx="24">
                  <c:v>4.0525000000000002</c:v>
                </c:pt>
                <c:pt idx="25">
                  <c:v>3.9731999999999998</c:v>
                </c:pt>
                <c:pt idx="26">
                  <c:v>4.0290999999999997</c:v>
                </c:pt>
                <c:pt idx="27">
                  <c:v>3.9173</c:v>
                </c:pt>
                <c:pt idx="28">
                  <c:v>3.9620000000000002</c:v>
                </c:pt>
                <c:pt idx="29">
                  <c:v>3.9731000000000001</c:v>
                </c:pt>
                <c:pt idx="30">
                  <c:v>4.1326000000000001</c:v>
                </c:pt>
                <c:pt idx="31">
                  <c:v>3.8948</c:v>
                </c:pt>
                <c:pt idx="32">
                  <c:v>3.8165</c:v>
                </c:pt>
                <c:pt idx="33">
                  <c:v>4.1101999999999999</c:v>
                </c:pt>
                <c:pt idx="34">
                  <c:v>3.9983</c:v>
                </c:pt>
                <c:pt idx="35">
                  <c:v>3.7801</c:v>
                </c:pt>
                <c:pt idx="36">
                  <c:v>3.5758999999999999</c:v>
                </c:pt>
                <c:pt idx="37">
                  <c:v>3.5116000000000001</c:v>
                </c:pt>
                <c:pt idx="38">
                  <c:v>3.5528</c:v>
                </c:pt>
                <c:pt idx="39">
                  <c:v>3.4834000000000001</c:v>
                </c:pt>
                <c:pt idx="40">
                  <c:v>3.6762999999999999</c:v>
                </c:pt>
                <c:pt idx="41">
                  <c:v>3.7250999999999999</c:v>
                </c:pt>
                <c:pt idx="42">
                  <c:v>3.8845000000000001</c:v>
                </c:pt>
                <c:pt idx="43">
                  <c:v>3.72</c:v>
                </c:pt>
                <c:pt idx="44">
                  <c:v>3.3959999999999999</c:v>
                </c:pt>
                <c:pt idx="45">
                  <c:v>3.6568999999999998</c:v>
                </c:pt>
                <c:pt idx="46">
                  <c:v>3.5535999999999999</c:v>
                </c:pt>
                <c:pt idx="47">
                  <c:v>3.5407000000000002</c:v>
                </c:pt>
                <c:pt idx="48">
                  <c:v>3.5200999999999998</c:v>
                </c:pt>
                <c:pt idx="49">
                  <c:v>3.5251999999999999</c:v>
                </c:pt>
                <c:pt idx="50">
                  <c:v>3.4632999999999998</c:v>
                </c:pt>
                <c:pt idx="51">
                  <c:v>3.2362000000000002</c:v>
                </c:pt>
                <c:pt idx="52">
                  <c:v>3.1682999999999999</c:v>
                </c:pt>
                <c:pt idx="53">
                  <c:v>2.9523999999999999</c:v>
                </c:pt>
                <c:pt idx="54">
                  <c:v>2.9693999999999998</c:v>
                </c:pt>
                <c:pt idx="55">
                  <c:v>2.9645000000000001</c:v>
                </c:pt>
                <c:pt idx="56">
                  <c:v>2.95</c:v>
                </c:pt>
                <c:pt idx="57">
                  <c:v>2.9426999999999999</c:v>
                </c:pt>
                <c:pt idx="58">
                  <c:v>2.9015</c:v>
                </c:pt>
                <c:pt idx="59">
                  <c:v>2.9645000000000001</c:v>
                </c:pt>
                <c:pt idx="60">
                  <c:v>3.0034000000000001</c:v>
                </c:pt>
                <c:pt idx="61">
                  <c:v>3.0594000000000001</c:v>
                </c:pt>
                <c:pt idx="62">
                  <c:v>2.9499</c:v>
                </c:pt>
                <c:pt idx="63">
                  <c:v>2.8599000000000001</c:v>
                </c:pt>
                <c:pt idx="64">
                  <c:v>2.673</c:v>
                </c:pt>
                <c:pt idx="65">
                  <c:v>2.6707000000000001</c:v>
                </c:pt>
                <c:pt idx="66">
                  <c:v>2.7212999999999998</c:v>
                </c:pt>
                <c:pt idx="67">
                  <c:v>2.7006000000000001</c:v>
                </c:pt>
                <c:pt idx="68">
                  <c:v>2.7673999999999999</c:v>
                </c:pt>
                <c:pt idx="69">
                  <c:v>2.7858000000000001</c:v>
                </c:pt>
                <c:pt idx="70">
                  <c:v>2.9792000000000001</c:v>
                </c:pt>
                <c:pt idx="71">
                  <c:v>3.0459000000000001</c:v>
                </c:pt>
                <c:pt idx="72">
                  <c:v>2.9901</c:v>
                </c:pt>
                <c:pt idx="73">
                  <c:v>2.9217</c:v>
                </c:pt>
                <c:pt idx="74">
                  <c:v>3.1541999999999999</c:v>
                </c:pt>
                <c:pt idx="75">
                  <c:v>3.2818999999999998</c:v>
                </c:pt>
                <c:pt idx="76">
                  <c:v>3.25</c:v>
                </c:pt>
                <c:pt idx="77">
                  <c:v>3.0503999999999998</c:v>
                </c:pt>
                <c:pt idx="78">
                  <c:v>3.0257000000000001</c:v>
                </c:pt>
                <c:pt idx="79">
                  <c:v>2.9578000000000002</c:v>
                </c:pt>
                <c:pt idx="80">
                  <c:v>2.8146</c:v>
                </c:pt>
                <c:pt idx="81">
                  <c:v>2.8464</c:v>
                </c:pt>
                <c:pt idx="82">
                  <c:v>3.0021</c:v>
                </c:pt>
                <c:pt idx="83">
                  <c:v>3.1032000000000002</c:v>
                </c:pt>
                <c:pt idx="84">
                  <c:v>3.0623</c:v>
                </c:pt>
                <c:pt idx="85">
                  <c:v>3.0912000000000002</c:v>
                </c:pt>
                <c:pt idx="86">
                  <c:v>3.0045000000000002</c:v>
                </c:pt>
                <c:pt idx="87">
                  <c:v>2.9155000000000002</c:v>
                </c:pt>
                <c:pt idx="88">
                  <c:v>2.9275000000000002</c:v>
                </c:pt>
                <c:pt idx="89">
                  <c:v>2.9948999999999999</c:v>
                </c:pt>
                <c:pt idx="90">
                  <c:v>3.3125</c:v>
                </c:pt>
                <c:pt idx="91">
                  <c:v>3.2681</c:v>
                </c:pt>
                <c:pt idx="92">
                  <c:v>3.2311000000000001</c:v>
                </c:pt>
                <c:pt idx="93">
                  <c:v>3.0263</c:v>
                </c:pt>
                <c:pt idx="94">
                  <c:v>2.9819</c:v>
                </c:pt>
                <c:pt idx="95">
                  <c:v>2.8561000000000001</c:v>
                </c:pt>
                <c:pt idx="96">
                  <c:v>2.8041999999999998</c:v>
                </c:pt>
                <c:pt idx="97">
                  <c:v>2.8363</c:v>
                </c:pt>
                <c:pt idx="98">
                  <c:v>3.1183000000000001</c:v>
                </c:pt>
                <c:pt idx="99">
                  <c:v>3.0811999999999999</c:v>
                </c:pt>
                <c:pt idx="100">
                  <c:v>3.1579000000000002</c:v>
                </c:pt>
                <c:pt idx="101">
                  <c:v>3.2742</c:v>
                </c:pt>
                <c:pt idx="102">
                  <c:v>3.2198000000000002</c:v>
                </c:pt>
                <c:pt idx="103">
                  <c:v>3.4975999999999998</c:v>
                </c:pt>
                <c:pt idx="104">
                  <c:v>3.5508999999999999</c:v>
                </c:pt>
                <c:pt idx="105">
                  <c:v>3.8224</c:v>
                </c:pt>
                <c:pt idx="106">
                  <c:v>3.8553999999999999</c:v>
                </c:pt>
                <c:pt idx="107">
                  <c:v>3.8807999999999998</c:v>
                </c:pt>
                <c:pt idx="108">
                  <c:v>3.6473</c:v>
                </c:pt>
                <c:pt idx="109">
                  <c:v>3.7158000000000002</c:v>
                </c:pt>
                <c:pt idx="110">
                  <c:v>3.9315000000000002</c:v>
                </c:pt>
                <c:pt idx="111">
                  <c:v>3.9493</c:v>
                </c:pt>
                <c:pt idx="112">
                  <c:v>4.2770000000000001</c:v>
                </c:pt>
                <c:pt idx="113">
                  <c:v>4.3457999999999997</c:v>
                </c:pt>
                <c:pt idx="114">
                  <c:v>4.1980000000000004</c:v>
                </c:pt>
                <c:pt idx="115">
                  <c:v>3.9763000000000002</c:v>
                </c:pt>
                <c:pt idx="116">
                  <c:v>4.2889999999999997</c:v>
                </c:pt>
                <c:pt idx="117">
                  <c:v>4.3563999999999998</c:v>
                </c:pt>
                <c:pt idx="118">
                  <c:v>4.4048999999999996</c:v>
                </c:pt>
                <c:pt idx="119">
                  <c:v>4.2161999999999997</c:v>
                </c:pt>
                <c:pt idx="120">
                  <c:v>4.0221</c:v>
                </c:pt>
                <c:pt idx="121">
                  <c:v>4.0651999999999999</c:v>
                </c:pt>
                <c:pt idx="122">
                  <c:v>4.2565999999999997</c:v>
                </c:pt>
                <c:pt idx="123">
                  <c:v>4.2107999999999999</c:v>
                </c:pt>
                <c:pt idx="124">
                  <c:v>4.1665999999999999</c:v>
                </c:pt>
                <c:pt idx="125">
                  <c:v>4.2586000000000004</c:v>
                </c:pt>
                <c:pt idx="126">
                  <c:v>4.4290000000000003</c:v>
                </c:pt>
                <c:pt idx="127">
                  <c:v>4.4398999999999997</c:v>
                </c:pt>
                <c:pt idx="128">
                  <c:v>4.2289000000000003</c:v>
                </c:pt>
                <c:pt idx="129">
                  <c:v>4.6025999999999998</c:v>
                </c:pt>
                <c:pt idx="130">
                  <c:v>4.4055999999999997</c:v>
                </c:pt>
                <c:pt idx="131">
                  <c:v>4.3113999999999999</c:v>
                </c:pt>
                <c:pt idx="132">
                  <c:v>4.8596000000000004</c:v>
                </c:pt>
                <c:pt idx="133">
                  <c:v>5.0166000000000004</c:v>
                </c:pt>
                <c:pt idx="134">
                  <c:v>5.0488999999999997</c:v>
                </c:pt>
                <c:pt idx="135">
                  <c:v>4.9032</c:v>
                </c:pt>
                <c:pt idx="136">
                  <c:v>4.8147000000000002</c:v>
                </c:pt>
                <c:pt idx="137">
                  <c:v>4.9061000000000003</c:v>
                </c:pt>
                <c:pt idx="138">
                  <c:v>5.2259000000000002</c:v>
                </c:pt>
                <c:pt idx="139">
                  <c:v>5.0289000000000001</c:v>
                </c:pt>
                <c:pt idx="140">
                  <c:v>5.1660000000000004</c:v>
                </c:pt>
                <c:pt idx="141">
                  <c:v>4.8661000000000003</c:v>
                </c:pt>
                <c:pt idx="142">
                  <c:v>5.4569000000000001</c:v>
                </c:pt>
                <c:pt idx="143">
                  <c:v>5.3753000000000002</c:v>
                </c:pt>
                <c:pt idx="144">
                  <c:v>5.3658000000000001</c:v>
                </c:pt>
                <c:pt idx="145">
                  <c:v>5.4569000000000001</c:v>
                </c:pt>
                <c:pt idx="146">
                  <c:v>5.5039999999999996</c:v>
                </c:pt>
                <c:pt idx="147">
                  <c:v>5.4128999999999996</c:v>
                </c:pt>
                <c:pt idx="148">
                  <c:v>5.1146000000000003</c:v>
                </c:pt>
                <c:pt idx="149">
                  <c:v>5.0015000000000001</c:v>
                </c:pt>
                <c:pt idx="150">
                  <c:v>4.4231999999999996</c:v>
                </c:pt>
                <c:pt idx="151">
                  <c:v>4.4710000000000001</c:v>
                </c:pt>
                <c:pt idx="152">
                  <c:v>4.2671000000000001</c:v>
                </c:pt>
                <c:pt idx="153">
                  <c:v>4.2606999999999999</c:v>
                </c:pt>
                <c:pt idx="154">
                  <c:v>4.2129000000000003</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TEREX CORP</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Data'!$G$5:$G$159</c:f>
              <c:numCache>
                <c:formatCode>0.0</c:formatCode>
                <c:ptCount val="155"/>
                <c:pt idx="0">
                  <c:v>11.2491</c:v>
                </c:pt>
                <c:pt idx="1">
                  <c:v>11.327199999999999</c:v>
                </c:pt>
                <c:pt idx="2">
                  <c:v>11.121600000000001</c:v>
                </c:pt>
                <c:pt idx="3">
                  <c:v>11.188000000000001</c:v>
                </c:pt>
                <c:pt idx="4">
                  <c:v>10.6973</c:v>
                </c:pt>
                <c:pt idx="5">
                  <c:v>11.1424</c:v>
                </c:pt>
                <c:pt idx="6">
                  <c:v>10.712899999999999</c:v>
                </c:pt>
                <c:pt idx="7">
                  <c:v>11.0227</c:v>
                </c:pt>
                <c:pt idx="8">
                  <c:v>11.170999999999999</c:v>
                </c:pt>
                <c:pt idx="9">
                  <c:v>10.9862</c:v>
                </c:pt>
                <c:pt idx="10">
                  <c:v>11.353300000000001</c:v>
                </c:pt>
                <c:pt idx="11">
                  <c:v>10.8834</c:v>
                </c:pt>
                <c:pt idx="12">
                  <c:v>9.9713999999999992</c:v>
                </c:pt>
                <c:pt idx="13">
                  <c:v>9.7081</c:v>
                </c:pt>
                <c:pt idx="14">
                  <c:v>9.9278999999999993</c:v>
                </c:pt>
                <c:pt idx="15">
                  <c:v>9.7394999999999996</c:v>
                </c:pt>
                <c:pt idx="16">
                  <c:v>9.7600999999999996</c:v>
                </c:pt>
                <c:pt idx="17">
                  <c:v>9.7479999999999993</c:v>
                </c:pt>
                <c:pt idx="18">
                  <c:v>9.8759999999999994</c:v>
                </c:pt>
                <c:pt idx="19">
                  <c:v>9.1309000000000005</c:v>
                </c:pt>
                <c:pt idx="20">
                  <c:v>8.6533999999999995</c:v>
                </c:pt>
                <c:pt idx="21">
                  <c:v>8.6448999999999998</c:v>
                </c:pt>
                <c:pt idx="22">
                  <c:v>8.4215999999999998</c:v>
                </c:pt>
                <c:pt idx="23">
                  <c:v>8.3826000000000001</c:v>
                </c:pt>
                <c:pt idx="24">
                  <c:v>8.5838999999999999</c:v>
                </c:pt>
                <c:pt idx="25">
                  <c:v>8.2040000000000006</c:v>
                </c:pt>
                <c:pt idx="26">
                  <c:v>8.0949000000000009</c:v>
                </c:pt>
                <c:pt idx="27">
                  <c:v>8.1036000000000001</c:v>
                </c:pt>
                <c:pt idx="28">
                  <c:v>8.2388999999999992</c:v>
                </c:pt>
                <c:pt idx="29">
                  <c:v>8.3425999999999991</c:v>
                </c:pt>
                <c:pt idx="30">
                  <c:v>8.8032000000000004</c:v>
                </c:pt>
                <c:pt idx="31">
                  <c:v>8.7332999999999998</c:v>
                </c:pt>
                <c:pt idx="32">
                  <c:v>8.9374000000000002</c:v>
                </c:pt>
                <c:pt idx="33">
                  <c:v>9.2064000000000004</c:v>
                </c:pt>
                <c:pt idx="34">
                  <c:v>9.1988000000000003</c:v>
                </c:pt>
                <c:pt idx="35">
                  <c:v>9.0395000000000003</c:v>
                </c:pt>
                <c:pt idx="36">
                  <c:v>8.6597000000000008</c:v>
                </c:pt>
                <c:pt idx="37">
                  <c:v>8.7178000000000004</c:v>
                </c:pt>
                <c:pt idx="38">
                  <c:v>5.1063000000000001</c:v>
                </c:pt>
                <c:pt idx="39">
                  <c:v>5.0449000000000002</c:v>
                </c:pt>
                <c:pt idx="40">
                  <c:v>5.6013000000000002</c:v>
                </c:pt>
                <c:pt idx="41">
                  <c:v>5.8579999999999997</c:v>
                </c:pt>
                <c:pt idx="42">
                  <c:v>6.0256999999999996</c:v>
                </c:pt>
                <c:pt idx="43">
                  <c:v>5.8314000000000004</c:v>
                </c:pt>
                <c:pt idx="44">
                  <c:v>5.7986000000000004</c:v>
                </c:pt>
                <c:pt idx="45">
                  <c:v>6.1841999999999997</c:v>
                </c:pt>
                <c:pt idx="46">
                  <c:v>5.7107000000000001</c:v>
                </c:pt>
                <c:pt idx="47">
                  <c:v>5.8456000000000001</c:v>
                </c:pt>
                <c:pt idx="48">
                  <c:v>6.1938000000000004</c:v>
                </c:pt>
                <c:pt idx="49">
                  <c:v>5.8620000000000001</c:v>
                </c:pt>
                <c:pt idx="50">
                  <c:v>5.6345999999999998</c:v>
                </c:pt>
                <c:pt idx="51">
                  <c:v>5.5359999999999996</c:v>
                </c:pt>
                <c:pt idx="52">
                  <c:v>5.7061999999999999</c:v>
                </c:pt>
                <c:pt idx="53">
                  <c:v>5.4035000000000002</c:v>
                </c:pt>
                <c:pt idx="54">
                  <c:v>5.3792999999999997</c:v>
                </c:pt>
                <c:pt idx="55">
                  <c:v>5.9440999999999997</c:v>
                </c:pt>
                <c:pt idx="56">
                  <c:v>5.6897000000000002</c:v>
                </c:pt>
                <c:pt idx="57">
                  <c:v>5.7794999999999996</c:v>
                </c:pt>
                <c:pt idx="58">
                  <c:v>5.8278999999999996</c:v>
                </c:pt>
                <c:pt idx="59">
                  <c:v>6.1851000000000003</c:v>
                </c:pt>
                <c:pt idx="60">
                  <c:v>6.8587999999999996</c:v>
                </c:pt>
                <c:pt idx="61">
                  <c:v>6.0864000000000003</c:v>
                </c:pt>
                <c:pt idx="62">
                  <c:v>5.7572999999999999</c:v>
                </c:pt>
                <c:pt idx="63">
                  <c:v>5.6760000000000002</c:v>
                </c:pt>
                <c:pt idx="64">
                  <c:v>5.5502000000000002</c:v>
                </c:pt>
                <c:pt idx="65">
                  <c:v>5.5454999999999997</c:v>
                </c:pt>
                <c:pt idx="66">
                  <c:v>5.7</c:v>
                </c:pt>
                <c:pt idx="67">
                  <c:v>5.9170999999999996</c:v>
                </c:pt>
                <c:pt idx="68">
                  <c:v>6.1284999999999998</c:v>
                </c:pt>
                <c:pt idx="69">
                  <c:v>6.2469999999999999</c:v>
                </c:pt>
                <c:pt idx="70">
                  <c:v>6.2281000000000004</c:v>
                </c:pt>
                <c:pt idx="71">
                  <c:v>6.2925000000000004</c:v>
                </c:pt>
                <c:pt idx="72">
                  <c:v>5.9560000000000004</c:v>
                </c:pt>
                <c:pt idx="73">
                  <c:v>6.1872999999999996</c:v>
                </c:pt>
                <c:pt idx="74">
                  <c:v>6.1749999999999998</c:v>
                </c:pt>
                <c:pt idx="75">
                  <c:v>6.6054000000000004</c:v>
                </c:pt>
                <c:pt idx="76">
                  <c:v>6.6233000000000004</c:v>
                </c:pt>
                <c:pt idx="77">
                  <c:v>6.7659000000000002</c:v>
                </c:pt>
                <c:pt idx="78">
                  <c:v>6.5134999999999996</c:v>
                </c:pt>
                <c:pt idx="79">
                  <c:v>6.1809000000000003</c:v>
                </c:pt>
                <c:pt idx="80">
                  <c:v>6.2496</c:v>
                </c:pt>
                <c:pt idx="81">
                  <c:v>6.0842000000000001</c:v>
                </c:pt>
                <c:pt idx="82">
                  <c:v>5.6733000000000002</c:v>
                </c:pt>
                <c:pt idx="83">
                  <c:v>6.0377999999999998</c:v>
                </c:pt>
                <c:pt idx="84">
                  <c:v>6.7888999999999999</c:v>
                </c:pt>
                <c:pt idx="85">
                  <c:v>6.6247999999999996</c:v>
                </c:pt>
                <c:pt idx="86">
                  <c:v>6.5781999999999998</c:v>
                </c:pt>
                <c:pt idx="87">
                  <c:v>6.0381</c:v>
                </c:pt>
                <c:pt idx="88">
                  <c:v>6.0605000000000002</c:v>
                </c:pt>
                <c:pt idx="89">
                  <c:v>6.0808999999999997</c:v>
                </c:pt>
                <c:pt idx="90">
                  <c:v>6.3554000000000004</c:v>
                </c:pt>
                <c:pt idx="91">
                  <c:v>6.2853000000000003</c:v>
                </c:pt>
                <c:pt idx="92">
                  <c:v>6.3349000000000002</c:v>
                </c:pt>
                <c:pt idx="93">
                  <c:v>5.6298000000000004</c:v>
                </c:pt>
                <c:pt idx="94">
                  <c:v>5.4691000000000001</c:v>
                </c:pt>
                <c:pt idx="95">
                  <c:v>5.5119999999999996</c:v>
                </c:pt>
                <c:pt idx="96">
                  <c:v>5.5159000000000002</c:v>
                </c:pt>
                <c:pt idx="97">
                  <c:v>5.2782</c:v>
                </c:pt>
                <c:pt idx="98">
                  <c:v>5.4242999999999997</c:v>
                </c:pt>
                <c:pt idx="99">
                  <c:v>5.2206999999999999</c:v>
                </c:pt>
                <c:pt idx="100">
                  <c:v>5.3212000000000002</c:v>
                </c:pt>
                <c:pt idx="101">
                  <c:v>6.0586000000000002</c:v>
                </c:pt>
                <c:pt idx="102">
                  <c:v>5.7533000000000003</c:v>
                </c:pt>
                <c:pt idx="103">
                  <c:v>6.7206000000000001</c:v>
                </c:pt>
                <c:pt idx="104">
                  <c:v>6.5864000000000003</c:v>
                </c:pt>
                <c:pt idx="105">
                  <c:v>6.8361000000000001</c:v>
                </c:pt>
                <c:pt idx="106">
                  <c:v>6.8776999999999999</c:v>
                </c:pt>
                <c:pt idx="107">
                  <c:v>6.9837999999999996</c:v>
                </c:pt>
                <c:pt idx="108">
                  <c:v>6.4177999999999997</c:v>
                </c:pt>
                <c:pt idx="109">
                  <c:v>6.6082000000000001</c:v>
                </c:pt>
                <c:pt idx="110">
                  <c:v>7.0087999999999999</c:v>
                </c:pt>
                <c:pt idx="111">
                  <c:v>7.2667999999999999</c:v>
                </c:pt>
                <c:pt idx="112">
                  <c:v>6.6182999999999996</c:v>
                </c:pt>
                <c:pt idx="113">
                  <c:v>7.1573000000000002</c:v>
                </c:pt>
                <c:pt idx="114">
                  <c:v>7.3017000000000003</c:v>
                </c:pt>
                <c:pt idx="115">
                  <c:v>6.702</c:v>
                </c:pt>
                <c:pt idx="116">
                  <c:v>8.4099000000000004</c:v>
                </c:pt>
                <c:pt idx="117">
                  <c:v>8.1014999999999997</c:v>
                </c:pt>
                <c:pt idx="118">
                  <c:v>8.2444000000000006</c:v>
                </c:pt>
                <c:pt idx="119">
                  <c:v>7.9461000000000004</c:v>
                </c:pt>
                <c:pt idx="120">
                  <c:v>6.9455999999999998</c:v>
                </c:pt>
                <c:pt idx="121">
                  <c:v>6.9756999999999998</c:v>
                </c:pt>
                <c:pt idx="122">
                  <c:v>7.0735000000000001</c:v>
                </c:pt>
                <c:pt idx="123">
                  <c:v>6.8452999999999999</c:v>
                </c:pt>
                <c:pt idx="124">
                  <c:v>6.7061000000000002</c:v>
                </c:pt>
                <c:pt idx="125">
                  <c:v>6.4661999999999997</c:v>
                </c:pt>
                <c:pt idx="126">
                  <c:v>6.6752000000000002</c:v>
                </c:pt>
                <c:pt idx="127">
                  <c:v>6.5707000000000004</c:v>
                </c:pt>
                <c:pt idx="128">
                  <c:v>6.2949000000000002</c:v>
                </c:pt>
                <c:pt idx="129">
                  <c:v>8.0421999999999993</c:v>
                </c:pt>
                <c:pt idx="130">
                  <c:v>7.9337999999999997</c:v>
                </c:pt>
                <c:pt idx="131">
                  <c:v>8.3773999999999997</c:v>
                </c:pt>
                <c:pt idx="132">
                  <c:v>9.5215999999999994</c:v>
                </c:pt>
                <c:pt idx="133">
                  <c:v>9.8553999999999995</c:v>
                </c:pt>
                <c:pt idx="134">
                  <c:v>9.5187000000000008</c:v>
                </c:pt>
                <c:pt idx="135">
                  <c:v>9.2340999999999998</c:v>
                </c:pt>
                <c:pt idx="136">
                  <c:v>8.6359999999999992</c:v>
                </c:pt>
                <c:pt idx="137">
                  <c:v>8.7833000000000006</c:v>
                </c:pt>
                <c:pt idx="138">
                  <c:v>8.3716000000000008</c:v>
                </c:pt>
                <c:pt idx="139">
                  <c:v>7.7733999999999996</c:v>
                </c:pt>
                <c:pt idx="140">
                  <c:v>7.9497</c:v>
                </c:pt>
                <c:pt idx="141">
                  <c:v>7.3010000000000002</c:v>
                </c:pt>
                <c:pt idx="142">
                  <c:v>8.4054000000000002</c:v>
                </c:pt>
                <c:pt idx="143">
                  <c:v>8.3259000000000007</c:v>
                </c:pt>
                <c:pt idx="144">
                  <c:v>8.1184999999999992</c:v>
                </c:pt>
                <c:pt idx="145">
                  <c:v>8.6874000000000002</c:v>
                </c:pt>
                <c:pt idx="146">
                  <c:v>8.7700999999999993</c:v>
                </c:pt>
                <c:pt idx="147">
                  <c:v>8.8462999999999994</c:v>
                </c:pt>
                <c:pt idx="148">
                  <c:v>8.5967000000000002</c:v>
                </c:pt>
                <c:pt idx="149">
                  <c:v>8.4507999999999992</c:v>
                </c:pt>
                <c:pt idx="150">
                  <c:v>7.8476999999999997</c:v>
                </c:pt>
                <c:pt idx="151">
                  <c:v>7.3975999999999997</c:v>
                </c:pt>
                <c:pt idx="152">
                  <c:v>6.7072000000000003</c:v>
                </c:pt>
                <c:pt idx="153">
                  <c:v>6.8147000000000002</c:v>
                </c:pt>
                <c:pt idx="154">
                  <c:v>6.6665000000000001</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ALAMO GROUP</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Data'!$H$5:$H$159</c:f>
              <c:numCache>
                <c:formatCode>0.0</c:formatCode>
                <c:ptCount val="155"/>
                <c:pt idx="0">
                  <c:v>10.518599999999999</c:v>
                </c:pt>
                <c:pt idx="1">
                  <c:v>11.0091</c:v>
                </c:pt>
                <c:pt idx="2">
                  <c:v>10.9726</c:v>
                </c:pt>
                <c:pt idx="3">
                  <c:v>11.202400000000001</c:v>
                </c:pt>
                <c:pt idx="4">
                  <c:v>11.082800000000001</c:v>
                </c:pt>
                <c:pt idx="5">
                  <c:v>11.7904</c:v>
                </c:pt>
                <c:pt idx="6">
                  <c:v>11.5626</c:v>
                </c:pt>
                <c:pt idx="7">
                  <c:v>11.5726</c:v>
                </c:pt>
                <c:pt idx="8">
                  <c:v>11.3</c:v>
                </c:pt>
                <c:pt idx="9">
                  <c:v>11.3355</c:v>
                </c:pt>
                <c:pt idx="10">
                  <c:v>11.786099999999999</c:v>
                </c:pt>
                <c:pt idx="11">
                  <c:v>11.759399999999999</c:v>
                </c:pt>
                <c:pt idx="12">
                  <c:v>11.771800000000001</c:v>
                </c:pt>
                <c:pt idx="13">
                  <c:v>11.5085</c:v>
                </c:pt>
                <c:pt idx="14">
                  <c:v>11.4328</c:v>
                </c:pt>
                <c:pt idx="15">
                  <c:v>11.018000000000001</c:v>
                </c:pt>
                <c:pt idx="16">
                  <c:v>10.8309</c:v>
                </c:pt>
                <c:pt idx="17">
                  <c:v>10.666700000000001</c:v>
                </c:pt>
                <c:pt idx="18">
                  <c:v>10.842599999999999</c:v>
                </c:pt>
                <c:pt idx="19">
                  <c:v>9.5897000000000006</c:v>
                </c:pt>
                <c:pt idx="20">
                  <c:v>9.0986999999999991</c:v>
                </c:pt>
                <c:pt idx="21">
                  <c:v>9.1647999999999996</c:v>
                </c:pt>
                <c:pt idx="22">
                  <c:v>8.9995999999999992</c:v>
                </c:pt>
                <c:pt idx="23">
                  <c:v>9.0838000000000001</c:v>
                </c:pt>
                <c:pt idx="24">
                  <c:v>9.1914999999999996</c:v>
                </c:pt>
                <c:pt idx="25">
                  <c:v>9.9425000000000008</c:v>
                </c:pt>
                <c:pt idx="26">
                  <c:v>10.0616</c:v>
                </c:pt>
                <c:pt idx="27">
                  <c:v>9.7380999999999993</c:v>
                </c:pt>
                <c:pt idx="28">
                  <c:v>9.7606000000000002</c:v>
                </c:pt>
                <c:pt idx="29">
                  <c:v>9.8223000000000003</c:v>
                </c:pt>
                <c:pt idx="30">
                  <c:v>10.033799999999999</c:v>
                </c:pt>
                <c:pt idx="31">
                  <c:v>9.8720999999999997</c:v>
                </c:pt>
                <c:pt idx="32">
                  <c:v>9.7715999999999994</c:v>
                </c:pt>
                <c:pt idx="33">
                  <c:v>10.0479</c:v>
                </c:pt>
                <c:pt idx="34">
                  <c:v>9.8208000000000002</c:v>
                </c:pt>
                <c:pt idx="35">
                  <c:v>9.6715999999999998</c:v>
                </c:pt>
                <c:pt idx="36">
                  <c:v>9.2279</c:v>
                </c:pt>
                <c:pt idx="37">
                  <c:v>9.6082999999999998</c:v>
                </c:pt>
                <c:pt idx="38">
                  <c:v>9.9415999999999993</c:v>
                </c:pt>
                <c:pt idx="39">
                  <c:v>10.255599999999999</c:v>
                </c:pt>
                <c:pt idx="40">
                  <c:v>10.196999999999999</c:v>
                </c:pt>
                <c:pt idx="41">
                  <c:v>10.3171</c:v>
                </c:pt>
                <c:pt idx="42">
                  <c:v>10.530200000000001</c:v>
                </c:pt>
                <c:pt idx="43">
                  <c:v>10.3489</c:v>
                </c:pt>
                <c:pt idx="44">
                  <c:v>10.1798</c:v>
                </c:pt>
                <c:pt idx="45">
                  <c:v>10.403</c:v>
                </c:pt>
                <c:pt idx="46">
                  <c:v>8.9951000000000008</c:v>
                </c:pt>
                <c:pt idx="47">
                  <c:v>8.9662000000000006</c:v>
                </c:pt>
                <c:pt idx="48">
                  <c:v>9.5144000000000002</c:v>
                </c:pt>
                <c:pt idx="49">
                  <c:v>9.1071000000000009</c:v>
                </c:pt>
                <c:pt idx="50">
                  <c:v>9.1394000000000002</c:v>
                </c:pt>
                <c:pt idx="51">
                  <c:v>9.5817999999999994</c:v>
                </c:pt>
                <c:pt idx="52">
                  <c:v>9.8122000000000007</c:v>
                </c:pt>
                <c:pt idx="53">
                  <c:v>9.3507999999999996</c:v>
                </c:pt>
                <c:pt idx="54">
                  <c:v>9.2477</c:v>
                </c:pt>
                <c:pt idx="55">
                  <c:v>9.7814999999999994</c:v>
                </c:pt>
                <c:pt idx="56">
                  <c:v>9.5827000000000009</c:v>
                </c:pt>
                <c:pt idx="57">
                  <c:v>9.3054000000000006</c:v>
                </c:pt>
                <c:pt idx="58">
                  <c:v>9.3215000000000003</c:v>
                </c:pt>
                <c:pt idx="59">
                  <c:v>9.8048999999999999</c:v>
                </c:pt>
                <c:pt idx="60">
                  <c:v>10.1533</c:v>
                </c:pt>
                <c:pt idx="61">
                  <c:v>9.798</c:v>
                </c:pt>
                <c:pt idx="62">
                  <c:v>9.2094000000000005</c:v>
                </c:pt>
                <c:pt idx="63">
                  <c:v>8.8693000000000008</c:v>
                </c:pt>
                <c:pt idx="64">
                  <c:v>8.8942999999999994</c:v>
                </c:pt>
                <c:pt idx="65">
                  <c:v>9.1003000000000007</c:v>
                </c:pt>
                <c:pt idx="66">
                  <c:v>9.2065999999999999</c:v>
                </c:pt>
                <c:pt idx="67">
                  <c:v>9.6896000000000004</c:v>
                </c:pt>
                <c:pt idx="68">
                  <c:v>9.7723999999999993</c:v>
                </c:pt>
                <c:pt idx="69">
                  <c:v>9.8237000000000005</c:v>
                </c:pt>
                <c:pt idx="70">
                  <c:v>10.070600000000001</c:v>
                </c:pt>
                <c:pt idx="71">
                  <c:v>10.177899999999999</c:v>
                </c:pt>
                <c:pt idx="72">
                  <c:v>10.034000000000001</c:v>
                </c:pt>
                <c:pt idx="73">
                  <c:v>10.2346</c:v>
                </c:pt>
                <c:pt idx="74">
                  <c:v>10.48</c:v>
                </c:pt>
                <c:pt idx="75">
                  <c:v>11.186999999999999</c:v>
                </c:pt>
                <c:pt idx="76">
                  <c:v>11.022399999999999</c:v>
                </c:pt>
                <c:pt idx="77">
                  <c:v>11.5006</c:v>
                </c:pt>
                <c:pt idx="78">
                  <c:v>10.8047</c:v>
                </c:pt>
                <c:pt idx="79">
                  <c:v>10.366099999999999</c:v>
                </c:pt>
                <c:pt idx="80">
                  <c:v>10.440200000000001</c:v>
                </c:pt>
                <c:pt idx="81">
                  <c:v>10.254300000000001</c:v>
                </c:pt>
                <c:pt idx="82">
                  <c:v>10.8177</c:v>
                </c:pt>
                <c:pt idx="83">
                  <c:v>11.137</c:v>
                </c:pt>
                <c:pt idx="84">
                  <c:v>10.8939</c:v>
                </c:pt>
                <c:pt idx="85">
                  <c:v>10.8757</c:v>
                </c:pt>
                <c:pt idx="86">
                  <c:v>10.722099999999999</c:v>
                </c:pt>
                <c:pt idx="87">
                  <c:v>10.2637</c:v>
                </c:pt>
                <c:pt idx="88">
                  <c:v>10.1663</c:v>
                </c:pt>
                <c:pt idx="89">
                  <c:v>10.204700000000001</c:v>
                </c:pt>
                <c:pt idx="90">
                  <c:v>11.0595</c:v>
                </c:pt>
                <c:pt idx="91">
                  <c:v>10.886200000000001</c:v>
                </c:pt>
                <c:pt idx="92">
                  <c:v>10.698499999999999</c:v>
                </c:pt>
                <c:pt idx="93">
                  <c:v>9.9326000000000008</c:v>
                </c:pt>
                <c:pt idx="94">
                  <c:v>9.7261000000000006</c:v>
                </c:pt>
                <c:pt idx="95">
                  <c:v>9.8788</c:v>
                </c:pt>
                <c:pt idx="96">
                  <c:v>9.8187999999999995</c:v>
                </c:pt>
                <c:pt idx="97">
                  <c:v>9.4053000000000004</c:v>
                </c:pt>
                <c:pt idx="98">
                  <c:v>8.6898999999999997</c:v>
                </c:pt>
                <c:pt idx="99">
                  <c:v>8.6828000000000003</c:v>
                </c:pt>
                <c:pt idx="100">
                  <c:v>8.8440999999999992</c:v>
                </c:pt>
                <c:pt idx="101">
                  <c:v>9.2796000000000003</c:v>
                </c:pt>
                <c:pt idx="102">
                  <c:v>9.2334999999999994</c:v>
                </c:pt>
                <c:pt idx="103">
                  <c:v>10.2508</c:v>
                </c:pt>
                <c:pt idx="104">
                  <c:v>9.7754999999999992</c:v>
                </c:pt>
                <c:pt idx="105">
                  <c:v>9.7969000000000008</c:v>
                </c:pt>
                <c:pt idx="106">
                  <c:v>9.7072000000000003</c:v>
                </c:pt>
                <c:pt idx="107">
                  <c:v>9.8239999999999998</c:v>
                </c:pt>
                <c:pt idx="108">
                  <c:v>9.6938999999999993</c:v>
                </c:pt>
                <c:pt idx="109">
                  <c:v>9.7515999999999998</c:v>
                </c:pt>
                <c:pt idx="110">
                  <c:v>10.0871</c:v>
                </c:pt>
                <c:pt idx="111">
                  <c:v>10.318099999999999</c:v>
                </c:pt>
                <c:pt idx="112">
                  <c:v>10.821300000000001</c:v>
                </c:pt>
                <c:pt idx="113">
                  <c:v>11.1525</c:v>
                </c:pt>
                <c:pt idx="114">
                  <c:v>10.8315</c:v>
                </c:pt>
                <c:pt idx="115">
                  <c:v>10.178800000000001</c:v>
                </c:pt>
                <c:pt idx="116">
                  <c:v>11.158200000000001</c:v>
                </c:pt>
                <c:pt idx="117">
                  <c:v>11.184799999999999</c:v>
                </c:pt>
                <c:pt idx="118">
                  <c:v>11.222200000000001</c:v>
                </c:pt>
                <c:pt idx="119">
                  <c:v>11.214600000000001</c:v>
                </c:pt>
                <c:pt idx="120">
                  <c:v>10.337400000000001</c:v>
                </c:pt>
                <c:pt idx="121">
                  <c:v>10.681100000000001</c:v>
                </c:pt>
                <c:pt idx="122">
                  <c:v>11.030799999999999</c:v>
                </c:pt>
                <c:pt idx="123">
                  <c:v>10.911</c:v>
                </c:pt>
                <c:pt idx="124">
                  <c:v>10.7049</c:v>
                </c:pt>
                <c:pt idx="125">
                  <c:v>10.933199999999999</c:v>
                </c:pt>
                <c:pt idx="126">
                  <c:v>11.044600000000001</c:v>
                </c:pt>
                <c:pt idx="127">
                  <c:v>10.815799999999999</c:v>
                </c:pt>
                <c:pt idx="128">
                  <c:v>10.3248</c:v>
                </c:pt>
                <c:pt idx="129">
                  <c:v>12.120100000000001</c:v>
                </c:pt>
                <c:pt idx="130">
                  <c:v>11.9063</c:v>
                </c:pt>
                <c:pt idx="131">
                  <c:v>11.851599999999999</c:v>
                </c:pt>
                <c:pt idx="132">
                  <c:v>11.967700000000001</c:v>
                </c:pt>
                <c:pt idx="133">
                  <c:v>12.413</c:v>
                </c:pt>
                <c:pt idx="134">
                  <c:v>10.996600000000001</c:v>
                </c:pt>
                <c:pt idx="135">
                  <c:v>10.8102</c:v>
                </c:pt>
                <c:pt idx="136">
                  <c:v>10.59</c:v>
                </c:pt>
                <c:pt idx="137">
                  <c:v>10.8888</c:v>
                </c:pt>
                <c:pt idx="138">
                  <c:v>10.528700000000001</c:v>
                </c:pt>
                <c:pt idx="139">
                  <c:v>10.071</c:v>
                </c:pt>
                <c:pt idx="140">
                  <c:v>10.570399999999999</c:v>
                </c:pt>
                <c:pt idx="141">
                  <c:v>9.7134</c:v>
                </c:pt>
                <c:pt idx="142">
                  <c:v>10.959099999999999</c:v>
                </c:pt>
                <c:pt idx="143">
                  <c:v>10.6942</c:v>
                </c:pt>
                <c:pt idx="144">
                  <c:v>10.7591</c:v>
                </c:pt>
                <c:pt idx="145">
                  <c:v>11.1747</c:v>
                </c:pt>
                <c:pt idx="146">
                  <c:v>11.436500000000001</c:v>
                </c:pt>
                <c:pt idx="147">
                  <c:v>11.365</c:v>
                </c:pt>
                <c:pt idx="148">
                  <c:v>11.4352</c:v>
                </c:pt>
                <c:pt idx="149">
                  <c:v>11.7242</c:v>
                </c:pt>
                <c:pt idx="150">
                  <c:v>11.4436</c:v>
                </c:pt>
                <c:pt idx="151">
                  <c:v>11.4163</c:v>
                </c:pt>
                <c:pt idx="152">
                  <c:v>10.909700000000001</c:v>
                </c:pt>
                <c:pt idx="153">
                  <c:v>10.545400000000001</c:v>
                </c:pt>
                <c:pt idx="154">
                  <c:v>10.325900000000001</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DE US Equity</c:v>
                </c:pt>
              </c:strCache>
            </c:strRef>
          </c:tx>
          <c:spPr>
            <a:ln w="28575" cap="rnd">
              <a:solidFill>
                <a:schemeClr val="accent1"/>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Data'!$J$5:$J$159</c:f>
              <c:numCache>
                <c:formatCode>0.0</c:formatCode>
                <c:ptCount val="155"/>
                <c:pt idx="0">
                  <c:v>24.545000000000002</c:v>
                </c:pt>
                <c:pt idx="1">
                  <c:v>24.545000000000002</c:v>
                </c:pt>
                <c:pt idx="2">
                  <c:v>24.464700000000001</c:v>
                </c:pt>
                <c:pt idx="3">
                  <c:v>25.316700000000001</c:v>
                </c:pt>
                <c:pt idx="4">
                  <c:v>25.075600000000001</c:v>
                </c:pt>
                <c:pt idx="5">
                  <c:v>24.6676</c:v>
                </c:pt>
                <c:pt idx="6">
                  <c:v>26.099799999999998</c:v>
                </c:pt>
                <c:pt idx="7">
                  <c:v>27.013100000000001</c:v>
                </c:pt>
                <c:pt idx="8">
                  <c:v>24.777699999999999</c:v>
                </c:pt>
                <c:pt idx="9">
                  <c:v>24.0305</c:v>
                </c:pt>
                <c:pt idx="10">
                  <c:v>24.996200000000002</c:v>
                </c:pt>
                <c:pt idx="11">
                  <c:v>25.081399999999999</c:v>
                </c:pt>
                <c:pt idx="12">
                  <c:v>24.482500000000002</c:v>
                </c:pt>
                <c:pt idx="13">
                  <c:v>25.101199999999999</c:v>
                </c:pt>
                <c:pt idx="14">
                  <c:v>24.883600000000001</c:v>
                </c:pt>
                <c:pt idx="15">
                  <c:v>24.589400000000001</c:v>
                </c:pt>
                <c:pt idx="16">
                  <c:v>24.238</c:v>
                </c:pt>
                <c:pt idx="17">
                  <c:v>24.825299999999999</c:v>
                </c:pt>
                <c:pt idx="18">
                  <c:v>24.857600000000001</c:v>
                </c:pt>
                <c:pt idx="19">
                  <c:v>23.59</c:v>
                </c:pt>
                <c:pt idx="20">
                  <c:v>23.11</c:v>
                </c:pt>
                <c:pt idx="21">
                  <c:v>20.498100000000001</c:v>
                </c:pt>
                <c:pt idx="22">
                  <c:v>19.949100000000001</c:v>
                </c:pt>
                <c:pt idx="23">
                  <c:v>19.601400000000002</c:v>
                </c:pt>
                <c:pt idx="24">
                  <c:v>19.7453</c:v>
                </c:pt>
                <c:pt idx="25">
                  <c:v>21.1693</c:v>
                </c:pt>
                <c:pt idx="26">
                  <c:v>21.0501</c:v>
                </c:pt>
                <c:pt idx="27">
                  <c:v>20.611899999999999</c:v>
                </c:pt>
                <c:pt idx="28">
                  <c:v>21.306999999999999</c:v>
                </c:pt>
                <c:pt idx="29">
                  <c:v>21.2059</c:v>
                </c:pt>
                <c:pt idx="30">
                  <c:v>21.878399999999999</c:v>
                </c:pt>
                <c:pt idx="31">
                  <c:v>20.573599999999999</c:v>
                </c:pt>
                <c:pt idx="32">
                  <c:v>20.518799999999999</c:v>
                </c:pt>
                <c:pt idx="33">
                  <c:v>21.1812</c:v>
                </c:pt>
                <c:pt idx="34">
                  <c:v>18.404299999999999</c:v>
                </c:pt>
                <c:pt idx="35">
                  <c:v>17.023700000000002</c:v>
                </c:pt>
                <c:pt idx="36">
                  <c:v>15.839700000000001</c:v>
                </c:pt>
                <c:pt idx="37">
                  <c:v>16.212299999999999</c:v>
                </c:pt>
                <c:pt idx="38">
                  <c:v>16.819400000000002</c:v>
                </c:pt>
                <c:pt idx="39">
                  <c:v>16.539899999999999</c:v>
                </c:pt>
                <c:pt idx="40">
                  <c:v>17.0381</c:v>
                </c:pt>
                <c:pt idx="41">
                  <c:v>17.373100000000001</c:v>
                </c:pt>
                <c:pt idx="42">
                  <c:v>18.0624</c:v>
                </c:pt>
                <c:pt idx="43">
                  <c:v>16.962900000000001</c:v>
                </c:pt>
                <c:pt idx="44">
                  <c:v>15.2997</c:v>
                </c:pt>
                <c:pt idx="45">
                  <c:v>15.940200000000001</c:v>
                </c:pt>
                <c:pt idx="46">
                  <c:v>15.689299999999999</c:v>
                </c:pt>
                <c:pt idx="47">
                  <c:v>14.001200000000001</c:v>
                </c:pt>
                <c:pt idx="48">
                  <c:v>13.799300000000001</c:v>
                </c:pt>
                <c:pt idx="49">
                  <c:v>13.820399999999999</c:v>
                </c:pt>
                <c:pt idx="50">
                  <c:v>13.921900000000001</c:v>
                </c:pt>
                <c:pt idx="51">
                  <c:v>14.014900000000001</c:v>
                </c:pt>
                <c:pt idx="52">
                  <c:v>13.9556</c:v>
                </c:pt>
                <c:pt idx="53">
                  <c:v>13.1814</c:v>
                </c:pt>
                <c:pt idx="54">
                  <c:v>13.0687</c:v>
                </c:pt>
                <c:pt idx="55">
                  <c:v>13.005000000000001</c:v>
                </c:pt>
                <c:pt idx="56">
                  <c:v>12.8268</c:v>
                </c:pt>
                <c:pt idx="57">
                  <c:v>12.7134</c:v>
                </c:pt>
                <c:pt idx="58">
                  <c:v>11.8919</c:v>
                </c:pt>
                <c:pt idx="59">
                  <c:v>12.1906</c:v>
                </c:pt>
                <c:pt idx="60">
                  <c:v>11.7669</c:v>
                </c:pt>
                <c:pt idx="61">
                  <c:v>11.734500000000001</c:v>
                </c:pt>
                <c:pt idx="62">
                  <c:v>11.147500000000001</c:v>
                </c:pt>
                <c:pt idx="63">
                  <c:v>11.0991</c:v>
                </c:pt>
                <c:pt idx="64">
                  <c:v>11.6158</c:v>
                </c:pt>
                <c:pt idx="65">
                  <c:v>11.761900000000001</c:v>
                </c:pt>
                <c:pt idx="66">
                  <c:v>11.6516</c:v>
                </c:pt>
                <c:pt idx="67">
                  <c:v>11.445600000000001</c:v>
                </c:pt>
                <c:pt idx="68">
                  <c:v>11.355600000000001</c:v>
                </c:pt>
                <c:pt idx="69">
                  <c:v>11.6913</c:v>
                </c:pt>
                <c:pt idx="70">
                  <c:v>12.159599999999999</c:v>
                </c:pt>
                <c:pt idx="71">
                  <c:v>12.6088</c:v>
                </c:pt>
                <c:pt idx="72">
                  <c:v>12.206799999999999</c:v>
                </c:pt>
                <c:pt idx="73">
                  <c:v>11.5837</c:v>
                </c:pt>
                <c:pt idx="74">
                  <c:v>11.7759</c:v>
                </c:pt>
                <c:pt idx="75">
                  <c:v>12.1357</c:v>
                </c:pt>
                <c:pt idx="76">
                  <c:v>11.9673</c:v>
                </c:pt>
                <c:pt idx="77">
                  <c:v>12.074</c:v>
                </c:pt>
                <c:pt idx="78">
                  <c:v>11.6889</c:v>
                </c:pt>
                <c:pt idx="79">
                  <c:v>11.177099999999999</c:v>
                </c:pt>
                <c:pt idx="80">
                  <c:v>11.0328</c:v>
                </c:pt>
                <c:pt idx="81">
                  <c:v>10.7309</c:v>
                </c:pt>
                <c:pt idx="82">
                  <c:v>10.4878</c:v>
                </c:pt>
                <c:pt idx="83">
                  <c:v>10.7194</c:v>
                </c:pt>
                <c:pt idx="84">
                  <c:v>11.341699999999999</c:v>
                </c:pt>
                <c:pt idx="85">
                  <c:v>11.5725</c:v>
                </c:pt>
                <c:pt idx="86">
                  <c:v>11.4451</c:v>
                </c:pt>
                <c:pt idx="87">
                  <c:v>11.1067</c:v>
                </c:pt>
                <c:pt idx="88">
                  <c:v>11.363899999999999</c:v>
                </c:pt>
                <c:pt idx="89">
                  <c:v>11.427099999999999</c:v>
                </c:pt>
                <c:pt idx="90">
                  <c:v>11.6271</c:v>
                </c:pt>
                <c:pt idx="91">
                  <c:v>11.454700000000001</c:v>
                </c:pt>
                <c:pt idx="92">
                  <c:v>11.311500000000001</c:v>
                </c:pt>
                <c:pt idx="93">
                  <c:v>10.519399999999999</c:v>
                </c:pt>
                <c:pt idx="94">
                  <c:v>10.612299999999999</c:v>
                </c:pt>
                <c:pt idx="95">
                  <c:v>10.7806</c:v>
                </c:pt>
                <c:pt idx="96">
                  <c:v>11.0243</c:v>
                </c:pt>
                <c:pt idx="97">
                  <c:v>10.763999999999999</c:v>
                </c:pt>
                <c:pt idx="98">
                  <c:v>10.8787</c:v>
                </c:pt>
                <c:pt idx="99">
                  <c:v>11.248699999999999</c:v>
                </c:pt>
                <c:pt idx="100">
                  <c:v>11.6088</c:v>
                </c:pt>
                <c:pt idx="101">
                  <c:v>11.6365</c:v>
                </c:pt>
                <c:pt idx="102">
                  <c:v>11.4359</c:v>
                </c:pt>
                <c:pt idx="103">
                  <c:v>11.7111</c:v>
                </c:pt>
                <c:pt idx="104">
                  <c:v>11.7997</c:v>
                </c:pt>
                <c:pt idx="105">
                  <c:v>12.531499999999999</c:v>
                </c:pt>
                <c:pt idx="106">
                  <c:v>12.532999999999999</c:v>
                </c:pt>
                <c:pt idx="107">
                  <c:v>12.508900000000001</c:v>
                </c:pt>
                <c:pt idx="108">
                  <c:v>11.7692</c:v>
                </c:pt>
                <c:pt idx="109">
                  <c:v>12.7591</c:v>
                </c:pt>
                <c:pt idx="110">
                  <c:v>13.228199999999999</c:v>
                </c:pt>
                <c:pt idx="111">
                  <c:v>12.9046</c:v>
                </c:pt>
                <c:pt idx="112">
                  <c:v>14.408799999999999</c:v>
                </c:pt>
                <c:pt idx="113">
                  <c:v>14.779</c:v>
                </c:pt>
                <c:pt idx="114">
                  <c:v>13.767799999999999</c:v>
                </c:pt>
                <c:pt idx="115">
                  <c:v>13.4861</c:v>
                </c:pt>
                <c:pt idx="116">
                  <c:v>13.5015</c:v>
                </c:pt>
                <c:pt idx="117">
                  <c:v>13.9742</c:v>
                </c:pt>
                <c:pt idx="118">
                  <c:v>13.665900000000001</c:v>
                </c:pt>
                <c:pt idx="119">
                  <c:v>12.8003</c:v>
                </c:pt>
                <c:pt idx="120">
                  <c:v>11.8523</c:v>
                </c:pt>
                <c:pt idx="121">
                  <c:v>11.9299</c:v>
                </c:pt>
                <c:pt idx="122">
                  <c:v>12.4557</c:v>
                </c:pt>
                <c:pt idx="123">
                  <c:v>12.532</c:v>
                </c:pt>
                <c:pt idx="124">
                  <c:v>12.5589</c:v>
                </c:pt>
                <c:pt idx="125">
                  <c:v>13.9672</c:v>
                </c:pt>
                <c:pt idx="126">
                  <c:v>14.6625</c:v>
                </c:pt>
                <c:pt idx="127">
                  <c:v>14.4514</c:v>
                </c:pt>
                <c:pt idx="128">
                  <c:v>13.884600000000001</c:v>
                </c:pt>
                <c:pt idx="129">
                  <c:v>15.163600000000001</c:v>
                </c:pt>
                <c:pt idx="130">
                  <c:v>14.718500000000001</c:v>
                </c:pt>
                <c:pt idx="131">
                  <c:v>14.6907</c:v>
                </c:pt>
                <c:pt idx="132">
                  <c:v>15.8292</c:v>
                </c:pt>
                <c:pt idx="133">
                  <c:v>15.8262</c:v>
                </c:pt>
                <c:pt idx="134">
                  <c:v>15.9655</c:v>
                </c:pt>
                <c:pt idx="135">
                  <c:v>15.1358</c:v>
                </c:pt>
                <c:pt idx="136">
                  <c:v>15.3255</c:v>
                </c:pt>
                <c:pt idx="137">
                  <c:v>15.2706</c:v>
                </c:pt>
                <c:pt idx="138">
                  <c:v>18.1373</c:v>
                </c:pt>
                <c:pt idx="139">
                  <c:v>17.594799999999999</c:v>
                </c:pt>
                <c:pt idx="140">
                  <c:v>18.778500000000001</c:v>
                </c:pt>
                <c:pt idx="141">
                  <c:v>17.858699999999999</c:v>
                </c:pt>
                <c:pt idx="142">
                  <c:v>18.457699999999999</c:v>
                </c:pt>
                <c:pt idx="143">
                  <c:v>18.768599999999999</c:v>
                </c:pt>
                <c:pt idx="144">
                  <c:v>18.507200000000001</c:v>
                </c:pt>
                <c:pt idx="145">
                  <c:v>19.0731</c:v>
                </c:pt>
                <c:pt idx="146">
                  <c:v>19.024799999999999</c:v>
                </c:pt>
                <c:pt idx="147">
                  <c:v>19.010200000000001</c:v>
                </c:pt>
                <c:pt idx="148">
                  <c:v>17.783799999999999</c:v>
                </c:pt>
                <c:pt idx="149">
                  <c:v>17.552099999999999</c:v>
                </c:pt>
                <c:pt idx="150">
                  <c:v>16.950199999999999</c:v>
                </c:pt>
                <c:pt idx="151">
                  <c:v>19.228100000000001</c:v>
                </c:pt>
                <c:pt idx="152">
                  <c:v>17.811499999999999</c:v>
                </c:pt>
                <c:pt idx="153">
                  <c:v>17.891999999999999</c:v>
                </c:pt>
                <c:pt idx="154">
                  <c:v>17.3218</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AGCO CORP</c:v>
                </c:pt>
              </c:strCache>
            </c:strRef>
          </c:tx>
          <c:spPr>
            <a:ln w="28575" cap="rnd">
              <a:solidFill>
                <a:schemeClr val="accent2"/>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Data'!$K$5:$K$159</c:f>
              <c:numCache>
                <c:formatCode>0.0</c:formatCode>
                <c:ptCount val="155"/>
                <c:pt idx="0">
                  <c:v>25.925000000000001</c:v>
                </c:pt>
                <c:pt idx="1">
                  <c:v>25.925000000000001</c:v>
                </c:pt>
                <c:pt idx="2">
                  <c:v>26.046099999999999</c:v>
                </c:pt>
                <c:pt idx="3">
                  <c:v>26.865300000000001</c:v>
                </c:pt>
                <c:pt idx="4">
                  <c:v>26.5685</c:v>
                </c:pt>
                <c:pt idx="5">
                  <c:v>26.447399999999998</c:v>
                </c:pt>
                <c:pt idx="6">
                  <c:v>26.537600000000001</c:v>
                </c:pt>
                <c:pt idx="7">
                  <c:v>28.0122</c:v>
                </c:pt>
                <c:pt idx="8">
                  <c:v>26.2408</c:v>
                </c:pt>
                <c:pt idx="9">
                  <c:v>25.578299999999999</c:v>
                </c:pt>
                <c:pt idx="10">
                  <c:v>27.014900000000001</c:v>
                </c:pt>
                <c:pt idx="11">
                  <c:v>26.048500000000001</c:v>
                </c:pt>
                <c:pt idx="12">
                  <c:v>19.7562</c:v>
                </c:pt>
                <c:pt idx="13">
                  <c:v>19.6907</c:v>
                </c:pt>
                <c:pt idx="14">
                  <c:v>19.438400000000001</c:v>
                </c:pt>
                <c:pt idx="15">
                  <c:v>19.4133</c:v>
                </c:pt>
                <c:pt idx="16">
                  <c:v>19.553899999999999</c:v>
                </c:pt>
                <c:pt idx="17">
                  <c:v>19.767700000000001</c:v>
                </c:pt>
                <c:pt idx="18">
                  <c:v>20.361000000000001</c:v>
                </c:pt>
                <c:pt idx="19">
                  <c:v>18.8933</c:v>
                </c:pt>
                <c:pt idx="20">
                  <c:v>17.989899999999999</c:v>
                </c:pt>
                <c:pt idx="21">
                  <c:v>16.514500000000002</c:v>
                </c:pt>
                <c:pt idx="22">
                  <c:v>15.5938</c:v>
                </c:pt>
                <c:pt idx="23">
                  <c:v>16.161999999999999</c:v>
                </c:pt>
                <c:pt idx="24">
                  <c:v>15.8192</c:v>
                </c:pt>
                <c:pt idx="25">
                  <c:v>13.6701</c:v>
                </c:pt>
                <c:pt idx="26">
                  <c:v>13.0631</c:v>
                </c:pt>
                <c:pt idx="27">
                  <c:v>12.7464</c:v>
                </c:pt>
                <c:pt idx="28">
                  <c:v>13.378399999999999</c:v>
                </c:pt>
                <c:pt idx="29">
                  <c:v>13.4696</c:v>
                </c:pt>
                <c:pt idx="30">
                  <c:v>14.0684</c:v>
                </c:pt>
                <c:pt idx="31">
                  <c:v>13.0175</c:v>
                </c:pt>
                <c:pt idx="32">
                  <c:v>13.563700000000001</c:v>
                </c:pt>
                <c:pt idx="33">
                  <c:v>14.71</c:v>
                </c:pt>
                <c:pt idx="34">
                  <c:v>14.5344</c:v>
                </c:pt>
                <c:pt idx="35">
                  <c:v>13.8278</c:v>
                </c:pt>
                <c:pt idx="36">
                  <c:v>12.5625</c:v>
                </c:pt>
                <c:pt idx="37">
                  <c:v>12.626099999999999</c:v>
                </c:pt>
                <c:pt idx="38">
                  <c:v>10.1243</c:v>
                </c:pt>
                <c:pt idx="39">
                  <c:v>9.7911999999999999</c:v>
                </c:pt>
                <c:pt idx="40">
                  <c:v>10.463800000000001</c:v>
                </c:pt>
                <c:pt idx="41">
                  <c:v>10.538399999999999</c:v>
                </c:pt>
                <c:pt idx="42">
                  <c:v>10.943899999999999</c:v>
                </c:pt>
                <c:pt idx="43">
                  <c:v>10.5373</c:v>
                </c:pt>
                <c:pt idx="44">
                  <c:v>9.9825999999999997</c:v>
                </c:pt>
                <c:pt idx="45">
                  <c:v>10.177199999999999</c:v>
                </c:pt>
                <c:pt idx="46">
                  <c:v>10.7957</c:v>
                </c:pt>
                <c:pt idx="47">
                  <c:v>10.820600000000001</c:v>
                </c:pt>
                <c:pt idx="48">
                  <c:v>10.9071</c:v>
                </c:pt>
                <c:pt idx="49">
                  <c:v>10.5816</c:v>
                </c:pt>
                <c:pt idx="50">
                  <c:v>10.409700000000001</c:v>
                </c:pt>
                <c:pt idx="51">
                  <c:v>7.7343999999999999</c:v>
                </c:pt>
                <c:pt idx="52">
                  <c:v>7.6623999999999999</c:v>
                </c:pt>
                <c:pt idx="53">
                  <c:v>7.1418999999999997</c:v>
                </c:pt>
                <c:pt idx="54">
                  <c:v>7.1026999999999996</c:v>
                </c:pt>
                <c:pt idx="55">
                  <c:v>7.2313999999999998</c:v>
                </c:pt>
                <c:pt idx="56">
                  <c:v>7.0690999999999997</c:v>
                </c:pt>
                <c:pt idx="57">
                  <c:v>7.0467000000000004</c:v>
                </c:pt>
                <c:pt idx="58">
                  <c:v>7.1090999999999998</c:v>
                </c:pt>
                <c:pt idx="59">
                  <c:v>7.3041999999999998</c:v>
                </c:pt>
                <c:pt idx="60">
                  <c:v>8.1428999999999991</c:v>
                </c:pt>
                <c:pt idx="61">
                  <c:v>8.1748999999999992</c:v>
                </c:pt>
                <c:pt idx="62">
                  <c:v>7.7718999999999996</c:v>
                </c:pt>
                <c:pt idx="63">
                  <c:v>7.5408999999999997</c:v>
                </c:pt>
                <c:pt idx="64">
                  <c:v>6.6638000000000002</c:v>
                </c:pt>
                <c:pt idx="65">
                  <c:v>6.8068</c:v>
                </c:pt>
                <c:pt idx="66">
                  <c:v>7.1121999999999996</c:v>
                </c:pt>
                <c:pt idx="67">
                  <c:v>6.9861000000000004</c:v>
                </c:pt>
                <c:pt idx="68">
                  <c:v>7.0602999999999998</c:v>
                </c:pt>
                <c:pt idx="69">
                  <c:v>7.2458</c:v>
                </c:pt>
                <c:pt idx="70">
                  <c:v>7.5545999999999998</c:v>
                </c:pt>
                <c:pt idx="71">
                  <c:v>7.8418999999999999</c:v>
                </c:pt>
                <c:pt idx="72">
                  <c:v>7.4602000000000004</c:v>
                </c:pt>
                <c:pt idx="73">
                  <c:v>7.9348999999999998</c:v>
                </c:pt>
                <c:pt idx="74">
                  <c:v>7.8715000000000002</c:v>
                </c:pt>
                <c:pt idx="75">
                  <c:v>8.2187999999999999</c:v>
                </c:pt>
                <c:pt idx="76">
                  <c:v>8.2288999999999994</c:v>
                </c:pt>
                <c:pt idx="77">
                  <c:v>7.7135999999999996</c:v>
                </c:pt>
                <c:pt idx="78">
                  <c:v>7.4006999999999996</c:v>
                </c:pt>
                <c:pt idx="79">
                  <c:v>7.2728000000000002</c:v>
                </c:pt>
                <c:pt idx="80">
                  <c:v>7.0865</c:v>
                </c:pt>
                <c:pt idx="81">
                  <c:v>6.8784000000000001</c:v>
                </c:pt>
                <c:pt idx="82">
                  <c:v>6.7153999999999998</c:v>
                </c:pt>
                <c:pt idx="83">
                  <c:v>6.9336000000000002</c:v>
                </c:pt>
                <c:pt idx="84">
                  <c:v>7.3624000000000001</c:v>
                </c:pt>
                <c:pt idx="85">
                  <c:v>7.7291999999999996</c:v>
                </c:pt>
                <c:pt idx="86">
                  <c:v>7.7668999999999997</c:v>
                </c:pt>
                <c:pt idx="87">
                  <c:v>7.2633999999999999</c:v>
                </c:pt>
                <c:pt idx="88">
                  <c:v>7.4833999999999996</c:v>
                </c:pt>
                <c:pt idx="89">
                  <c:v>7.5079000000000002</c:v>
                </c:pt>
                <c:pt idx="90">
                  <c:v>7.3402000000000003</c:v>
                </c:pt>
                <c:pt idx="91">
                  <c:v>7.3384</c:v>
                </c:pt>
                <c:pt idx="92">
                  <c:v>7.3666</c:v>
                </c:pt>
                <c:pt idx="93">
                  <c:v>6.8856999999999999</c:v>
                </c:pt>
                <c:pt idx="94">
                  <c:v>6.8243999999999998</c:v>
                </c:pt>
                <c:pt idx="95">
                  <c:v>6.9729000000000001</c:v>
                </c:pt>
                <c:pt idx="96">
                  <c:v>6.9794999999999998</c:v>
                </c:pt>
                <c:pt idx="97">
                  <c:v>6.8574999999999999</c:v>
                </c:pt>
                <c:pt idx="98">
                  <c:v>7.0960999999999999</c:v>
                </c:pt>
                <c:pt idx="99">
                  <c:v>6.7949999999999999</c:v>
                </c:pt>
                <c:pt idx="100">
                  <c:v>6.9633000000000003</c:v>
                </c:pt>
                <c:pt idx="101">
                  <c:v>7.2625999999999999</c:v>
                </c:pt>
                <c:pt idx="102">
                  <c:v>6.9463999999999997</c:v>
                </c:pt>
                <c:pt idx="103">
                  <c:v>7.6212</c:v>
                </c:pt>
                <c:pt idx="104">
                  <c:v>7.3681999999999999</c:v>
                </c:pt>
                <c:pt idx="105">
                  <c:v>7.7461000000000002</c:v>
                </c:pt>
                <c:pt idx="106">
                  <c:v>7.9549000000000003</c:v>
                </c:pt>
                <c:pt idx="107">
                  <c:v>8.1706000000000003</c:v>
                </c:pt>
                <c:pt idx="108">
                  <c:v>7.4154999999999998</c:v>
                </c:pt>
                <c:pt idx="109">
                  <c:v>7.6753999999999998</c:v>
                </c:pt>
                <c:pt idx="110">
                  <c:v>8.1334</c:v>
                </c:pt>
                <c:pt idx="111">
                  <c:v>8.0968</c:v>
                </c:pt>
                <c:pt idx="112">
                  <c:v>8.3604000000000003</c:v>
                </c:pt>
                <c:pt idx="113">
                  <c:v>8.7673000000000005</c:v>
                </c:pt>
                <c:pt idx="114">
                  <c:v>8.5137</c:v>
                </c:pt>
                <c:pt idx="115">
                  <c:v>8.1547999999999998</c:v>
                </c:pt>
                <c:pt idx="116">
                  <c:v>9.5510000000000002</c:v>
                </c:pt>
                <c:pt idx="117">
                  <c:v>9.8762000000000008</c:v>
                </c:pt>
                <c:pt idx="118">
                  <c:v>9.7483000000000004</c:v>
                </c:pt>
                <c:pt idx="119">
                  <c:v>9.0722000000000005</c:v>
                </c:pt>
                <c:pt idx="120">
                  <c:v>8.2475000000000005</c:v>
                </c:pt>
                <c:pt idx="121">
                  <c:v>8.3946000000000005</c:v>
                </c:pt>
                <c:pt idx="122">
                  <c:v>8.5860000000000003</c:v>
                </c:pt>
                <c:pt idx="123">
                  <c:v>9.1275999999999993</c:v>
                </c:pt>
                <c:pt idx="124">
                  <c:v>9.0292999999999992</c:v>
                </c:pt>
                <c:pt idx="125">
                  <c:v>9.0884999999999998</c:v>
                </c:pt>
                <c:pt idx="126">
                  <c:v>9.3146000000000004</c:v>
                </c:pt>
                <c:pt idx="127">
                  <c:v>9.2584</c:v>
                </c:pt>
                <c:pt idx="128">
                  <c:v>8.7861999999999991</c:v>
                </c:pt>
                <c:pt idx="129">
                  <c:v>10.714399999999999</c:v>
                </c:pt>
                <c:pt idx="130">
                  <c:v>10.112299999999999</c:v>
                </c:pt>
                <c:pt idx="131">
                  <c:v>9.8346</c:v>
                </c:pt>
                <c:pt idx="132">
                  <c:v>11.0533</c:v>
                </c:pt>
                <c:pt idx="133">
                  <c:v>11.490399999999999</c:v>
                </c:pt>
                <c:pt idx="134">
                  <c:v>11.4115</c:v>
                </c:pt>
                <c:pt idx="135">
                  <c:v>10.889900000000001</c:v>
                </c:pt>
                <c:pt idx="136">
                  <c:v>10.770799999999999</c:v>
                </c:pt>
                <c:pt idx="137">
                  <c:v>10.601699999999999</c:v>
                </c:pt>
                <c:pt idx="138">
                  <c:v>11.195</c:v>
                </c:pt>
                <c:pt idx="139">
                  <c:v>10.8988</c:v>
                </c:pt>
                <c:pt idx="140">
                  <c:v>11.3592</c:v>
                </c:pt>
                <c:pt idx="141">
                  <c:v>10.845599999999999</c:v>
                </c:pt>
                <c:pt idx="142">
                  <c:v>12.554500000000001</c:v>
                </c:pt>
                <c:pt idx="143">
                  <c:v>12.120799999999999</c:v>
                </c:pt>
                <c:pt idx="144">
                  <c:v>11.6038</c:v>
                </c:pt>
                <c:pt idx="145">
                  <c:v>12.2349</c:v>
                </c:pt>
                <c:pt idx="146">
                  <c:v>11.907999999999999</c:v>
                </c:pt>
                <c:pt idx="147">
                  <c:v>12.025700000000001</c:v>
                </c:pt>
                <c:pt idx="148">
                  <c:v>11.206300000000001</c:v>
                </c:pt>
                <c:pt idx="149">
                  <c:v>11.536799999999999</c:v>
                </c:pt>
                <c:pt idx="150">
                  <c:v>10.694699999999999</c:v>
                </c:pt>
                <c:pt idx="151">
                  <c:v>10.9826</c:v>
                </c:pt>
                <c:pt idx="152">
                  <c:v>10.0083</c:v>
                </c:pt>
                <c:pt idx="153">
                  <c:v>10.1151</c:v>
                </c:pt>
                <c:pt idx="154">
                  <c:v>9.6342999999999996</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CATTERPILLAR INC</c:v>
                </c:pt>
              </c:strCache>
            </c:strRef>
          </c:tx>
          <c:spPr>
            <a:ln w="28575" cap="rnd">
              <a:solidFill>
                <a:schemeClr val="accent3"/>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Data'!$L$5:$L$159</c:f>
              <c:numCache>
                <c:formatCode>0.0</c:formatCode>
                <c:ptCount val="155"/>
                <c:pt idx="0">
                  <c:v>22.3689</c:v>
                </c:pt>
                <c:pt idx="1">
                  <c:v>22.3689</c:v>
                </c:pt>
                <c:pt idx="2">
                  <c:v>21.790199999999999</c:v>
                </c:pt>
                <c:pt idx="3">
                  <c:v>22.5519</c:v>
                </c:pt>
                <c:pt idx="4">
                  <c:v>21.6694</c:v>
                </c:pt>
                <c:pt idx="5">
                  <c:v>21.649100000000001</c:v>
                </c:pt>
                <c:pt idx="6">
                  <c:v>21.6294</c:v>
                </c:pt>
                <c:pt idx="7">
                  <c:v>22.713200000000001</c:v>
                </c:pt>
                <c:pt idx="8">
                  <c:v>22.272400000000001</c:v>
                </c:pt>
                <c:pt idx="9">
                  <c:v>21.678699999999999</c:v>
                </c:pt>
                <c:pt idx="10">
                  <c:v>21.1736</c:v>
                </c:pt>
                <c:pt idx="11">
                  <c:v>20.630700000000001</c:v>
                </c:pt>
                <c:pt idx="12">
                  <c:v>18.247399999999999</c:v>
                </c:pt>
                <c:pt idx="13">
                  <c:v>17.226700000000001</c:v>
                </c:pt>
                <c:pt idx="14">
                  <c:v>17.247800000000002</c:v>
                </c:pt>
                <c:pt idx="15">
                  <c:v>16.674399999999999</c:v>
                </c:pt>
                <c:pt idx="16">
                  <c:v>16.8096</c:v>
                </c:pt>
                <c:pt idx="17">
                  <c:v>16.494199999999999</c:v>
                </c:pt>
                <c:pt idx="18">
                  <c:v>16.715</c:v>
                </c:pt>
                <c:pt idx="19">
                  <c:v>15.4937</c:v>
                </c:pt>
                <c:pt idx="20">
                  <c:v>15.002000000000001</c:v>
                </c:pt>
                <c:pt idx="21">
                  <c:v>14.662699999999999</c:v>
                </c:pt>
                <c:pt idx="22">
                  <c:v>14.0602</c:v>
                </c:pt>
                <c:pt idx="23">
                  <c:v>13.8169</c:v>
                </c:pt>
                <c:pt idx="24">
                  <c:v>14.610099999999999</c:v>
                </c:pt>
                <c:pt idx="25">
                  <c:v>15.231199999999999</c:v>
                </c:pt>
                <c:pt idx="26">
                  <c:v>15.0943</c:v>
                </c:pt>
                <c:pt idx="27">
                  <c:v>14.962300000000001</c:v>
                </c:pt>
                <c:pt idx="28">
                  <c:v>15.308</c:v>
                </c:pt>
                <c:pt idx="29">
                  <c:v>15.262700000000001</c:v>
                </c:pt>
                <c:pt idx="30">
                  <c:v>15.673400000000001</c:v>
                </c:pt>
                <c:pt idx="31">
                  <c:v>15.877700000000001</c:v>
                </c:pt>
                <c:pt idx="32">
                  <c:v>16.405100000000001</c:v>
                </c:pt>
                <c:pt idx="33">
                  <c:v>16.832899999999999</c:v>
                </c:pt>
                <c:pt idx="34">
                  <c:v>18.243400000000001</c:v>
                </c:pt>
                <c:pt idx="35">
                  <c:v>17.082999999999998</c:v>
                </c:pt>
                <c:pt idx="36">
                  <c:v>15.756399999999999</c:v>
                </c:pt>
                <c:pt idx="37">
                  <c:v>16.150099999999998</c:v>
                </c:pt>
                <c:pt idx="38">
                  <c:v>16.4131</c:v>
                </c:pt>
                <c:pt idx="39">
                  <c:v>16.1113</c:v>
                </c:pt>
                <c:pt idx="40">
                  <c:v>17.023800000000001</c:v>
                </c:pt>
                <c:pt idx="41">
                  <c:v>17.6587</c:v>
                </c:pt>
                <c:pt idx="42">
                  <c:v>18.156300000000002</c:v>
                </c:pt>
                <c:pt idx="43">
                  <c:v>17.4177</c:v>
                </c:pt>
                <c:pt idx="44">
                  <c:v>17.318000000000001</c:v>
                </c:pt>
                <c:pt idx="45">
                  <c:v>18.2502</c:v>
                </c:pt>
                <c:pt idx="46">
                  <c:v>16.819099999999999</c:v>
                </c:pt>
                <c:pt idx="47">
                  <c:v>17.304600000000001</c:v>
                </c:pt>
                <c:pt idx="48">
                  <c:v>17.636800000000001</c:v>
                </c:pt>
                <c:pt idx="49">
                  <c:v>17.732900000000001</c:v>
                </c:pt>
                <c:pt idx="50">
                  <c:v>17.4848</c:v>
                </c:pt>
                <c:pt idx="51">
                  <c:v>17.2102</c:v>
                </c:pt>
                <c:pt idx="52">
                  <c:v>16.433299999999999</c:v>
                </c:pt>
                <c:pt idx="53">
                  <c:v>14.948399999999999</c:v>
                </c:pt>
                <c:pt idx="54">
                  <c:v>14.683400000000001</c:v>
                </c:pt>
                <c:pt idx="55">
                  <c:v>15.4793</c:v>
                </c:pt>
                <c:pt idx="56">
                  <c:v>15.0708</c:v>
                </c:pt>
                <c:pt idx="57">
                  <c:v>15.215199999999999</c:v>
                </c:pt>
                <c:pt idx="58">
                  <c:v>14.7979</c:v>
                </c:pt>
                <c:pt idx="59">
                  <c:v>14.5936</c:v>
                </c:pt>
                <c:pt idx="60">
                  <c:v>15.1562</c:v>
                </c:pt>
                <c:pt idx="61">
                  <c:v>15.672599999999999</c:v>
                </c:pt>
                <c:pt idx="62">
                  <c:v>14.576499999999999</c:v>
                </c:pt>
                <c:pt idx="63">
                  <c:v>14.4541</c:v>
                </c:pt>
                <c:pt idx="64">
                  <c:v>14.8363</c:v>
                </c:pt>
                <c:pt idx="65">
                  <c:v>14.912000000000001</c:v>
                </c:pt>
                <c:pt idx="66">
                  <c:v>14.7865</c:v>
                </c:pt>
                <c:pt idx="67">
                  <c:v>14.873900000000001</c:v>
                </c:pt>
                <c:pt idx="68">
                  <c:v>15.3705</c:v>
                </c:pt>
                <c:pt idx="69">
                  <c:v>15.8893</c:v>
                </c:pt>
                <c:pt idx="70">
                  <c:v>15.8902</c:v>
                </c:pt>
                <c:pt idx="71">
                  <c:v>15.9382</c:v>
                </c:pt>
                <c:pt idx="72">
                  <c:v>15.197900000000001</c:v>
                </c:pt>
                <c:pt idx="73">
                  <c:v>15.3139</c:v>
                </c:pt>
                <c:pt idx="74">
                  <c:v>16.216799999999999</c:v>
                </c:pt>
                <c:pt idx="75">
                  <c:v>16.853400000000001</c:v>
                </c:pt>
                <c:pt idx="76">
                  <c:v>16.754200000000001</c:v>
                </c:pt>
                <c:pt idx="77">
                  <c:v>16.4709</c:v>
                </c:pt>
                <c:pt idx="78">
                  <c:v>16.386800000000001</c:v>
                </c:pt>
                <c:pt idx="79">
                  <c:v>15.3691</c:v>
                </c:pt>
                <c:pt idx="80">
                  <c:v>15.2927</c:v>
                </c:pt>
                <c:pt idx="81">
                  <c:v>15.0113</c:v>
                </c:pt>
                <c:pt idx="82">
                  <c:v>14.4778</c:v>
                </c:pt>
                <c:pt idx="83">
                  <c:v>14.521800000000001</c:v>
                </c:pt>
                <c:pt idx="84">
                  <c:v>14.473699999999999</c:v>
                </c:pt>
                <c:pt idx="85">
                  <c:v>13.830500000000001</c:v>
                </c:pt>
                <c:pt idx="86">
                  <c:v>13.519500000000001</c:v>
                </c:pt>
                <c:pt idx="87">
                  <c:v>12.6713</c:v>
                </c:pt>
                <c:pt idx="88">
                  <c:v>13.128</c:v>
                </c:pt>
                <c:pt idx="89">
                  <c:v>12.860099999999999</c:v>
                </c:pt>
                <c:pt idx="90">
                  <c:v>14.062200000000001</c:v>
                </c:pt>
                <c:pt idx="91">
                  <c:v>13.739699999999999</c:v>
                </c:pt>
                <c:pt idx="92">
                  <c:v>13.5076</c:v>
                </c:pt>
                <c:pt idx="93">
                  <c:v>12.1927</c:v>
                </c:pt>
                <c:pt idx="94">
                  <c:v>11.8758</c:v>
                </c:pt>
                <c:pt idx="95">
                  <c:v>11.7166</c:v>
                </c:pt>
                <c:pt idx="96">
                  <c:v>11.7569</c:v>
                </c:pt>
                <c:pt idx="97">
                  <c:v>11.0909</c:v>
                </c:pt>
                <c:pt idx="98">
                  <c:v>11.3263</c:v>
                </c:pt>
                <c:pt idx="99">
                  <c:v>11.4831</c:v>
                </c:pt>
                <c:pt idx="100">
                  <c:v>11.9786</c:v>
                </c:pt>
                <c:pt idx="101">
                  <c:v>12.7705</c:v>
                </c:pt>
                <c:pt idx="102">
                  <c:v>12.353199999999999</c:v>
                </c:pt>
                <c:pt idx="103">
                  <c:v>14.138999999999999</c:v>
                </c:pt>
                <c:pt idx="104">
                  <c:v>13.923500000000001</c:v>
                </c:pt>
                <c:pt idx="105">
                  <c:v>14.4625</c:v>
                </c:pt>
                <c:pt idx="106">
                  <c:v>14.4046</c:v>
                </c:pt>
                <c:pt idx="107">
                  <c:v>14.3893</c:v>
                </c:pt>
                <c:pt idx="108">
                  <c:v>13.783799999999999</c:v>
                </c:pt>
                <c:pt idx="109">
                  <c:v>14.084199999999999</c:v>
                </c:pt>
                <c:pt idx="110">
                  <c:v>14.526999999999999</c:v>
                </c:pt>
                <c:pt idx="111">
                  <c:v>14.4057</c:v>
                </c:pt>
                <c:pt idx="112">
                  <c:v>13.220800000000001</c:v>
                </c:pt>
                <c:pt idx="113">
                  <c:v>13.3636</c:v>
                </c:pt>
                <c:pt idx="114">
                  <c:v>13.0959</c:v>
                </c:pt>
                <c:pt idx="115">
                  <c:v>12.313800000000001</c:v>
                </c:pt>
                <c:pt idx="116">
                  <c:v>14.309699999999999</c:v>
                </c:pt>
                <c:pt idx="117">
                  <c:v>13.9055</c:v>
                </c:pt>
                <c:pt idx="118">
                  <c:v>14.5107</c:v>
                </c:pt>
                <c:pt idx="119">
                  <c:v>13.7361</c:v>
                </c:pt>
                <c:pt idx="120">
                  <c:v>12.2492</c:v>
                </c:pt>
                <c:pt idx="121">
                  <c:v>12.3025</c:v>
                </c:pt>
                <c:pt idx="122">
                  <c:v>12.5802</c:v>
                </c:pt>
                <c:pt idx="123">
                  <c:v>12.305400000000001</c:v>
                </c:pt>
                <c:pt idx="124">
                  <c:v>12.325900000000001</c:v>
                </c:pt>
                <c:pt idx="125">
                  <c:v>12.5573</c:v>
                </c:pt>
                <c:pt idx="126">
                  <c:v>13.022500000000001</c:v>
                </c:pt>
                <c:pt idx="127">
                  <c:v>12.987399999999999</c:v>
                </c:pt>
                <c:pt idx="128">
                  <c:v>12.255000000000001</c:v>
                </c:pt>
                <c:pt idx="129">
                  <c:v>15.844099999999999</c:v>
                </c:pt>
                <c:pt idx="130">
                  <c:v>15.484299999999999</c:v>
                </c:pt>
                <c:pt idx="131">
                  <c:v>15.4328</c:v>
                </c:pt>
                <c:pt idx="132">
                  <c:v>17.002800000000001</c:v>
                </c:pt>
                <c:pt idx="133">
                  <c:v>17.794499999999999</c:v>
                </c:pt>
                <c:pt idx="134">
                  <c:v>16.790400000000002</c:v>
                </c:pt>
                <c:pt idx="135">
                  <c:v>17.395099999999999</c:v>
                </c:pt>
                <c:pt idx="136">
                  <c:v>17.3782</c:v>
                </c:pt>
                <c:pt idx="137">
                  <c:v>17.280799999999999</c:v>
                </c:pt>
                <c:pt idx="138">
                  <c:v>18.495899999999999</c:v>
                </c:pt>
                <c:pt idx="139">
                  <c:v>17.340800000000002</c:v>
                </c:pt>
                <c:pt idx="140">
                  <c:v>17.9984</c:v>
                </c:pt>
                <c:pt idx="141">
                  <c:v>16.954799999999999</c:v>
                </c:pt>
                <c:pt idx="142">
                  <c:v>18.277000000000001</c:v>
                </c:pt>
                <c:pt idx="143">
                  <c:v>18.0746</c:v>
                </c:pt>
                <c:pt idx="144">
                  <c:v>17.551100000000002</c:v>
                </c:pt>
                <c:pt idx="145">
                  <c:v>17.570900000000002</c:v>
                </c:pt>
                <c:pt idx="146">
                  <c:v>17.933800000000002</c:v>
                </c:pt>
                <c:pt idx="147">
                  <c:v>17.9346</c:v>
                </c:pt>
                <c:pt idx="148">
                  <c:v>17.534300000000002</c:v>
                </c:pt>
                <c:pt idx="149">
                  <c:v>17.6873</c:v>
                </c:pt>
                <c:pt idx="150">
                  <c:v>16.683700000000002</c:v>
                </c:pt>
                <c:pt idx="151">
                  <c:v>16.1419</c:v>
                </c:pt>
                <c:pt idx="152">
                  <c:v>13.737399999999999</c:v>
                </c:pt>
                <c:pt idx="153">
                  <c:v>13.9353</c:v>
                </c:pt>
                <c:pt idx="154">
                  <c:v>13.6058</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CNH INDUSTRIAL N</c:v>
                </c:pt>
              </c:strCache>
            </c:strRef>
          </c:tx>
          <c:spPr>
            <a:ln w="28575" cap="rnd">
              <a:solidFill>
                <a:schemeClr val="accent4"/>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Data'!$M$5:$M$159</c:f>
              <c:numCache>
                <c:formatCode>0.0</c:formatCode>
                <c:ptCount val="155"/>
                <c:pt idx="0">
                  <c:v>16.909300000000002</c:v>
                </c:pt>
                <c:pt idx="1">
                  <c:v>16.909300000000002</c:v>
                </c:pt>
                <c:pt idx="2">
                  <c:v>17.1203</c:v>
                </c:pt>
                <c:pt idx="3">
                  <c:v>17.979299999999999</c:v>
                </c:pt>
                <c:pt idx="4">
                  <c:v>18.0396</c:v>
                </c:pt>
                <c:pt idx="5">
                  <c:v>18.3109</c:v>
                </c:pt>
                <c:pt idx="6">
                  <c:v>18.747900000000001</c:v>
                </c:pt>
                <c:pt idx="7">
                  <c:v>19.531600000000001</c:v>
                </c:pt>
                <c:pt idx="8">
                  <c:v>19.9084</c:v>
                </c:pt>
                <c:pt idx="9">
                  <c:v>19.546700000000001</c:v>
                </c:pt>
                <c:pt idx="10">
                  <c:v>20.797499999999999</c:v>
                </c:pt>
                <c:pt idx="11">
                  <c:v>20.631799999999998</c:v>
                </c:pt>
                <c:pt idx="12">
                  <c:v>14.461399999999999</c:v>
                </c:pt>
                <c:pt idx="13">
                  <c:v>14.338100000000001</c:v>
                </c:pt>
                <c:pt idx="14">
                  <c:v>14.3269</c:v>
                </c:pt>
                <c:pt idx="15">
                  <c:v>14.069000000000001</c:v>
                </c:pt>
                <c:pt idx="16">
                  <c:v>14.1812</c:v>
                </c:pt>
                <c:pt idx="17">
                  <c:v>14.528700000000001</c:v>
                </c:pt>
                <c:pt idx="18">
                  <c:v>15.0219</c:v>
                </c:pt>
                <c:pt idx="19">
                  <c:v>14.1363</c:v>
                </c:pt>
                <c:pt idx="20">
                  <c:v>13.912100000000001</c:v>
                </c:pt>
                <c:pt idx="21">
                  <c:v>13.228300000000001</c:v>
                </c:pt>
                <c:pt idx="22">
                  <c:v>12.465999999999999</c:v>
                </c:pt>
                <c:pt idx="23">
                  <c:v>12.5444</c:v>
                </c:pt>
                <c:pt idx="24">
                  <c:v>12.6341</c:v>
                </c:pt>
                <c:pt idx="25">
                  <c:v>11.615500000000001</c:v>
                </c:pt>
                <c:pt idx="26">
                  <c:v>11.797700000000001</c:v>
                </c:pt>
                <c:pt idx="27">
                  <c:v>11.433299999999999</c:v>
                </c:pt>
                <c:pt idx="28">
                  <c:v>11.579000000000001</c:v>
                </c:pt>
                <c:pt idx="29">
                  <c:v>11.606400000000001</c:v>
                </c:pt>
                <c:pt idx="30">
                  <c:v>12.1257</c:v>
                </c:pt>
                <c:pt idx="31">
                  <c:v>11.3513</c:v>
                </c:pt>
                <c:pt idx="32">
                  <c:v>11.0962</c:v>
                </c:pt>
                <c:pt idx="33">
                  <c:v>12.0528</c:v>
                </c:pt>
                <c:pt idx="34">
                  <c:v>11.6884</c:v>
                </c:pt>
                <c:pt idx="35">
                  <c:v>10.9778</c:v>
                </c:pt>
                <c:pt idx="36">
                  <c:v>10.3127</c:v>
                </c:pt>
                <c:pt idx="37">
                  <c:v>10.103199999999999</c:v>
                </c:pt>
                <c:pt idx="38">
                  <c:v>8.4728999999999992</c:v>
                </c:pt>
                <c:pt idx="39">
                  <c:v>8.2698999999999998</c:v>
                </c:pt>
                <c:pt idx="40">
                  <c:v>8.8338000000000001</c:v>
                </c:pt>
                <c:pt idx="41">
                  <c:v>8.9765999999999995</c:v>
                </c:pt>
                <c:pt idx="42">
                  <c:v>9.4427000000000003</c:v>
                </c:pt>
                <c:pt idx="43">
                  <c:v>8.9616000000000007</c:v>
                </c:pt>
                <c:pt idx="44">
                  <c:v>8.0143000000000004</c:v>
                </c:pt>
                <c:pt idx="45">
                  <c:v>8.7436000000000007</c:v>
                </c:pt>
                <c:pt idx="46">
                  <c:v>8.4428000000000001</c:v>
                </c:pt>
                <c:pt idx="47">
                  <c:v>8.4052000000000007</c:v>
                </c:pt>
                <c:pt idx="48">
                  <c:v>8.3451000000000004</c:v>
                </c:pt>
                <c:pt idx="49">
                  <c:v>8.3600999999999992</c:v>
                </c:pt>
                <c:pt idx="50">
                  <c:v>8.1797000000000004</c:v>
                </c:pt>
                <c:pt idx="51">
                  <c:v>7.4116999999999997</c:v>
                </c:pt>
                <c:pt idx="52">
                  <c:v>7.2268999999999997</c:v>
                </c:pt>
                <c:pt idx="53">
                  <c:v>6.6395</c:v>
                </c:pt>
                <c:pt idx="54">
                  <c:v>6.6856999999999998</c:v>
                </c:pt>
                <c:pt idx="55">
                  <c:v>6.6725000000000003</c:v>
                </c:pt>
                <c:pt idx="56">
                  <c:v>6.6329000000000002</c:v>
                </c:pt>
                <c:pt idx="57">
                  <c:v>6.6131000000000002</c:v>
                </c:pt>
                <c:pt idx="58">
                  <c:v>6.5010000000000003</c:v>
                </c:pt>
                <c:pt idx="59">
                  <c:v>6.6527000000000003</c:v>
                </c:pt>
                <c:pt idx="60">
                  <c:v>6.7583000000000002</c:v>
                </c:pt>
                <c:pt idx="61">
                  <c:v>6.9100999999999999</c:v>
                </c:pt>
                <c:pt idx="62">
                  <c:v>6.6131000000000002</c:v>
                </c:pt>
                <c:pt idx="63">
                  <c:v>6.3689999999999998</c:v>
                </c:pt>
                <c:pt idx="64">
                  <c:v>6.1501000000000001</c:v>
                </c:pt>
                <c:pt idx="65">
                  <c:v>6.1440000000000001</c:v>
                </c:pt>
                <c:pt idx="66">
                  <c:v>6.2767999999999997</c:v>
                </c:pt>
                <c:pt idx="67">
                  <c:v>6.2225000000000001</c:v>
                </c:pt>
                <c:pt idx="68">
                  <c:v>6.3975</c:v>
                </c:pt>
                <c:pt idx="69">
                  <c:v>6.4458000000000002</c:v>
                </c:pt>
                <c:pt idx="70">
                  <c:v>6.9527999999999999</c:v>
                </c:pt>
                <c:pt idx="71">
                  <c:v>7.1277999999999997</c:v>
                </c:pt>
                <c:pt idx="72">
                  <c:v>7.0494000000000003</c:v>
                </c:pt>
                <c:pt idx="73">
                  <c:v>6.8682999999999996</c:v>
                </c:pt>
                <c:pt idx="74">
                  <c:v>7.4839000000000002</c:v>
                </c:pt>
                <c:pt idx="75">
                  <c:v>7.8219000000000003</c:v>
                </c:pt>
                <c:pt idx="76">
                  <c:v>7.7374000000000001</c:v>
                </c:pt>
                <c:pt idx="77">
                  <c:v>7.5998000000000001</c:v>
                </c:pt>
                <c:pt idx="78">
                  <c:v>7.5353000000000003</c:v>
                </c:pt>
                <c:pt idx="79">
                  <c:v>7.2948000000000004</c:v>
                </c:pt>
                <c:pt idx="80">
                  <c:v>6.9253999999999998</c:v>
                </c:pt>
                <c:pt idx="81">
                  <c:v>7.0075000000000003</c:v>
                </c:pt>
                <c:pt idx="82">
                  <c:v>6.9958</c:v>
                </c:pt>
                <c:pt idx="83">
                  <c:v>7.2420999999999998</c:v>
                </c:pt>
                <c:pt idx="84">
                  <c:v>7.1424000000000003</c:v>
                </c:pt>
                <c:pt idx="85">
                  <c:v>7.2126999999999999</c:v>
                </c:pt>
                <c:pt idx="86">
                  <c:v>7.0015999999999998</c:v>
                </c:pt>
                <c:pt idx="87">
                  <c:v>6.7847</c:v>
                </c:pt>
                <c:pt idx="88">
                  <c:v>6.8140000000000001</c:v>
                </c:pt>
                <c:pt idx="89">
                  <c:v>6.9782000000000002</c:v>
                </c:pt>
                <c:pt idx="90">
                  <c:v>7.4029999999999996</c:v>
                </c:pt>
                <c:pt idx="91">
                  <c:v>7.2927</c:v>
                </c:pt>
                <c:pt idx="92">
                  <c:v>7.2008000000000001</c:v>
                </c:pt>
                <c:pt idx="93">
                  <c:v>6.6920999999999999</c:v>
                </c:pt>
                <c:pt idx="94">
                  <c:v>6.5818000000000003</c:v>
                </c:pt>
                <c:pt idx="95">
                  <c:v>6.2693000000000003</c:v>
                </c:pt>
                <c:pt idx="96">
                  <c:v>6.1406000000000001</c:v>
                </c:pt>
                <c:pt idx="97">
                  <c:v>6.2202000000000002</c:v>
                </c:pt>
                <c:pt idx="98">
                  <c:v>6.9005000000000001</c:v>
                </c:pt>
                <c:pt idx="99">
                  <c:v>6.8085000000000004</c:v>
                </c:pt>
                <c:pt idx="100">
                  <c:v>6.9984999999999999</c:v>
                </c:pt>
                <c:pt idx="101">
                  <c:v>7.2865000000000002</c:v>
                </c:pt>
                <c:pt idx="102">
                  <c:v>7.1516999999999999</c:v>
                </c:pt>
                <c:pt idx="103">
                  <c:v>7.5622999999999996</c:v>
                </c:pt>
                <c:pt idx="104">
                  <c:v>7.6917999999999997</c:v>
                </c:pt>
                <c:pt idx="105">
                  <c:v>8.3512000000000004</c:v>
                </c:pt>
                <c:pt idx="106">
                  <c:v>8.4314</c:v>
                </c:pt>
                <c:pt idx="107">
                  <c:v>8.4930000000000003</c:v>
                </c:pt>
                <c:pt idx="108">
                  <c:v>7.9260000000000002</c:v>
                </c:pt>
                <c:pt idx="109">
                  <c:v>8.0923999999999996</c:v>
                </c:pt>
                <c:pt idx="110">
                  <c:v>8.6163000000000007</c:v>
                </c:pt>
                <c:pt idx="111">
                  <c:v>8.6593999999999998</c:v>
                </c:pt>
                <c:pt idx="112">
                  <c:v>9.4175000000000004</c:v>
                </c:pt>
                <c:pt idx="113">
                  <c:v>9.5838999999999999</c:v>
                </c:pt>
                <c:pt idx="114">
                  <c:v>9.2263999999999999</c:v>
                </c:pt>
                <c:pt idx="115">
                  <c:v>8.6902000000000008</c:v>
                </c:pt>
                <c:pt idx="116">
                  <c:v>9.4177</c:v>
                </c:pt>
                <c:pt idx="117">
                  <c:v>9.5844000000000005</c:v>
                </c:pt>
                <c:pt idx="118">
                  <c:v>9.7042999999999999</c:v>
                </c:pt>
                <c:pt idx="119">
                  <c:v>9.2378</c:v>
                </c:pt>
                <c:pt idx="120">
                  <c:v>8.7578999999999994</c:v>
                </c:pt>
                <c:pt idx="121">
                  <c:v>8.8644999999999996</c:v>
                </c:pt>
                <c:pt idx="122">
                  <c:v>9.3376999999999999</c:v>
                </c:pt>
                <c:pt idx="123">
                  <c:v>9.2243999999999993</c:v>
                </c:pt>
                <c:pt idx="124">
                  <c:v>9.0845000000000002</c:v>
                </c:pt>
                <c:pt idx="125">
                  <c:v>9.3110999999999997</c:v>
                </c:pt>
                <c:pt idx="126">
                  <c:v>9.7309999999999999</c:v>
                </c:pt>
                <c:pt idx="127">
                  <c:v>9.7576000000000001</c:v>
                </c:pt>
                <c:pt idx="128">
                  <c:v>9.2378</c:v>
                </c:pt>
                <c:pt idx="129">
                  <c:v>10.8177</c:v>
                </c:pt>
                <c:pt idx="130">
                  <c:v>10.3285</c:v>
                </c:pt>
                <c:pt idx="131">
                  <c:v>10.0946</c:v>
                </c:pt>
                <c:pt idx="132">
                  <c:v>11.4557</c:v>
                </c:pt>
                <c:pt idx="133">
                  <c:v>11.845599999999999</c:v>
                </c:pt>
                <c:pt idx="134">
                  <c:v>11.923500000000001</c:v>
                </c:pt>
                <c:pt idx="135">
                  <c:v>11.561999999999999</c:v>
                </c:pt>
                <c:pt idx="136">
                  <c:v>11.3423</c:v>
                </c:pt>
                <c:pt idx="137">
                  <c:v>11.569100000000001</c:v>
                </c:pt>
                <c:pt idx="138">
                  <c:v>12.363099999999999</c:v>
                </c:pt>
                <c:pt idx="139">
                  <c:v>11.873900000000001</c:v>
                </c:pt>
                <c:pt idx="140">
                  <c:v>12.2142</c:v>
                </c:pt>
                <c:pt idx="141">
                  <c:v>11.469900000000001</c:v>
                </c:pt>
                <c:pt idx="142">
                  <c:v>11.532</c:v>
                </c:pt>
                <c:pt idx="143">
                  <c:v>11.347099999999999</c:v>
                </c:pt>
                <c:pt idx="144">
                  <c:v>11.325699999999999</c:v>
                </c:pt>
                <c:pt idx="145">
                  <c:v>11.532</c:v>
                </c:pt>
                <c:pt idx="146">
                  <c:v>11.6387</c:v>
                </c:pt>
                <c:pt idx="147">
                  <c:v>11.432399999999999</c:v>
                </c:pt>
                <c:pt idx="148">
                  <c:v>10.756600000000001</c:v>
                </c:pt>
                <c:pt idx="149">
                  <c:v>10.500500000000001</c:v>
                </c:pt>
                <c:pt idx="150">
                  <c:v>9.0563000000000002</c:v>
                </c:pt>
                <c:pt idx="151">
                  <c:v>9.1630000000000003</c:v>
                </c:pt>
                <c:pt idx="152">
                  <c:v>8.7077000000000009</c:v>
                </c:pt>
                <c:pt idx="153">
                  <c:v>8.6935000000000002</c:v>
                </c:pt>
                <c:pt idx="154">
                  <c:v>8.5868000000000002</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TEREX CORP</c:v>
                </c:pt>
              </c:strCache>
            </c:strRef>
          </c:tx>
          <c:spPr>
            <a:ln w="28575" cap="rnd">
              <a:solidFill>
                <a:schemeClr val="accent5"/>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Data'!$N$5:$N$159</c:f>
              <c:numCache>
                <c:formatCode>0.0</c:formatCode>
                <c:ptCount val="155"/>
                <c:pt idx="0">
                  <c:v>12.0741</c:v>
                </c:pt>
                <c:pt idx="1">
                  <c:v>12.0741</c:v>
                </c:pt>
                <c:pt idx="2">
                  <c:v>11.7155</c:v>
                </c:pt>
                <c:pt idx="3">
                  <c:v>11.831300000000001</c:v>
                </c:pt>
                <c:pt idx="4">
                  <c:v>10.9756</c:v>
                </c:pt>
                <c:pt idx="5">
                  <c:v>11.751799999999999</c:v>
                </c:pt>
                <c:pt idx="6">
                  <c:v>11.0029</c:v>
                </c:pt>
                <c:pt idx="7">
                  <c:v>11.542999999999999</c:v>
                </c:pt>
                <c:pt idx="8">
                  <c:v>11.8018</c:v>
                </c:pt>
                <c:pt idx="9">
                  <c:v>11.4795</c:v>
                </c:pt>
                <c:pt idx="10">
                  <c:v>12.1195</c:v>
                </c:pt>
                <c:pt idx="11">
                  <c:v>11.3002</c:v>
                </c:pt>
                <c:pt idx="12">
                  <c:v>9.6456999999999997</c:v>
                </c:pt>
                <c:pt idx="13">
                  <c:v>9.2048000000000005</c:v>
                </c:pt>
                <c:pt idx="14">
                  <c:v>9.5729000000000006</c:v>
                </c:pt>
                <c:pt idx="15">
                  <c:v>9.2574000000000005</c:v>
                </c:pt>
                <c:pt idx="16">
                  <c:v>9.2918000000000003</c:v>
                </c:pt>
                <c:pt idx="17">
                  <c:v>9.2714999999999996</c:v>
                </c:pt>
                <c:pt idx="18">
                  <c:v>9.4859000000000009</c:v>
                </c:pt>
                <c:pt idx="19">
                  <c:v>8.2379999999999995</c:v>
                </c:pt>
                <c:pt idx="20">
                  <c:v>7.3621999999999996</c:v>
                </c:pt>
                <c:pt idx="21">
                  <c:v>7.3480999999999996</c:v>
                </c:pt>
                <c:pt idx="22">
                  <c:v>6.9779</c:v>
                </c:pt>
                <c:pt idx="23">
                  <c:v>6.9131999999999998</c:v>
                </c:pt>
                <c:pt idx="24">
                  <c:v>7.2469000000000001</c:v>
                </c:pt>
                <c:pt idx="25">
                  <c:v>6.9058999999999999</c:v>
                </c:pt>
                <c:pt idx="26">
                  <c:v>6.7336</c:v>
                </c:pt>
                <c:pt idx="27">
                  <c:v>6.7473999999999998</c:v>
                </c:pt>
                <c:pt idx="28">
                  <c:v>6.9610000000000003</c:v>
                </c:pt>
                <c:pt idx="29">
                  <c:v>7.1246999999999998</c:v>
                </c:pt>
                <c:pt idx="30">
                  <c:v>7.8517999999999999</c:v>
                </c:pt>
                <c:pt idx="31">
                  <c:v>7.7416</c:v>
                </c:pt>
                <c:pt idx="32">
                  <c:v>8.0154999999999994</c:v>
                </c:pt>
                <c:pt idx="33">
                  <c:v>8.4376999999999995</c:v>
                </c:pt>
                <c:pt idx="34">
                  <c:v>8.4255999999999993</c:v>
                </c:pt>
                <c:pt idx="35">
                  <c:v>8.1758000000000006</c:v>
                </c:pt>
                <c:pt idx="36">
                  <c:v>7.5796000000000001</c:v>
                </c:pt>
                <c:pt idx="37">
                  <c:v>7.6708999999999996</c:v>
                </c:pt>
                <c:pt idx="38">
                  <c:v>6.6268000000000002</c:v>
                </c:pt>
                <c:pt idx="39">
                  <c:v>6.54</c:v>
                </c:pt>
                <c:pt idx="40">
                  <c:v>7.3270999999999997</c:v>
                </c:pt>
                <c:pt idx="41">
                  <c:v>7.6901999999999999</c:v>
                </c:pt>
                <c:pt idx="42">
                  <c:v>7.9275000000000002</c:v>
                </c:pt>
                <c:pt idx="43">
                  <c:v>7.6525999999999996</c:v>
                </c:pt>
                <c:pt idx="44">
                  <c:v>7.6063000000000001</c:v>
                </c:pt>
                <c:pt idx="45">
                  <c:v>8.1517999999999997</c:v>
                </c:pt>
                <c:pt idx="46">
                  <c:v>7.4819000000000004</c:v>
                </c:pt>
                <c:pt idx="47">
                  <c:v>7.6612999999999998</c:v>
                </c:pt>
                <c:pt idx="48">
                  <c:v>8.1532</c:v>
                </c:pt>
                <c:pt idx="49">
                  <c:v>7.6844999999999999</c:v>
                </c:pt>
                <c:pt idx="50">
                  <c:v>7.3632</c:v>
                </c:pt>
                <c:pt idx="51">
                  <c:v>7.0830000000000002</c:v>
                </c:pt>
                <c:pt idx="52">
                  <c:v>7.3224999999999998</c:v>
                </c:pt>
                <c:pt idx="53">
                  <c:v>6.8967000000000001</c:v>
                </c:pt>
                <c:pt idx="54">
                  <c:v>6.8627000000000002</c:v>
                </c:pt>
                <c:pt idx="55">
                  <c:v>7.6570999999999998</c:v>
                </c:pt>
                <c:pt idx="56">
                  <c:v>7.2992999999999997</c:v>
                </c:pt>
                <c:pt idx="57">
                  <c:v>7.4189999999999996</c:v>
                </c:pt>
                <c:pt idx="58">
                  <c:v>7.4870999999999999</c:v>
                </c:pt>
                <c:pt idx="59">
                  <c:v>7.9889999999999999</c:v>
                </c:pt>
                <c:pt idx="60">
                  <c:v>8.9358000000000004</c:v>
                </c:pt>
                <c:pt idx="61">
                  <c:v>7.8502000000000001</c:v>
                </c:pt>
                <c:pt idx="62">
                  <c:v>7.3876999999999997</c:v>
                </c:pt>
                <c:pt idx="63">
                  <c:v>7.2735000000000003</c:v>
                </c:pt>
                <c:pt idx="64">
                  <c:v>7.0157999999999996</c:v>
                </c:pt>
                <c:pt idx="65">
                  <c:v>7.0091999999999999</c:v>
                </c:pt>
                <c:pt idx="66">
                  <c:v>7.2243000000000004</c:v>
                </c:pt>
                <c:pt idx="67">
                  <c:v>7.5263999999999998</c:v>
                </c:pt>
                <c:pt idx="68">
                  <c:v>7.8205999999999998</c:v>
                </c:pt>
                <c:pt idx="69">
                  <c:v>7.9855</c:v>
                </c:pt>
                <c:pt idx="70">
                  <c:v>7.9591000000000003</c:v>
                </c:pt>
                <c:pt idx="71">
                  <c:v>8.0488</c:v>
                </c:pt>
                <c:pt idx="72">
                  <c:v>7.5804999999999998</c:v>
                </c:pt>
                <c:pt idx="73">
                  <c:v>7.9024000000000001</c:v>
                </c:pt>
                <c:pt idx="74">
                  <c:v>7.8852000000000002</c:v>
                </c:pt>
                <c:pt idx="75">
                  <c:v>8.4841999999999995</c:v>
                </c:pt>
                <c:pt idx="76">
                  <c:v>8.5039999999999996</c:v>
                </c:pt>
                <c:pt idx="77">
                  <c:v>8.4960000000000004</c:v>
                </c:pt>
                <c:pt idx="78">
                  <c:v>8.1516999999999999</c:v>
                </c:pt>
                <c:pt idx="79">
                  <c:v>7.6978999999999997</c:v>
                </c:pt>
                <c:pt idx="80">
                  <c:v>7.7915999999999999</c:v>
                </c:pt>
                <c:pt idx="81">
                  <c:v>7.5659999999999998</c:v>
                </c:pt>
                <c:pt idx="82">
                  <c:v>7.0053000000000001</c:v>
                </c:pt>
                <c:pt idx="83">
                  <c:v>7.5026000000000002</c:v>
                </c:pt>
                <c:pt idx="84">
                  <c:v>8.4893999999999998</c:v>
                </c:pt>
                <c:pt idx="85">
                  <c:v>8.2665000000000006</c:v>
                </c:pt>
                <c:pt idx="86">
                  <c:v>8.2032000000000007</c:v>
                </c:pt>
                <c:pt idx="87">
                  <c:v>7.4696999999999996</c:v>
                </c:pt>
                <c:pt idx="88">
                  <c:v>7.5</c:v>
                </c:pt>
                <c:pt idx="89">
                  <c:v>7.5277000000000003</c:v>
                </c:pt>
                <c:pt idx="90">
                  <c:v>8.3210999999999995</c:v>
                </c:pt>
                <c:pt idx="91">
                  <c:v>8.2188999999999997</c:v>
                </c:pt>
                <c:pt idx="92">
                  <c:v>8.2912999999999997</c:v>
                </c:pt>
                <c:pt idx="93">
                  <c:v>7.2632000000000003</c:v>
                </c:pt>
                <c:pt idx="94">
                  <c:v>7.0289999999999999</c:v>
                </c:pt>
                <c:pt idx="95">
                  <c:v>7.0914000000000001</c:v>
                </c:pt>
                <c:pt idx="96">
                  <c:v>7.0971000000000002</c:v>
                </c:pt>
                <c:pt idx="97">
                  <c:v>6.7506000000000004</c:v>
                </c:pt>
                <c:pt idx="98">
                  <c:v>6.9635999999999996</c:v>
                </c:pt>
                <c:pt idx="99">
                  <c:v>6.6569000000000003</c:v>
                </c:pt>
                <c:pt idx="100">
                  <c:v>6.8032000000000004</c:v>
                </c:pt>
                <c:pt idx="101">
                  <c:v>7.8766999999999996</c:v>
                </c:pt>
                <c:pt idx="102">
                  <c:v>7.4321999999999999</c:v>
                </c:pt>
                <c:pt idx="103">
                  <c:v>8.9459999999999997</c:v>
                </c:pt>
                <c:pt idx="104">
                  <c:v>8.7472999999999992</c:v>
                </c:pt>
                <c:pt idx="105">
                  <c:v>9.1168999999999993</c:v>
                </c:pt>
                <c:pt idx="106">
                  <c:v>9.1785999999999994</c:v>
                </c:pt>
                <c:pt idx="107">
                  <c:v>9.3356999999999992</c:v>
                </c:pt>
                <c:pt idx="108">
                  <c:v>8.4977999999999998</c:v>
                </c:pt>
                <c:pt idx="109">
                  <c:v>8.7796000000000003</c:v>
                </c:pt>
                <c:pt idx="110">
                  <c:v>9.3726000000000003</c:v>
                </c:pt>
                <c:pt idx="111">
                  <c:v>9.7545999999999999</c:v>
                </c:pt>
                <c:pt idx="112">
                  <c:v>8.7426999999999992</c:v>
                </c:pt>
                <c:pt idx="113">
                  <c:v>9.5358999999999998</c:v>
                </c:pt>
                <c:pt idx="114">
                  <c:v>9.7484999999999999</c:v>
                </c:pt>
                <c:pt idx="115">
                  <c:v>8.8658999999999999</c:v>
                </c:pt>
                <c:pt idx="116">
                  <c:v>11.3879</c:v>
                </c:pt>
                <c:pt idx="117">
                  <c:v>10.916</c:v>
                </c:pt>
                <c:pt idx="118">
                  <c:v>11.1347</c:v>
                </c:pt>
                <c:pt idx="119">
                  <c:v>10.6782</c:v>
                </c:pt>
                <c:pt idx="120">
                  <c:v>9.1475000000000009</c:v>
                </c:pt>
                <c:pt idx="121">
                  <c:v>9.1935000000000002</c:v>
                </c:pt>
                <c:pt idx="122">
                  <c:v>9.3431999999999995</c:v>
                </c:pt>
                <c:pt idx="123">
                  <c:v>8.9940999999999995</c:v>
                </c:pt>
                <c:pt idx="124">
                  <c:v>8.7811000000000003</c:v>
                </c:pt>
                <c:pt idx="125">
                  <c:v>8.3764000000000003</c:v>
                </c:pt>
                <c:pt idx="126">
                  <c:v>8.6948000000000008</c:v>
                </c:pt>
                <c:pt idx="127">
                  <c:v>8.5356000000000005</c:v>
                </c:pt>
                <c:pt idx="128">
                  <c:v>8.1156000000000006</c:v>
                </c:pt>
                <c:pt idx="129">
                  <c:v>10.8787</c:v>
                </c:pt>
                <c:pt idx="130">
                  <c:v>10.7065</c:v>
                </c:pt>
                <c:pt idx="131">
                  <c:v>11.4117</c:v>
                </c:pt>
                <c:pt idx="132">
                  <c:v>13.2309</c:v>
                </c:pt>
                <c:pt idx="133">
                  <c:v>13.7615</c:v>
                </c:pt>
                <c:pt idx="134">
                  <c:v>13.2263</c:v>
                </c:pt>
                <c:pt idx="135">
                  <c:v>12.7738</c:v>
                </c:pt>
                <c:pt idx="136">
                  <c:v>11.822800000000001</c:v>
                </c:pt>
                <c:pt idx="137">
                  <c:v>12.0571</c:v>
                </c:pt>
                <c:pt idx="138">
                  <c:v>11.4025</c:v>
                </c:pt>
                <c:pt idx="139">
                  <c:v>10.451499999999999</c:v>
                </c:pt>
                <c:pt idx="140">
                  <c:v>10.7317</c:v>
                </c:pt>
                <c:pt idx="141">
                  <c:v>9.7004000000000001</c:v>
                </c:pt>
                <c:pt idx="142">
                  <c:v>11.179</c:v>
                </c:pt>
                <c:pt idx="143">
                  <c:v>11.0517</c:v>
                </c:pt>
                <c:pt idx="144">
                  <c:v>10.7193</c:v>
                </c:pt>
                <c:pt idx="145">
                  <c:v>11.6309</c:v>
                </c:pt>
                <c:pt idx="146">
                  <c:v>11.763400000000001</c:v>
                </c:pt>
                <c:pt idx="147">
                  <c:v>11.8855</c:v>
                </c:pt>
                <c:pt idx="148">
                  <c:v>11.4855</c:v>
                </c:pt>
                <c:pt idx="149">
                  <c:v>11.2517</c:v>
                </c:pt>
                <c:pt idx="150">
                  <c:v>10.285500000000001</c:v>
                </c:pt>
                <c:pt idx="151">
                  <c:v>9.5219000000000005</c:v>
                </c:pt>
                <c:pt idx="152">
                  <c:v>8.4206000000000003</c:v>
                </c:pt>
                <c:pt idx="153">
                  <c:v>8.5920000000000005</c:v>
                </c:pt>
                <c:pt idx="154">
                  <c:v>8.3557000000000006</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ALAMO GROUP</c:v>
                </c:pt>
              </c:strCache>
            </c:strRef>
          </c:tx>
          <c:spPr>
            <a:ln w="28575" cap="rnd">
              <a:solidFill>
                <a:schemeClr val="accent6"/>
              </a:solidFill>
              <a:round/>
            </a:ln>
            <a:effectLst/>
          </c:spPr>
          <c:marker>
            <c:symbol val="none"/>
          </c:marker>
          <c:cat>
            <c:numRef>
              <c:f>'Stock Data'!$B$5:$B$159</c:f>
              <c:numCache>
                <c:formatCode>m/d/yyyy</c:formatCode>
                <c:ptCount val="155"/>
                <c:pt idx="0">
                  <c:v>45918</c:v>
                </c:pt>
                <c:pt idx="1">
                  <c:v>45911</c:v>
                </c:pt>
                <c:pt idx="2">
                  <c:v>45904</c:v>
                </c:pt>
                <c:pt idx="3">
                  <c:v>45897</c:v>
                </c:pt>
                <c:pt idx="4">
                  <c:v>45890</c:v>
                </c:pt>
                <c:pt idx="5">
                  <c:v>45883</c:v>
                </c:pt>
                <c:pt idx="6">
                  <c:v>45876</c:v>
                </c:pt>
                <c:pt idx="7">
                  <c:v>45869</c:v>
                </c:pt>
                <c:pt idx="8">
                  <c:v>45862</c:v>
                </c:pt>
                <c:pt idx="9">
                  <c:v>45855</c:v>
                </c:pt>
                <c:pt idx="10">
                  <c:v>45848</c:v>
                </c:pt>
                <c:pt idx="11">
                  <c:v>45841</c:v>
                </c:pt>
                <c:pt idx="12">
                  <c:v>45834</c:v>
                </c:pt>
                <c:pt idx="13">
                  <c:v>45827</c:v>
                </c:pt>
                <c:pt idx="14">
                  <c:v>45820</c:v>
                </c:pt>
                <c:pt idx="15">
                  <c:v>45813</c:v>
                </c:pt>
                <c:pt idx="16">
                  <c:v>45806</c:v>
                </c:pt>
                <c:pt idx="17">
                  <c:v>45799</c:v>
                </c:pt>
                <c:pt idx="18">
                  <c:v>45792</c:v>
                </c:pt>
                <c:pt idx="19">
                  <c:v>45785</c:v>
                </c:pt>
                <c:pt idx="20">
                  <c:v>45778</c:v>
                </c:pt>
                <c:pt idx="21">
                  <c:v>45771</c:v>
                </c:pt>
                <c:pt idx="22">
                  <c:v>45764</c:v>
                </c:pt>
                <c:pt idx="23">
                  <c:v>45757</c:v>
                </c:pt>
                <c:pt idx="24">
                  <c:v>45750</c:v>
                </c:pt>
                <c:pt idx="25">
                  <c:v>45743</c:v>
                </c:pt>
                <c:pt idx="26">
                  <c:v>45736</c:v>
                </c:pt>
                <c:pt idx="27">
                  <c:v>45729</c:v>
                </c:pt>
                <c:pt idx="28">
                  <c:v>45722</c:v>
                </c:pt>
                <c:pt idx="29">
                  <c:v>45715</c:v>
                </c:pt>
                <c:pt idx="30">
                  <c:v>45708</c:v>
                </c:pt>
                <c:pt idx="31">
                  <c:v>45701</c:v>
                </c:pt>
                <c:pt idx="32">
                  <c:v>45694</c:v>
                </c:pt>
                <c:pt idx="33">
                  <c:v>45687</c:v>
                </c:pt>
                <c:pt idx="34">
                  <c:v>45680</c:v>
                </c:pt>
                <c:pt idx="35">
                  <c:v>45673</c:v>
                </c:pt>
                <c:pt idx="36">
                  <c:v>45666</c:v>
                </c:pt>
                <c:pt idx="37">
                  <c:v>45659</c:v>
                </c:pt>
                <c:pt idx="38">
                  <c:v>45652</c:v>
                </c:pt>
                <c:pt idx="39">
                  <c:v>45645</c:v>
                </c:pt>
                <c:pt idx="40">
                  <c:v>45638</c:v>
                </c:pt>
                <c:pt idx="41">
                  <c:v>45631</c:v>
                </c:pt>
                <c:pt idx="42">
                  <c:v>45624</c:v>
                </c:pt>
                <c:pt idx="43">
                  <c:v>45617</c:v>
                </c:pt>
                <c:pt idx="44">
                  <c:v>45610</c:v>
                </c:pt>
                <c:pt idx="45">
                  <c:v>45603</c:v>
                </c:pt>
                <c:pt idx="46">
                  <c:v>45596</c:v>
                </c:pt>
                <c:pt idx="47">
                  <c:v>45589</c:v>
                </c:pt>
                <c:pt idx="48">
                  <c:v>45582</c:v>
                </c:pt>
                <c:pt idx="49">
                  <c:v>45575</c:v>
                </c:pt>
                <c:pt idx="50">
                  <c:v>45568</c:v>
                </c:pt>
                <c:pt idx="51">
                  <c:v>45561</c:v>
                </c:pt>
                <c:pt idx="52">
                  <c:v>45554</c:v>
                </c:pt>
                <c:pt idx="53">
                  <c:v>45547</c:v>
                </c:pt>
                <c:pt idx="54">
                  <c:v>45540</c:v>
                </c:pt>
                <c:pt idx="55">
                  <c:v>45533</c:v>
                </c:pt>
                <c:pt idx="56">
                  <c:v>45526</c:v>
                </c:pt>
                <c:pt idx="57">
                  <c:v>45519</c:v>
                </c:pt>
                <c:pt idx="58">
                  <c:v>45512</c:v>
                </c:pt>
                <c:pt idx="59">
                  <c:v>45505</c:v>
                </c:pt>
                <c:pt idx="60">
                  <c:v>45498</c:v>
                </c:pt>
                <c:pt idx="61">
                  <c:v>45491</c:v>
                </c:pt>
                <c:pt idx="62">
                  <c:v>45484</c:v>
                </c:pt>
                <c:pt idx="63">
                  <c:v>45477</c:v>
                </c:pt>
                <c:pt idx="64">
                  <c:v>45470</c:v>
                </c:pt>
                <c:pt idx="65">
                  <c:v>45463</c:v>
                </c:pt>
                <c:pt idx="66">
                  <c:v>45456</c:v>
                </c:pt>
                <c:pt idx="67">
                  <c:v>45449</c:v>
                </c:pt>
                <c:pt idx="68">
                  <c:v>45442</c:v>
                </c:pt>
                <c:pt idx="69">
                  <c:v>45435</c:v>
                </c:pt>
                <c:pt idx="70">
                  <c:v>45428</c:v>
                </c:pt>
                <c:pt idx="71">
                  <c:v>45421</c:v>
                </c:pt>
                <c:pt idx="72">
                  <c:v>45414</c:v>
                </c:pt>
                <c:pt idx="73">
                  <c:v>45407</c:v>
                </c:pt>
                <c:pt idx="74">
                  <c:v>45400</c:v>
                </c:pt>
                <c:pt idx="75">
                  <c:v>45393</c:v>
                </c:pt>
                <c:pt idx="76">
                  <c:v>45386</c:v>
                </c:pt>
                <c:pt idx="77">
                  <c:v>45379</c:v>
                </c:pt>
                <c:pt idx="78">
                  <c:v>45372</c:v>
                </c:pt>
                <c:pt idx="79">
                  <c:v>45365</c:v>
                </c:pt>
                <c:pt idx="80">
                  <c:v>45358</c:v>
                </c:pt>
                <c:pt idx="81">
                  <c:v>45351</c:v>
                </c:pt>
                <c:pt idx="82">
                  <c:v>45344</c:v>
                </c:pt>
                <c:pt idx="83">
                  <c:v>45337</c:v>
                </c:pt>
                <c:pt idx="84">
                  <c:v>45330</c:v>
                </c:pt>
                <c:pt idx="85">
                  <c:v>45323</c:v>
                </c:pt>
                <c:pt idx="86">
                  <c:v>45316</c:v>
                </c:pt>
                <c:pt idx="87">
                  <c:v>45309</c:v>
                </c:pt>
                <c:pt idx="88">
                  <c:v>45302</c:v>
                </c:pt>
                <c:pt idx="89">
                  <c:v>45295</c:v>
                </c:pt>
                <c:pt idx="90">
                  <c:v>45288</c:v>
                </c:pt>
                <c:pt idx="91">
                  <c:v>45281</c:v>
                </c:pt>
                <c:pt idx="92">
                  <c:v>45274</c:v>
                </c:pt>
                <c:pt idx="93">
                  <c:v>45267</c:v>
                </c:pt>
                <c:pt idx="94">
                  <c:v>45260</c:v>
                </c:pt>
                <c:pt idx="95">
                  <c:v>45253</c:v>
                </c:pt>
                <c:pt idx="96">
                  <c:v>45246</c:v>
                </c:pt>
                <c:pt idx="97">
                  <c:v>45239</c:v>
                </c:pt>
                <c:pt idx="98">
                  <c:v>45232</c:v>
                </c:pt>
                <c:pt idx="99">
                  <c:v>45225</c:v>
                </c:pt>
                <c:pt idx="100">
                  <c:v>45218</c:v>
                </c:pt>
                <c:pt idx="101">
                  <c:v>45211</c:v>
                </c:pt>
                <c:pt idx="102">
                  <c:v>45204</c:v>
                </c:pt>
                <c:pt idx="103">
                  <c:v>45197</c:v>
                </c:pt>
                <c:pt idx="104">
                  <c:v>45190</c:v>
                </c:pt>
                <c:pt idx="105">
                  <c:v>45183</c:v>
                </c:pt>
                <c:pt idx="106">
                  <c:v>45176</c:v>
                </c:pt>
                <c:pt idx="107">
                  <c:v>45169</c:v>
                </c:pt>
                <c:pt idx="108">
                  <c:v>45162</c:v>
                </c:pt>
                <c:pt idx="109">
                  <c:v>45155</c:v>
                </c:pt>
                <c:pt idx="110">
                  <c:v>45148</c:v>
                </c:pt>
                <c:pt idx="111">
                  <c:v>45141</c:v>
                </c:pt>
                <c:pt idx="112">
                  <c:v>45134</c:v>
                </c:pt>
                <c:pt idx="113">
                  <c:v>45127</c:v>
                </c:pt>
                <c:pt idx="114">
                  <c:v>45120</c:v>
                </c:pt>
                <c:pt idx="115">
                  <c:v>45113</c:v>
                </c:pt>
                <c:pt idx="116">
                  <c:v>45106</c:v>
                </c:pt>
                <c:pt idx="117">
                  <c:v>45099</c:v>
                </c:pt>
                <c:pt idx="118">
                  <c:v>45092</c:v>
                </c:pt>
                <c:pt idx="119">
                  <c:v>45085</c:v>
                </c:pt>
                <c:pt idx="120">
                  <c:v>45078</c:v>
                </c:pt>
                <c:pt idx="121">
                  <c:v>45071</c:v>
                </c:pt>
                <c:pt idx="122">
                  <c:v>45064</c:v>
                </c:pt>
                <c:pt idx="123">
                  <c:v>45057</c:v>
                </c:pt>
                <c:pt idx="124">
                  <c:v>45050</c:v>
                </c:pt>
                <c:pt idx="125">
                  <c:v>45043</c:v>
                </c:pt>
                <c:pt idx="126">
                  <c:v>45036</c:v>
                </c:pt>
                <c:pt idx="127">
                  <c:v>45029</c:v>
                </c:pt>
                <c:pt idx="128">
                  <c:v>45022</c:v>
                </c:pt>
                <c:pt idx="129">
                  <c:v>45015</c:v>
                </c:pt>
                <c:pt idx="130">
                  <c:v>45008</c:v>
                </c:pt>
                <c:pt idx="131">
                  <c:v>45001</c:v>
                </c:pt>
                <c:pt idx="132">
                  <c:v>44994</c:v>
                </c:pt>
                <c:pt idx="133">
                  <c:v>44987</c:v>
                </c:pt>
                <c:pt idx="134">
                  <c:v>44980</c:v>
                </c:pt>
                <c:pt idx="135">
                  <c:v>44973</c:v>
                </c:pt>
                <c:pt idx="136">
                  <c:v>44966</c:v>
                </c:pt>
                <c:pt idx="137">
                  <c:v>44959</c:v>
                </c:pt>
                <c:pt idx="138">
                  <c:v>44952</c:v>
                </c:pt>
                <c:pt idx="139">
                  <c:v>44945</c:v>
                </c:pt>
                <c:pt idx="140">
                  <c:v>44938</c:v>
                </c:pt>
                <c:pt idx="141">
                  <c:v>44931</c:v>
                </c:pt>
                <c:pt idx="142">
                  <c:v>44924</c:v>
                </c:pt>
                <c:pt idx="143">
                  <c:v>44917</c:v>
                </c:pt>
                <c:pt idx="144">
                  <c:v>44910</c:v>
                </c:pt>
                <c:pt idx="145">
                  <c:v>44903</c:v>
                </c:pt>
                <c:pt idx="146">
                  <c:v>44896</c:v>
                </c:pt>
                <c:pt idx="147">
                  <c:v>44889</c:v>
                </c:pt>
                <c:pt idx="148">
                  <c:v>44882</c:v>
                </c:pt>
                <c:pt idx="149">
                  <c:v>44875</c:v>
                </c:pt>
                <c:pt idx="150">
                  <c:v>44868</c:v>
                </c:pt>
                <c:pt idx="151">
                  <c:v>44861</c:v>
                </c:pt>
                <c:pt idx="152">
                  <c:v>44854</c:v>
                </c:pt>
                <c:pt idx="153">
                  <c:v>44847</c:v>
                </c:pt>
                <c:pt idx="154">
                  <c:v>44840</c:v>
                </c:pt>
              </c:numCache>
            </c:numRef>
          </c:cat>
          <c:val>
            <c:numRef>
              <c:f>'Stock Data'!$O$5:$O$159</c:f>
              <c:numCache>
                <c:formatCode>0.0</c:formatCode>
                <c:ptCount val="155"/>
                <c:pt idx="0">
                  <c:v>21.645600000000002</c:v>
                </c:pt>
                <c:pt idx="1">
                  <c:v>21.645600000000002</c:v>
                </c:pt>
                <c:pt idx="2">
                  <c:v>21.572800000000001</c:v>
                </c:pt>
                <c:pt idx="3">
                  <c:v>22.029800000000002</c:v>
                </c:pt>
                <c:pt idx="4">
                  <c:v>21.792100000000001</c:v>
                </c:pt>
                <c:pt idx="5">
                  <c:v>23.198799999999999</c:v>
                </c:pt>
                <c:pt idx="6">
                  <c:v>22.745999999999999</c:v>
                </c:pt>
                <c:pt idx="7">
                  <c:v>22.805399999999999</c:v>
                </c:pt>
                <c:pt idx="8">
                  <c:v>22.2624</c:v>
                </c:pt>
                <c:pt idx="9">
                  <c:v>22.333100000000002</c:v>
                </c:pt>
                <c:pt idx="10">
                  <c:v>23.230599999999999</c:v>
                </c:pt>
                <c:pt idx="11">
                  <c:v>23.177299999999999</c:v>
                </c:pt>
                <c:pt idx="12">
                  <c:v>23.0032</c:v>
                </c:pt>
                <c:pt idx="13">
                  <c:v>22.485399999999998</c:v>
                </c:pt>
                <c:pt idx="14">
                  <c:v>22.336600000000001</c:v>
                </c:pt>
                <c:pt idx="15">
                  <c:v>21.521000000000001</c:v>
                </c:pt>
                <c:pt idx="16">
                  <c:v>21.153099999999998</c:v>
                </c:pt>
                <c:pt idx="17">
                  <c:v>20.830300000000001</c:v>
                </c:pt>
                <c:pt idx="18">
                  <c:v>21.176200000000001</c:v>
                </c:pt>
                <c:pt idx="19">
                  <c:v>18.713899999999999</c:v>
                </c:pt>
                <c:pt idx="20">
                  <c:v>17.7485</c:v>
                </c:pt>
                <c:pt idx="21">
                  <c:v>17.878499999999999</c:v>
                </c:pt>
                <c:pt idx="22">
                  <c:v>17.5535</c:v>
                </c:pt>
                <c:pt idx="23">
                  <c:v>17.719100000000001</c:v>
                </c:pt>
                <c:pt idx="24">
                  <c:v>17.930900000000001</c:v>
                </c:pt>
                <c:pt idx="25">
                  <c:v>19.447299999999998</c:v>
                </c:pt>
                <c:pt idx="26">
                  <c:v>19.6845</c:v>
                </c:pt>
                <c:pt idx="27">
                  <c:v>19.080500000000001</c:v>
                </c:pt>
                <c:pt idx="28">
                  <c:v>19.125499999999999</c:v>
                </c:pt>
                <c:pt idx="29">
                  <c:v>19.254000000000001</c:v>
                </c:pt>
                <c:pt idx="30">
                  <c:v>19.676100000000002</c:v>
                </c:pt>
                <c:pt idx="31">
                  <c:v>19.353300000000001</c:v>
                </c:pt>
                <c:pt idx="32">
                  <c:v>19.1526</c:v>
                </c:pt>
                <c:pt idx="33">
                  <c:v>19.7044</c:v>
                </c:pt>
                <c:pt idx="34">
                  <c:v>19.250800000000002</c:v>
                </c:pt>
                <c:pt idx="35">
                  <c:v>18.952999999999999</c:v>
                </c:pt>
                <c:pt idx="36">
                  <c:v>18.0669</c:v>
                </c:pt>
                <c:pt idx="37">
                  <c:v>18.826599999999999</c:v>
                </c:pt>
                <c:pt idx="38">
                  <c:v>19.077100000000002</c:v>
                </c:pt>
                <c:pt idx="39">
                  <c:v>19.7073</c:v>
                </c:pt>
                <c:pt idx="40">
                  <c:v>19.589700000000001</c:v>
                </c:pt>
                <c:pt idx="41">
                  <c:v>19.8309</c:v>
                </c:pt>
                <c:pt idx="42">
                  <c:v>20.258400000000002</c:v>
                </c:pt>
                <c:pt idx="43">
                  <c:v>19.8947</c:v>
                </c:pt>
                <c:pt idx="44">
                  <c:v>19.555299999999999</c:v>
                </c:pt>
                <c:pt idx="45">
                  <c:v>20.0031</c:v>
                </c:pt>
                <c:pt idx="46">
                  <c:v>17.177399999999999</c:v>
                </c:pt>
                <c:pt idx="47">
                  <c:v>17.119599999999998</c:v>
                </c:pt>
                <c:pt idx="48">
                  <c:v>18.219899999999999</c:v>
                </c:pt>
                <c:pt idx="49">
                  <c:v>17.4023</c:v>
                </c:pt>
                <c:pt idx="50">
                  <c:v>17.467099999999999</c:v>
                </c:pt>
                <c:pt idx="51">
                  <c:v>17.065300000000001</c:v>
                </c:pt>
                <c:pt idx="52">
                  <c:v>17.5123</c:v>
                </c:pt>
                <c:pt idx="53">
                  <c:v>16.6174</c:v>
                </c:pt>
                <c:pt idx="54">
                  <c:v>16.4176</c:v>
                </c:pt>
                <c:pt idx="55">
                  <c:v>17.4527</c:v>
                </c:pt>
                <c:pt idx="56">
                  <c:v>17.0672</c:v>
                </c:pt>
                <c:pt idx="57">
                  <c:v>16.529399999999999</c:v>
                </c:pt>
                <c:pt idx="58">
                  <c:v>16.560600000000001</c:v>
                </c:pt>
                <c:pt idx="59">
                  <c:v>17.498100000000001</c:v>
                </c:pt>
                <c:pt idx="60">
                  <c:v>18.184699999999999</c:v>
                </c:pt>
                <c:pt idx="61">
                  <c:v>17.4953</c:v>
                </c:pt>
                <c:pt idx="62">
                  <c:v>16.353200000000001</c:v>
                </c:pt>
                <c:pt idx="63">
                  <c:v>15.693199999999999</c:v>
                </c:pt>
                <c:pt idx="64">
                  <c:v>15.214399999999999</c:v>
                </c:pt>
                <c:pt idx="65">
                  <c:v>15.604100000000001</c:v>
                </c:pt>
                <c:pt idx="66">
                  <c:v>15.805199999999999</c:v>
                </c:pt>
                <c:pt idx="67">
                  <c:v>16.718900000000001</c:v>
                </c:pt>
                <c:pt idx="68">
                  <c:v>16.875399999999999</c:v>
                </c:pt>
                <c:pt idx="69">
                  <c:v>16.9724</c:v>
                </c:pt>
                <c:pt idx="70">
                  <c:v>17.439499999999999</c:v>
                </c:pt>
                <c:pt idx="71">
                  <c:v>17.642299999999999</c:v>
                </c:pt>
                <c:pt idx="72">
                  <c:v>17.370100000000001</c:v>
                </c:pt>
                <c:pt idx="73">
                  <c:v>17.7607</c:v>
                </c:pt>
                <c:pt idx="74">
                  <c:v>18.225100000000001</c:v>
                </c:pt>
                <c:pt idx="75">
                  <c:v>19.563199999999998</c:v>
                </c:pt>
                <c:pt idx="76">
                  <c:v>19.251799999999999</c:v>
                </c:pt>
                <c:pt idx="77">
                  <c:v>20.099499999999999</c:v>
                </c:pt>
                <c:pt idx="78">
                  <c:v>18.794899999999998</c:v>
                </c:pt>
                <c:pt idx="79">
                  <c:v>17.9727</c:v>
                </c:pt>
                <c:pt idx="80">
                  <c:v>18.156700000000001</c:v>
                </c:pt>
                <c:pt idx="81">
                  <c:v>17.807200000000002</c:v>
                </c:pt>
                <c:pt idx="82">
                  <c:v>18.866199999999999</c:v>
                </c:pt>
                <c:pt idx="83">
                  <c:v>19.471800000000002</c:v>
                </c:pt>
                <c:pt idx="84">
                  <c:v>19.015000000000001</c:v>
                </c:pt>
                <c:pt idx="85">
                  <c:v>18.980599999999999</c:v>
                </c:pt>
                <c:pt idx="86">
                  <c:v>18.6919</c:v>
                </c:pt>
                <c:pt idx="87">
                  <c:v>17.830100000000002</c:v>
                </c:pt>
                <c:pt idx="88">
                  <c:v>17.646999999999998</c:v>
                </c:pt>
                <c:pt idx="89">
                  <c:v>17.719200000000001</c:v>
                </c:pt>
                <c:pt idx="90">
                  <c:v>18.931999999999999</c:v>
                </c:pt>
                <c:pt idx="91">
                  <c:v>18.608799999999999</c:v>
                </c:pt>
                <c:pt idx="92">
                  <c:v>18.258700000000001</c:v>
                </c:pt>
                <c:pt idx="93">
                  <c:v>16.8308</c:v>
                </c:pt>
                <c:pt idx="94">
                  <c:v>16.445799999999998</c:v>
                </c:pt>
                <c:pt idx="95">
                  <c:v>16.730499999999999</c:v>
                </c:pt>
                <c:pt idx="96">
                  <c:v>16.618600000000001</c:v>
                </c:pt>
                <c:pt idx="97">
                  <c:v>15.847799999999999</c:v>
                </c:pt>
                <c:pt idx="98">
                  <c:v>14.5139</c:v>
                </c:pt>
                <c:pt idx="99">
                  <c:v>14.5022</c:v>
                </c:pt>
                <c:pt idx="100">
                  <c:v>14.803000000000001</c:v>
                </c:pt>
                <c:pt idx="101">
                  <c:v>15.615</c:v>
                </c:pt>
                <c:pt idx="102">
                  <c:v>15.5291</c:v>
                </c:pt>
                <c:pt idx="103">
                  <c:v>17.276399999999999</c:v>
                </c:pt>
                <c:pt idx="104">
                  <c:v>16.382000000000001</c:v>
                </c:pt>
                <c:pt idx="105">
                  <c:v>16.4223</c:v>
                </c:pt>
                <c:pt idx="106">
                  <c:v>16.253399999999999</c:v>
                </c:pt>
                <c:pt idx="107">
                  <c:v>16.473099999999999</c:v>
                </c:pt>
                <c:pt idx="108">
                  <c:v>16.228400000000001</c:v>
                </c:pt>
                <c:pt idx="109">
                  <c:v>16.3369</c:v>
                </c:pt>
                <c:pt idx="110">
                  <c:v>16.968299999999999</c:v>
                </c:pt>
                <c:pt idx="111">
                  <c:v>17.403099999999998</c:v>
                </c:pt>
                <c:pt idx="112">
                  <c:v>18.364699999999999</c:v>
                </c:pt>
                <c:pt idx="113">
                  <c:v>18.988499999999998</c:v>
                </c:pt>
                <c:pt idx="114">
                  <c:v>18.383900000000001</c:v>
                </c:pt>
                <c:pt idx="115">
                  <c:v>17.154499999999999</c:v>
                </c:pt>
                <c:pt idx="116">
                  <c:v>18.6616</c:v>
                </c:pt>
                <c:pt idx="117">
                  <c:v>18.7117</c:v>
                </c:pt>
                <c:pt idx="118">
                  <c:v>18.7822</c:v>
                </c:pt>
                <c:pt idx="119">
                  <c:v>18.767900000000001</c:v>
                </c:pt>
                <c:pt idx="120">
                  <c:v>17.113499999999998</c:v>
                </c:pt>
                <c:pt idx="121">
                  <c:v>17.761800000000001</c:v>
                </c:pt>
                <c:pt idx="122">
                  <c:v>18.421299999999999</c:v>
                </c:pt>
                <c:pt idx="123">
                  <c:v>18.1953</c:v>
                </c:pt>
                <c:pt idx="124">
                  <c:v>17.806699999999999</c:v>
                </c:pt>
                <c:pt idx="125">
                  <c:v>18.2822</c:v>
                </c:pt>
                <c:pt idx="126">
                  <c:v>18.492799999999999</c:v>
                </c:pt>
                <c:pt idx="127">
                  <c:v>18.060300000000002</c:v>
                </c:pt>
                <c:pt idx="128">
                  <c:v>17.131900000000002</c:v>
                </c:pt>
                <c:pt idx="129">
                  <c:v>21.170999999999999</c:v>
                </c:pt>
                <c:pt idx="130">
                  <c:v>20.750599999999999</c:v>
                </c:pt>
                <c:pt idx="131">
                  <c:v>20.642900000000001</c:v>
                </c:pt>
                <c:pt idx="132">
                  <c:v>20.871200000000002</c:v>
                </c:pt>
                <c:pt idx="133">
                  <c:v>21.7471</c:v>
                </c:pt>
                <c:pt idx="134">
                  <c:v>18.961400000000001</c:v>
                </c:pt>
                <c:pt idx="135">
                  <c:v>18.603000000000002</c:v>
                </c:pt>
                <c:pt idx="136">
                  <c:v>18.169799999999999</c:v>
                </c:pt>
                <c:pt idx="137">
                  <c:v>18.7576</c:v>
                </c:pt>
                <c:pt idx="138">
                  <c:v>18.049199999999999</c:v>
                </c:pt>
                <c:pt idx="139">
                  <c:v>17.148700000000002</c:v>
                </c:pt>
                <c:pt idx="140">
                  <c:v>18.1311</c:v>
                </c:pt>
                <c:pt idx="141">
                  <c:v>16.445</c:v>
                </c:pt>
                <c:pt idx="142">
                  <c:v>18.5596</c:v>
                </c:pt>
                <c:pt idx="143">
                  <c:v>18.031099999999999</c:v>
                </c:pt>
                <c:pt idx="144">
                  <c:v>18.160599999999999</c:v>
                </c:pt>
                <c:pt idx="145">
                  <c:v>18.989599999999999</c:v>
                </c:pt>
                <c:pt idx="146">
                  <c:v>19.511700000000001</c:v>
                </c:pt>
                <c:pt idx="147">
                  <c:v>19.369199999999999</c:v>
                </c:pt>
                <c:pt idx="148">
                  <c:v>19.5091</c:v>
                </c:pt>
                <c:pt idx="149">
                  <c:v>20.0855</c:v>
                </c:pt>
                <c:pt idx="150">
                  <c:v>19.5259</c:v>
                </c:pt>
                <c:pt idx="151">
                  <c:v>19.471499999999999</c:v>
                </c:pt>
                <c:pt idx="152">
                  <c:v>18.461099999999998</c:v>
                </c:pt>
                <c:pt idx="153">
                  <c:v>17.734500000000001</c:v>
                </c:pt>
                <c:pt idx="154">
                  <c:v>17.296600000000002</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7.4145167799931633E-2</c:v>
                </c:pt>
                <c:pt idx="1">
                  <c:v>7.4866135912261766E-2</c:v>
                </c:pt>
                <c:pt idx="2">
                  <c:v>6.8987767435764485E-2</c:v>
                </c:pt>
                <c:pt idx="3">
                  <c:v>6.8068283131487134E-2</c:v>
                </c:pt>
                <c:pt idx="4">
                  <c:v>7.3087430026014602E-2</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8.6281417711404754E-2</c:v>
                </c:pt>
                <c:pt idx="1">
                  <c:v>8.221907333683677E-2</c:v>
                </c:pt>
                <c:pt idx="2">
                  <c:v>8.4559254044014154E-2</c:v>
                </c:pt>
                <c:pt idx="3">
                  <c:v>9.8729785745381632E-2</c:v>
                </c:pt>
                <c:pt idx="4">
                  <c:v>0.10830864969534094</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Sensitivity!$AJ$28:$AJ$34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Capex Intensity</c:v>
                </c:pt>
                <c:pt idx="1">
                  <c:v>COGS Margin</c:v>
                </c:pt>
                <c:pt idx="2">
                  <c:v>SG&amp;A Margin</c:v>
                </c:pt>
                <c:pt idx="3">
                  <c:v>WACC</c:v>
                </c:pt>
                <c:pt idx="4">
                  <c:v>Terminal g</c:v>
                </c:pt>
                <c:pt idx="5">
                  <c:v>EBITDA Exit</c:v>
                </c:pt>
                <c:pt idx="6">
                  <c:v>Revenue Exit</c:v>
                </c:pt>
              </c:strCache>
            </c:strRef>
          </c:cat>
          <c:val>
            <c:numRef>
              <c:f>Sensitivity!$AK$28:$AK$34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chart" Target="../charts/chart5.xml"/><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8.xml"/><Relationship Id="rId16" Type="http://schemas.openxmlformats.org/officeDocument/2006/relationships/hyperlink" Target="#BS!A1"/><Relationship Id="rId1" Type="http://schemas.openxmlformats.org/officeDocument/2006/relationships/chart" Target="../charts/chart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jpe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3.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5.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0.xml"/><Relationship Id="rId16" Type="http://schemas.openxmlformats.org/officeDocument/2006/relationships/hyperlink" Target="#BS!A1"/><Relationship Id="rId1" Type="http://schemas.openxmlformats.org/officeDocument/2006/relationships/chart" Target="../charts/chart9.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4.png"/><Relationship Id="rId3" Type="http://schemas.openxmlformats.org/officeDocument/2006/relationships/hyperlink" Target="#Dashboard!A1"/><Relationship Id="rId21" Type="http://schemas.openxmlformats.org/officeDocument/2006/relationships/image" Target="../media/image7.png"/><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20" Type="http://schemas.openxmlformats.org/officeDocument/2006/relationships/image" Target="../media/image6.png"/><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5.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8.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9.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10.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12.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11.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12.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4">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Downside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62">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-18,3%</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2"/>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26</xdr:row>
      <xdr:rowOff>9525</xdr:rowOff>
    </xdr:from>
    <xdr:to>
      <xdr:col>19</xdr:col>
      <xdr:colOff>200025</xdr:colOff>
      <xdr:row>29</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22</xdr:row>
      <xdr:rowOff>8283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51</xdr:col>
      <xdr:colOff>568038</xdr:colOff>
      <xdr:row>19</xdr:row>
      <xdr:rowOff>82261</xdr:rowOff>
    </xdr:from>
    <xdr:to>
      <xdr:col>64</xdr:col>
      <xdr:colOff>498966</xdr:colOff>
      <xdr:row>32</xdr:row>
      <xdr:rowOff>49865</xdr:rowOff>
    </xdr:to>
    <xdr:pic>
      <xdr:nvPicPr>
        <xdr:cNvPr id="4" name="Picture 1" descr="People walking amongst several types of John Deere equipment in a large field.">
          <a:extLst>
            <a:ext uri="{FF2B5EF4-FFF2-40B4-BE49-F238E27FC236}">
              <a16:creationId xmlns:a16="http://schemas.microsoft.com/office/drawing/2014/main" id="{DD8E4CCC-7FE0-9F46-D08D-E6B584C5F0D7}"/>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0980113" y="3273136"/>
          <a:ext cx="9608327" cy="2444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198504</xdr:colOff>
      <xdr:row>121</xdr:row>
      <xdr:rowOff>188900</xdr:rowOff>
    </xdr:from>
    <xdr:to>
      <xdr:col>31</xdr:col>
      <xdr:colOff>232190</xdr:colOff>
      <xdr:row>140</xdr:row>
      <xdr:rowOff>110459</xdr:rowOff>
    </xdr:to>
    <xdr:pic>
      <xdr:nvPicPr>
        <xdr:cNvPr id="7" name="Picture 6">
          <a:extLst>
            <a:ext uri="{FF2B5EF4-FFF2-40B4-BE49-F238E27FC236}">
              <a16:creationId xmlns:a16="http://schemas.microsoft.com/office/drawing/2014/main" id="{107134F3-6570-06CB-612C-F821C7AB1A5A}"/>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61790" y="27702543"/>
          <a:ext cx="5878408" cy="35410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42</xdr:col>
      <xdr:colOff>35378</xdr:colOff>
      <xdr:row>41</xdr:row>
      <xdr:rowOff>47625</xdr:rowOff>
    </xdr:from>
    <xdr:to>
      <xdr:col>50</xdr:col>
      <xdr:colOff>578303</xdr:colOff>
      <xdr:row>59</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37</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1"/>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3"/>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4"/>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5"/>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6"/>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7"/>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8"/>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9"/>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0"/>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1"/>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2"/>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3"/>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4"/>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5"/>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16"/>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17"/>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130479</xdr:colOff>
      <xdr:row>13</xdr:row>
      <xdr:rowOff>26096</xdr:rowOff>
    </xdr:from>
    <xdr:to>
      <xdr:col>8</xdr:col>
      <xdr:colOff>558784</xdr:colOff>
      <xdr:row>28</xdr:row>
      <xdr:rowOff>105301</xdr:rowOff>
    </xdr:to>
    <xdr:pic>
      <xdr:nvPicPr>
        <xdr:cNvPr id="5" name="Picture 4">
          <a:extLst>
            <a:ext uri="{FF2B5EF4-FFF2-40B4-BE49-F238E27FC236}">
              <a16:creationId xmlns:a16="http://schemas.microsoft.com/office/drawing/2014/main" id="{3790535A-5737-B756-539D-10E3E4D7E2F6}"/>
            </a:ext>
          </a:extLst>
        </xdr:cNvPr>
        <xdr:cNvPicPr>
          <a:picLocks noChangeAspect="1"/>
        </xdr:cNvPicPr>
      </xdr:nvPicPr>
      <xdr:blipFill>
        <a:blip xmlns:r="http://schemas.openxmlformats.org/officeDocument/2006/relationships" r:embed="rId18"/>
        <a:stretch>
          <a:fillRect/>
        </a:stretch>
      </xdr:blipFill>
      <xdr:spPr>
        <a:xfrm>
          <a:off x="4753279" y="2050839"/>
          <a:ext cx="3106191" cy="2771605"/>
        </a:xfrm>
        <a:prstGeom prst="rect">
          <a:avLst/>
        </a:prstGeom>
      </xdr:spPr>
    </xdr:pic>
    <xdr:clientData/>
  </xdr:twoCellAnchor>
  <xdr:twoCellAnchor editAs="oneCell">
    <xdr:from>
      <xdr:col>8</xdr:col>
      <xdr:colOff>652398</xdr:colOff>
      <xdr:row>13</xdr:row>
      <xdr:rowOff>26096</xdr:rowOff>
    </xdr:from>
    <xdr:to>
      <xdr:col>9</xdr:col>
      <xdr:colOff>1856627</xdr:colOff>
      <xdr:row>28</xdr:row>
      <xdr:rowOff>105301</xdr:rowOff>
    </xdr:to>
    <xdr:pic>
      <xdr:nvPicPr>
        <xdr:cNvPr id="6" name="Picture 5">
          <a:extLst>
            <a:ext uri="{FF2B5EF4-FFF2-40B4-BE49-F238E27FC236}">
              <a16:creationId xmlns:a16="http://schemas.microsoft.com/office/drawing/2014/main" id="{3D7B1CBF-F682-CBB1-F7D8-F2D8C5D54F1B}"/>
            </a:ext>
          </a:extLst>
        </xdr:cNvPr>
        <xdr:cNvPicPr>
          <a:picLocks noChangeAspect="1"/>
        </xdr:cNvPicPr>
      </xdr:nvPicPr>
      <xdr:blipFill>
        <a:blip xmlns:r="http://schemas.openxmlformats.org/officeDocument/2006/relationships" r:embed="rId19"/>
        <a:stretch>
          <a:fillRect/>
        </a:stretch>
      </xdr:blipFill>
      <xdr:spPr>
        <a:xfrm>
          <a:off x="7933151" y="2126815"/>
          <a:ext cx="3109229" cy="2871465"/>
        </a:xfrm>
        <a:prstGeom prst="rect">
          <a:avLst/>
        </a:prstGeom>
      </xdr:spPr>
    </xdr:pic>
    <xdr:clientData/>
  </xdr:twoCellAnchor>
  <xdr:twoCellAnchor editAs="oneCell">
    <xdr:from>
      <xdr:col>9</xdr:col>
      <xdr:colOff>1931096</xdr:colOff>
      <xdr:row>13</xdr:row>
      <xdr:rowOff>39143</xdr:rowOff>
    </xdr:from>
    <xdr:to>
      <xdr:col>10</xdr:col>
      <xdr:colOff>2404640</xdr:colOff>
      <xdr:row>28</xdr:row>
      <xdr:rowOff>118348</xdr:rowOff>
    </xdr:to>
    <xdr:pic>
      <xdr:nvPicPr>
        <xdr:cNvPr id="7" name="Picture 6">
          <a:extLst>
            <a:ext uri="{FF2B5EF4-FFF2-40B4-BE49-F238E27FC236}">
              <a16:creationId xmlns:a16="http://schemas.microsoft.com/office/drawing/2014/main" id="{D2A56CC9-0AC4-0B12-5369-9E114FF73DD9}"/>
            </a:ext>
          </a:extLst>
        </xdr:cNvPr>
        <xdr:cNvPicPr>
          <a:picLocks noChangeAspect="1"/>
        </xdr:cNvPicPr>
      </xdr:nvPicPr>
      <xdr:blipFill>
        <a:blip xmlns:r="http://schemas.openxmlformats.org/officeDocument/2006/relationships" r:embed="rId20"/>
        <a:stretch>
          <a:fillRect/>
        </a:stretch>
      </xdr:blipFill>
      <xdr:spPr>
        <a:xfrm>
          <a:off x="11116849" y="2139862"/>
          <a:ext cx="3109229" cy="2871465"/>
        </a:xfrm>
        <a:prstGeom prst="rect">
          <a:avLst/>
        </a:prstGeom>
      </xdr:spPr>
    </xdr:pic>
    <xdr:clientData/>
  </xdr:twoCellAnchor>
  <xdr:twoCellAnchor editAs="oneCell">
    <xdr:from>
      <xdr:col>10</xdr:col>
      <xdr:colOff>2466062</xdr:colOff>
      <xdr:row>13</xdr:row>
      <xdr:rowOff>26096</xdr:rowOff>
    </xdr:from>
    <xdr:to>
      <xdr:col>10</xdr:col>
      <xdr:colOff>5575291</xdr:colOff>
      <xdr:row>28</xdr:row>
      <xdr:rowOff>105301</xdr:rowOff>
    </xdr:to>
    <xdr:pic>
      <xdr:nvPicPr>
        <xdr:cNvPr id="8" name="Picture 7">
          <a:extLst>
            <a:ext uri="{FF2B5EF4-FFF2-40B4-BE49-F238E27FC236}">
              <a16:creationId xmlns:a16="http://schemas.microsoft.com/office/drawing/2014/main" id="{AA7C2981-9F18-635D-9440-FC272E76FCBA}"/>
            </a:ext>
          </a:extLst>
        </xdr:cNvPr>
        <xdr:cNvPicPr>
          <a:picLocks noChangeAspect="1"/>
        </xdr:cNvPicPr>
      </xdr:nvPicPr>
      <xdr:blipFill>
        <a:blip xmlns:r="http://schemas.openxmlformats.org/officeDocument/2006/relationships" r:embed="rId21"/>
        <a:stretch>
          <a:fillRect/>
        </a:stretch>
      </xdr:blipFill>
      <xdr:spPr>
        <a:xfrm>
          <a:off x="14287500" y="2126815"/>
          <a:ext cx="3109229" cy="28714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10</xdr:col>
      <xdr:colOff>0</xdr:colOff>
      <xdr:row>41</xdr:row>
      <xdr:rowOff>0</xdr:rowOff>
    </xdr:from>
    <xdr:to>
      <xdr:col>17</xdr:col>
      <xdr:colOff>0</xdr:colOff>
      <xdr:row>50</xdr:row>
      <xdr:rowOff>4700</xdr:rowOff>
    </xdr:to>
    <xdr:pic>
      <xdr:nvPicPr>
        <xdr:cNvPr id="3" name="Picture 2">
          <a:extLst>
            <a:ext uri="{FF2B5EF4-FFF2-40B4-BE49-F238E27FC236}">
              <a16:creationId xmlns:a16="http://schemas.microsoft.com/office/drawing/2014/main" id="{D65D094D-3DF0-592F-A667-559B8FCE2530}"/>
            </a:ext>
          </a:extLst>
        </xdr:cNvPr>
        <xdr:cNvPicPr>
          <a:picLocks noChangeAspect="1"/>
        </xdr:cNvPicPr>
      </xdr:nvPicPr>
      <xdr:blipFill>
        <a:blip xmlns:r="http://schemas.openxmlformats.org/officeDocument/2006/relationships" r:embed="rId19"/>
        <a:stretch>
          <a:fillRect/>
        </a:stretch>
      </xdr:blipFill>
      <xdr:spPr>
        <a:xfrm>
          <a:off x="9485923" y="7571154"/>
          <a:ext cx="7199923" cy="17631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41</xdr:col>
      <xdr:colOff>0</xdr:colOff>
      <xdr:row>30</xdr:row>
      <xdr:rowOff>0</xdr:rowOff>
    </xdr:from>
    <xdr:to>
      <xdr:col>53</xdr:col>
      <xdr:colOff>261296</xdr:colOff>
      <xdr:row>66</xdr:row>
      <xdr:rowOff>147442</xdr:rowOff>
    </xdr:to>
    <xdr:pic>
      <xdr:nvPicPr>
        <xdr:cNvPr id="4" name="Picture 3">
          <a:extLst>
            <a:ext uri="{FF2B5EF4-FFF2-40B4-BE49-F238E27FC236}">
              <a16:creationId xmlns:a16="http://schemas.microsoft.com/office/drawing/2014/main" id="{16ECCE6A-30CB-D268-25CD-2020EE2E5E61}"/>
            </a:ext>
          </a:extLst>
        </xdr:cNvPr>
        <xdr:cNvPicPr>
          <a:picLocks noChangeAspect="1"/>
        </xdr:cNvPicPr>
      </xdr:nvPicPr>
      <xdr:blipFill>
        <a:blip xmlns:r="http://schemas.openxmlformats.org/officeDocument/2006/relationships" r:embed="rId18"/>
        <a:stretch>
          <a:fillRect/>
        </a:stretch>
      </xdr:blipFill>
      <xdr:spPr>
        <a:xfrm>
          <a:off x="28281923" y="4762500"/>
          <a:ext cx="8526065" cy="6477904"/>
        </a:xfrm>
        <a:prstGeom prst="rect">
          <a:avLst/>
        </a:prstGeom>
      </xdr:spPr>
    </xdr:pic>
    <xdr:clientData/>
  </xdr:twoCellAnchor>
  <xdr:twoCellAnchor editAs="oneCell">
    <xdr:from>
      <xdr:col>54</xdr:col>
      <xdr:colOff>0</xdr:colOff>
      <xdr:row>30</xdr:row>
      <xdr:rowOff>0</xdr:rowOff>
    </xdr:from>
    <xdr:to>
      <xdr:col>74</xdr:col>
      <xdr:colOff>135283</xdr:colOff>
      <xdr:row>59</xdr:row>
      <xdr:rowOff>52152</xdr:rowOff>
    </xdr:to>
    <xdr:pic>
      <xdr:nvPicPr>
        <xdr:cNvPr id="5" name="Picture 4">
          <a:extLst>
            <a:ext uri="{FF2B5EF4-FFF2-40B4-BE49-F238E27FC236}">
              <a16:creationId xmlns:a16="http://schemas.microsoft.com/office/drawing/2014/main" id="{9C416548-97FD-C818-074D-A864B54BABF4}"/>
            </a:ext>
          </a:extLst>
        </xdr:cNvPr>
        <xdr:cNvPicPr>
          <a:picLocks noChangeAspect="1"/>
        </xdr:cNvPicPr>
      </xdr:nvPicPr>
      <xdr:blipFill>
        <a:blip xmlns:r="http://schemas.openxmlformats.org/officeDocument/2006/relationships" r:embed="rId19"/>
        <a:stretch>
          <a:fillRect/>
        </a:stretch>
      </xdr:blipFill>
      <xdr:spPr>
        <a:xfrm>
          <a:off x="37150431" y="4806462"/>
          <a:ext cx="13851283" cy="513469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1"/>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3"/>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4"/>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5"/>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6"/>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7"/>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8"/>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9"/>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0"/>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1"/>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2"/>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3"/>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4"/>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5"/>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6"/>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7"/>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28015</xdr:colOff>
      <xdr:row>30</xdr:row>
      <xdr:rowOff>126066</xdr:rowOff>
    </xdr:from>
    <xdr:to>
      <xdr:col>20</xdr:col>
      <xdr:colOff>743850</xdr:colOff>
      <xdr:row>54</xdr:row>
      <xdr:rowOff>71247</xdr:rowOff>
    </xdr:to>
    <xdr:pic>
      <xdr:nvPicPr>
        <xdr:cNvPr id="3" name="Picture 2">
          <a:extLst>
            <a:ext uri="{FF2B5EF4-FFF2-40B4-BE49-F238E27FC236}">
              <a16:creationId xmlns:a16="http://schemas.microsoft.com/office/drawing/2014/main" id="{571E9AA9-9F24-EC66-A1CD-4AB1990660C8}"/>
            </a:ext>
          </a:extLst>
        </xdr:cNvPr>
        <xdr:cNvPicPr>
          <a:picLocks noChangeAspect="1"/>
        </xdr:cNvPicPr>
      </xdr:nvPicPr>
      <xdr:blipFill>
        <a:blip xmlns:r="http://schemas.openxmlformats.org/officeDocument/2006/relationships" r:embed="rId18"/>
        <a:stretch>
          <a:fillRect/>
        </a:stretch>
      </xdr:blipFill>
      <xdr:spPr>
        <a:xfrm>
          <a:off x="8334375" y="5392831"/>
          <a:ext cx="7803556" cy="4651651"/>
        </a:xfrm>
        <a:prstGeom prst="rect">
          <a:avLst/>
        </a:prstGeom>
      </xdr:spPr>
    </xdr:pic>
    <xdr:clientData/>
  </xdr:twoCellAnchor>
  <xdr:twoCellAnchor editAs="oneCell">
    <xdr:from>
      <xdr:col>1</xdr:col>
      <xdr:colOff>210111</xdr:colOff>
      <xdr:row>30</xdr:row>
      <xdr:rowOff>154079</xdr:rowOff>
    </xdr:from>
    <xdr:to>
      <xdr:col>9</xdr:col>
      <xdr:colOff>765182</xdr:colOff>
      <xdr:row>53</xdr:row>
      <xdr:rowOff>75888</xdr:rowOff>
    </xdr:to>
    <xdr:pic>
      <xdr:nvPicPr>
        <xdr:cNvPr id="8" name="Picture 7">
          <a:extLst>
            <a:ext uri="{FF2B5EF4-FFF2-40B4-BE49-F238E27FC236}">
              <a16:creationId xmlns:a16="http://schemas.microsoft.com/office/drawing/2014/main" id="{787105FC-2C5A-92E4-077B-C2764610B5B8}"/>
            </a:ext>
          </a:extLst>
        </xdr:cNvPr>
        <xdr:cNvPicPr>
          <a:picLocks noChangeAspect="1"/>
        </xdr:cNvPicPr>
      </xdr:nvPicPr>
      <xdr:blipFill>
        <a:blip xmlns:r="http://schemas.openxmlformats.org/officeDocument/2006/relationships" r:embed="rId19"/>
        <a:stretch>
          <a:fillRect/>
        </a:stretch>
      </xdr:blipFill>
      <xdr:spPr>
        <a:xfrm>
          <a:off x="378199" y="5420844"/>
          <a:ext cx="7236579" cy="4432176"/>
        </a:xfrm>
        <a:prstGeom prst="rect">
          <a:avLst/>
        </a:prstGeom>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l63823@aln.iseg.ulisboa.pt" TargetMode="External"/><Relationship Id="rId3" Type="http://schemas.openxmlformats.org/officeDocument/2006/relationships/hyperlink" Target="mailto:raul.vasconcelos@aln.iseg.ulisboa.pt" TargetMode="External"/><Relationship Id="rId7" Type="http://schemas.openxmlformats.org/officeDocument/2006/relationships/hyperlink" Target="mailto:danielfccruz@aln.iseg.ulisboa.pt" TargetMode="External"/><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d.bootsma@aln.iseg.ulisboa.pt" TargetMode="External"/><Relationship Id="rId5" Type="http://schemas.openxmlformats.org/officeDocument/2006/relationships/hyperlink" Target="mailto:raul.vasconcelos@aln.iseg.ulisboa.pt" TargetMode="External"/><Relationship Id="rId10" Type="http://schemas.openxmlformats.org/officeDocument/2006/relationships/drawing" Target="../drawings/drawing2.xml"/><Relationship Id="rId4" Type="http://schemas.openxmlformats.org/officeDocument/2006/relationships/hyperlink" Target="mailto:raul.vasconcelos@aln.iseg.ulisboa.pt"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mordorintelligence.com/industry-reports/agricultural-machinery-market" TargetMode="External"/><Relationship Id="rId3" Type="http://schemas.openxmlformats.org/officeDocument/2006/relationships/hyperlink" Target="https://www.econmarketresearch.com/industry-report/construction-equipment-market/" TargetMode="External"/><Relationship Id="rId7" Type="http://schemas.openxmlformats.org/officeDocument/2006/relationships/hyperlink" Target="https://www.grandviewresearch.com/industry-analysis/agriculture-equipment-market" TargetMode="External"/><Relationship Id="rId12" Type="http://schemas.openxmlformats.org/officeDocument/2006/relationships/comments" Target="../comments1.xml"/><Relationship Id="rId2" Type="http://schemas.openxmlformats.org/officeDocument/2006/relationships/hyperlink" Target="https://www.mordorintelligence.com/industry-reports/construction-equipment-market" TargetMode="External"/><Relationship Id="rId1" Type="http://schemas.openxmlformats.org/officeDocument/2006/relationships/hyperlink" Target="https://www.mordorintelligence.com/industry-reports/forestry-machinery-market" TargetMode="External"/><Relationship Id="rId6" Type="http://schemas.openxmlformats.org/officeDocument/2006/relationships/hyperlink" Target="https://www.statista.com/outlook/io/manufacturing/industrial-machinery-manufacturing/agricultural-machinery-manufacturing/worldwide?currency=USD" TargetMode="External"/><Relationship Id="rId11" Type="http://schemas.openxmlformats.org/officeDocument/2006/relationships/vmlDrawing" Target="../drawings/vmlDrawing1.vml"/><Relationship Id="rId5" Type="http://schemas.openxmlformats.org/officeDocument/2006/relationships/hyperlink" Target="https://www.maximizemarketresearch.com/market-report/global-construction-equipment-market/44733/" TargetMode="External"/><Relationship Id="rId10" Type="http://schemas.openxmlformats.org/officeDocument/2006/relationships/drawing" Target="../drawings/drawing3.xml"/><Relationship Id="rId4" Type="http://schemas.openxmlformats.org/officeDocument/2006/relationships/hyperlink" Target="https://www.gminsights.com/industry-analysis/construction-equipment-market" TargetMode="Externa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zoomScale="85" zoomScaleNormal="85" workbookViewId="0">
      <selection activeCell="R57" sqref="R57"/>
    </sheetView>
  </sheetViews>
  <sheetFormatPr defaultColWidth="9" defaultRowHeight="15" customHeight="1" x14ac:dyDescent="0.25"/>
  <cols>
    <col min="1" max="2" width="9" style="580"/>
    <col min="3" max="5" width="10.09765625" style="580" bestFit="1" customWidth="1"/>
    <col min="6" max="16384" width="9" style="580"/>
  </cols>
  <sheetData>
    <row r="1" s="575" customFormat="1" ht="15" customHeight="1" x14ac:dyDescent="0.25"/>
    <row r="2" s="575" customFormat="1" ht="15" customHeight="1" x14ac:dyDescent="0.25"/>
    <row r="3" s="575" customFormat="1" ht="15" customHeight="1" x14ac:dyDescent="0.25"/>
    <row r="4" s="575" customFormat="1" ht="15" customHeight="1" x14ac:dyDescent="0.25"/>
    <row r="5" ht="4.3499999999999996" customHeight="1" x14ac:dyDescent="0.25"/>
    <row r="101" spans="3:3" ht="15" customHeight="1" x14ac:dyDescent="0.25">
      <c r="C101" s="607"/>
    </row>
    <row r="102" spans="3:3" ht="15" customHeight="1" x14ac:dyDescent="0.25">
      <c r="C102" s="607"/>
    </row>
    <row r="103" spans="3:3" ht="15" customHeight="1" x14ac:dyDescent="0.25">
      <c r="C103" s="607"/>
    </row>
    <row r="104" spans="3:3" ht="15" customHeight="1" x14ac:dyDescent="0.25">
      <c r="C104" s="607"/>
    </row>
    <row r="105" spans="3:3" ht="15" customHeight="1" x14ac:dyDescent="0.25">
      <c r="C105" s="607"/>
    </row>
    <row r="106" spans="3:3" ht="15" customHeight="1" x14ac:dyDescent="0.25">
      <c r="C106" s="607"/>
    </row>
    <row r="107" spans="3:3" ht="15" customHeight="1" x14ac:dyDescent="0.25">
      <c r="C107" s="607"/>
    </row>
    <row r="108" spans="3:3" ht="15" customHeight="1" x14ac:dyDescent="0.25">
      <c r="C108" s="607"/>
    </row>
    <row r="109" spans="3:3" ht="15" customHeight="1" x14ac:dyDescent="0.25">
      <c r="C109" s="607"/>
    </row>
    <row r="110" spans="3:3" ht="15" customHeight="1" x14ac:dyDescent="0.25">
      <c r="C110" s="607"/>
    </row>
    <row r="111" spans="3:3" ht="15" customHeight="1" x14ac:dyDescent="0.25">
      <c r="C111" s="607"/>
    </row>
    <row r="112" spans="3:3" ht="15" customHeight="1" x14ac:dyDescent="0.25">
      <c r="C112" s="607"/>
    </row>
    <row r="113" spans="3:3" ht="15" customHeight="1" x14ac:dyDescent="0.25">
      <c r="C113" s="607"/>
    </row>
    <row r="114" spans="3:3" ht="15" customHeight="1" x14ac:dyDescent="0.25">
      <c r="C114" s="607"/>
    </row>
    <row r="115" spans="3:3" ht="15" customHeight="1" x14ac:dyDescent="0.25">
      <c r="C115" s="607"/>
    </row>
    <row r="116" spans="3:3" ht="15" customHeight="1" x14ac:dyDescent="0.25">
      <c r="C116" s="607"/>
    </row>
    <row r="117" spans="3:3" ht="15" customHeight="1" x14ac:dyDescent="0.25">
      <c r="C117" s="607"/>
    </row>
    <row r="118" spans="3:3" ht="15" customHeight="1" x14ac:dyDescent="0.25">
      <c r="C118" s="607"/>
    </row>
    <row r="119" spans="3:3" ht="15" customHeight="1" x14ac:dyDescent="0.25">
      <c r="C119" s="607"/>
    </row>
    <row r="120" spans="3:3" ht="15" customHeight="1" x14ac:dyDescent="0.25">
      <c r="C120" s="607"/>
    </row>
    <row r="121" spans="3:3" ht="15" customHeight="1" x14ac:dyDescent="0.25">
      <c r="C121" s="607"/>
    </row>
    <row r="122" spans="3:3" ht="15" customHeight="1" x14ac:dyDescent="0.25">
      <c r="C122" s="607"/>
    </row>
    <row r="123" spans="3:3" ht="15" customHeight="1" x14ac:dyDescent="0.25">
      <c r="C123" s="607"/>
    </row>
    <row r="124" spans="3:3" ht="15" customHeight="1" x14ac:dyDescent="0.25">
      <c r="C124" s="607"/>
    </row>
    <row r="125" spans="3:3" ht="15" customHeight="1" x14ac:dyDescent="0.25">
      <c r="C125" s="607"/>
    </row>
    <row r="126" spans="3:3" ht="15" customHeight="1" x14ac:dyDescent="0.25">
      <c r="C126" s="607"/>
    </row>
    <row r="127" spans="3:3" ht="15" customHeight="1" x14ac:dyDescent="0.25">
      <c r="C127" s="607"/>
    </row>
    <row r="128" spans="3:3" ht="15" customHeight="1" x14ac:dyDescent="0.25">
      <c r="C128" s="607"/>
    </row>
    <row r="129" spans="3:3" ht="15" customHeight="1" x14ac:dyDescent="0.25">
      <c r="C129" s="607"/>
    </row>
    <row r="130" spans="3:3" ht="15" customHeight="1" x14ac:dyDescent="0.25">
      <c r="C130" s="607"/>
    </row>
    <row r="131" spans="3:3" ht="15" customHeight="1" x14ac:dyDescent="0.25">
      <c r="C131" s="607"/>
    </row>
    <row r="132" spans="3:3" ht="15" customHeight="1" x14ac:dyDescent="0.25">
      <c r="C132" s="607"/>
    </row>
    <row r="133" spans="3:3" ht="15" customHeight="1" x14ac:dyDescent="0.25">
      <c r="C133" s="607"/>
    </row>
    <row r="134" spans="3:3" ht="15" customHeight="1" x14ac:dyDescent="0.25">
      <c r="C134" s="607"/>
    </row>
    <row r="135" spans="3:3" ht="15" customHeight="1" x14ac:dyDescent="0.25">
      <c r="C135" s="607"/>
    </row>
    <row r="136" spans="3:3" ht="15" customHeight="1" x14ac:dyDescent="0.25">
      <c r="C136" s="607"/>
    </row>
    <row r="137" spans="3:3" ht="15" customHeight="1" x14ac:dyDescent="0.25">
      <c r="C137" s="607"/>
    </row>
    <row r="138" spans="3:3" ht="15" customHeight="1" x14ac:dyDescent="0.25">
      <c r="C138" s="607"/>
    </row>
    <row r="139" spans="3:3" ht="15" customHeight="1" x14ac:dyDescent="0.25">
      <c r="C139" s="607"/>
    </row>
    <row r="140" spans="3:3" ht="15" customHeight="1" x14ac:dyDescent="0.25">
      <c r="C140" s="607"/>
    </row>
    <row r="141" spans="3:3" ht="15" customHeight="1" x14ac:dyDescent="0.25">
      <c r="C141" s="607"/>
    </row>
    <row r="142" spans="3:3" ht="15" customHeight="1" x14ac:dyDescent="0.25">
      <c r="C142" s="607"/>
    </row>
    <row r="143" spans="3:3" ht="15" customHeight="1" x14ac:dyDescent="0.25">
      <c r="C143" s="607"/>
    </row>
    <row r="144" spans="3:3" ht="15" customHeight="1" x14ac:dyDescent="0.25">
      <c r="C144" s="607"/>
    </row>
    <row r="145" spans="3:12" ht="15" customHeight="1" x14ac:dyDescent="0.25">
      <c r="C145" s="607"/>
    </row>
    <row r="146" spans="3:12" ht="15" customHeight="1" x14ac:dyDescent="0.25">
      <c r="C146" s="607"/>
    </row>
    <row r="147" spans="3:12" ht="15" customHeight="1" x14ac:dyDescent="0.25">
      <c r="C147" s="607"/>
    </row>
    <row r="148" spans="3:12" ht="15" customHeight="1" x14ac:dyDescent="0.25">
      <c r="C148" s="607"/>
    </row>
    <row r="149" spans="3:12" ht="15" customHeight="1" x14ac:dyDescent="0.25">
      <c r="C149" s="607"/>
    </row>
    <row r="150" spans="3:12" ht="15" customHeight="1" x14ac:dyDescent="0.25">
      <c r="C150" s="607"/>
    </row>
    <row r="151" spans="3:12" ht="15" customHeight="1" x14ac:dyDescent="0.25">
      <c r="C151" s="607"/>
    </row>
    <row r="152" spans="3:12" ht="15" customHeight="1" x14ac:dyDescent="0.25">
      <c r="C152" s="607"/>
    </row>
    <row r="153" spans="3:12" ht="15" customHeight="1" x14ac:dyDescent="0.25">
      <c r="C153" s="607"/>
    </row>
    <row r="154" spans="3:12" ht="15" customHeight="1" x14ac:dyDescent="0.25">
      <c r="C154" s="607">
        <f t="shared" ref="C154:C164" si="0">+C155+1</f>
        <v>45957</v>
      </c>
    </row>
    <row r="155" spans="3:12" ht="15" customHeight="1" x14ac:dyDescent="0.25">
      <c r="C155" s="607">
        <f t="shared" si="0"/>
        <v>45956</v>
      </c>
    </row>
    <row r="156" spans="3:12" ht="15" customHeight="1" x14ac:dyDescent="0.25">
      <c r="C156" s="607">
        <f t="shared" si="0"/>
        <v>45955</v>
      </c>
    </row>
    <row r="157" spans="3:12" ht="15" customHeight="1" x14ac:dyDescent="0.25">
      <c r="C157" s="607">
        <f t="shared" si="0"/>
        <v>45954</v>
      </c>
    </row>
    <row r="158" spans="3:12" ht="15" customHeight="1" x14ac:dyDescent="0.25">
      <c r="C158" s="607">
        <f t="shared" si="0"/>
        <v>45953</v>
      </c>
    </row>
    <row r="159" spans="3:12" ht="15" customHeight="1" x14ac:dyDescent="0.25">
      <c r="C159" s="607">
        <f t="shared" si="0"/>
        <v>45952</v>
      </c>
    </row>
    <row r="160" spans="3:12" ht="15" customHeight="1" x14ac:dyDescent="0.25">
      <c r="C160" s="607">
        <f t="shared" si="0"/>
        <v>45951</v>
      </c>
      <c r="L160" s="580">
        <f ca="1">IF(FCFF!$R$157="Revenue Exit",FCFF!$AF$169,IF(FCFF!$R$157="EBITDA Exit",FCFF!Z169,FCFF!AL169))</f>
        <v>393.57377557272673</v>
      </c>
    </row>
    <row r="161" spans="3:5" ht="15" customHeight="1" x14ac:dyDescent="0.25">
      <c r="C161" s="607">
        <f t="shared" si="0"/>
        <v>45950</v>
      </c>
    </row>
    <row r="162" spans="3:5" ht="15" customHeight="1" x14ac:dyDescent="0.25">
      <c r="C162" s="607">
        <f t="shared" si="0"/>
        <v>45949</v>
      </c>
      <c r="E162" s="580">
        <f ca="1">IF(FCFF!$R$157="Revenue Exit",FCFF!$AF$169,IF(FCFF!$R$157="EBITDA Exit",FCFF!Z169,FCFF!AL169))</f>
        <v>393.57377557272673</v>
      </c>
    </row>
    <row r="163" spans="3:5" ht="15" customHeight="1" x14ac:dyDescent="0.25">
      <c r="C163" s="607">
        <f t="shared" si="0"/>
        <v>45948</v>
      </c>
      <c r="E163" s="580">
        <f t="shared" ref="E163:E192" ca="1" si="1">E164+($E$162-$E$193)/COUNTA($C$162:$C$192)</f>
        <v>396.41042797360728</v>
      </c>
    </row>
    <row r="164" spans="3:5" ht="15" customHeight="1" x14ac:dyDescent="0.25">
      <c r="C164" s="607">
        <f t="shared" si="0"/>
        <v>45947</v>
      </c>
      <c r="E164" s="580">
        <f t="shared" ca="1" si="1"/>
        <v>399.24708037448704</v>
      </c>
    </row>
    <row r="165" spans="3:5" ht="15" customHeight="1" x14ac:dyDescent="0.25">
      <c r="C165" s="607">
        <f t="shared" ref="C165:C191" si="2">+C166+1</f>
        <v>45946</v>
      </c>
      <c r="E165" s="580">
        <f t="shared" ca="1" si="1"/>
        <v>402.0837327753668</v>
      </c>
    </row>
    <row r="166" spans="3:5" ht="15" customHeight="1" x14ac:dyDescent="0.25">
      <c r="C166" s="607">
        <f t="shared" si="2"/>
        <v>45945</v>
      </c>
      <c r="E166" s="580">
        <f t="shared" ca="1" si="1"/>
        <v>404.92038517624655</v>
      </c>
    </row>
    <row r="167" spans="3:5" ht="15" customHeight="1" x14ac:dyDescent="0.25">
      <c r="C167" s="607">
        <f t="shared" si="2"/>
        <v>45944</v>
      </c>
      <c r="E167" s="580">
        <f t="shared" ca="1" si="1"/>
        <v>407.75703757712631</v>
      </c>
    </row>
    <row r="168" spans="3:5" ht="15" customHeight="1" x14ac:dyDescent="0.25">
      <c r="C168" s="607">
        <f t="shared" si="2"/>
        <v>45943</v>
      </c>
      <c r="E168" s="580">
        <f t="shared" ca="1" si="1"/>
        <v>410.59368997800607</v>
      </c>
    </row>
    <row r="169" spans="3:5" ht="15" customHeight="1" x14ac:dyDescent="0.25">
      <c r="C169" s="607">
        <f t="shared" si="2"/>
        <v>45942</v>
      </c>
      <c r="E169" s="580">
        <f t="shared" ca="1" si="1"/>
        <v>413.43034237888583</v>
      </c>
    </row>
    <row r="170" spans="3:5" ht="15" customHeight="1" x14ac:dyDescent="0.25">
      <c r="C170" s="607">
        <f t="shared" si="2"/>
        <v>45941</v>
      </c>
      <c r="E170" s="580">
        <f t="shared" ca="1" si="1"/>
        <v>416.26699477976558</v>
      </c>
    </row>
    <row r="171" spans="3:5" ht="15" customHeight="1" x14ac:dyDescent="0.25">
      <c r="C171" s="607">
        <f t="shared" si="2"/>
        <v>45940</v>
      </c>
      <c r="E171" s="580">
        <f t="shared" ca="1" si="1"/>
        <v>419.10364718064534</v>
      </c>
    </row>
    <row r="172" spans="3:5" ht="15" customHeight="1" x14ac:dyDescent="0.25">
      <c r="C172" s="607">
        <f t="shared" si="2"/>
        <v>45939</v>
      </c>
      <c r="E172" s="580">
        <f t="shared" ca="1" si="1"/>
        <v>421.9402995815251</v>
      </c>
    </row>
    <row r="173" spans="3:5" ht="15" customHeight="1" x14ac:dyDescent="0.25">
      <c r="C173" s="607">
        <f t="shared" si="2"/>
        <v>45938</v>
      </c>
      <c r="E173" s="580">
        <f t="shared" ca="1" si="1"/>
        <v>424.77695198240485</v>
      </c>
    </row>
    <row r="174" spans="3:5" ht="15" customHeight="1" x14ac:dyDescent="0.25">
      <c r="C174" s="607">
        <f t="shared" si="2"/>
        <v>45937</v>
      </c>
      <c r="E174" s="580">
        <f t="shared" ca="1" si="1"/>
        <v>427.61360438328461</v>
      </c>
    </row>
    <row r="175" spans="3:5" ht="15" customHeight="1" x14ac:dyDescent="0.25">
      <c r="C175" s="607">
        <f t="shared" si="2"/>
        <v>45936</v>
      </c>
      <c r="E175" s="580">
        <f t="shared" ca="1" si="1"/>
        <v>430.45025678416437</v>
      </c>
    </row>
    <row r="176" spans="3:5" ht="15" customHeight="1" x14ac:dyDescent="0.25">
      <c r="C176" s="607">
        <f t="shared" si="2"/>
        <v>45935</v>
      </c>
      <c r="E176" s="580">
        <f t="shared" ca="1" si="1"/>
        <v>433.28690918504412</v>
      </c>
    </row>
    <row r="177" spans="3:5" ht="15" customHeight="1" x14ac:dyDescent="0.25">
      <c r="C177" s="607">
        <f t="shared" si="2"/>
        <v>45934</v>
      </c>
      <c r="E177" s="580">
        <f t="shared" ca="1" si="1"/>
        <v>436.12356158592388</v>
      </c>
    </row>
    <row r="178" spans="3:5" ht="15" customHeight="1" x14ac:dyDescent="0.25">
      <c r="C178" s="607">
        <f t="shared" si="2"/>
        <v>45933</v>
      </c>
      <c r="E178" s="580">
        <f t="shared" ca="1" si="1"/>
        <v>438.96021398680364</v>
      </c>
    </row>
    <row r="179" spans="3:5" ht="15" customHeight="1" x14ac:dyDescent="0.25">
      <c r="C179" s="607">
        <f t="shared" si="2"/>
        <v>45932</v>
      </c>
      <c r="E179" s="580">
        <f t="shared" ca="1" si="1"/>
        <v>441.79686638768339</v>
      </c>
    </row>
    <row r="180" spans="3:5" ht="15" customHeight="1" x14ac:dyDescent="0.25">
      <c r="C180" s="607">
        <f t="shared" si="2"/>
        <v>45931</v>
      </c>
      <c r="E180" s="580">
        <f t="shared" ca="1" si="1"/>
        <v>444.63351878856315</v>
      </c>
    </row>
    <row r="181" spans="3:5" ht="15" customHeight="1" x14ac:dyDescent="0.25">
      <c r="C181" s="607">
        <f t="shared" si="2"/>
        <v>45930</v>
      </c>
      <c r="E181" s="580">
        <f t="shared" ca="1" si="1"/>
        <v>447.47017118944291</v>
      </c>
    </row>
    <row r="182" spans="3:5" ht="15" customHeight="1" x14ac:dyDescent="0.25">
      <c r="C182" s="607">
        <f t="shared" si="2"/>
        <v>45929</v>
      </c>
      <c r="E182" s="580">
        <f t="shared" ca="1" si="1"/>
        <v>450.30682359032267</v>
      </c>
    </row>
    <row r="183" spans="3:5" ht="15" customHeight="1" x14ac:dyDescent="0.25">
      <c r="C183" s="607">
        <f t="shared" si="2"/>
        <v>45928</v>
      </c>
      <c r="E183" s="580">
        <f t="shared" ca="1" si="1"/>
        <v>453.14347599120242</v>
      </c>
    </row>
    <row r="184" spans="3:5" ht="15" customHeight="1" x14ac:dyDescent="0.25">
      <c r="C184" s="607">
        <f t="shared" si="2"/>
        <v>45927</v>
      </c>
      <c r="E184" s="580">
        <f t="shared" ca="1" si="1"/>
        <v>455.98012839208218</v>
      </c>
    </row>
    <row r="185" spans="3:5" ht="15" customHeight="1" x14ac:dyDescent="0.25">
      <c r="C185" s="607">
        <f t="shared" si="2"/>
        <v>45926</v>
      </c>
      <c r="E185" s="580">
        <f t="shared" ca="1" si="1"/>
        <v>458.81678079296194</v>
      </c>
    </row>
    <row r="186" spans="3:5" ht="15" customHeight="1" x14ac:dyDescent="0.25">
      <c r="C186" s="607">
        <f t="shared" si="2"/>
        <v>45925</v>
      </c>
      <c r="E186" s="580">
        <f t="shared" ca="1" si="1"/>
        <v>461.65343319384169</v>
      </c>
    </row>
    <row r="187" spans="3:5" ht="15" customHeight="1" x14ac:dyDescent="0.25">
      <c r="C187" s="607">
        <f t="shared" si="2"/>
        <v>45924</v>
      </c>
      <c r="E187" s="580">
        <f t="shared" ca="1" si="1"/>
        <v>464.49008559472145</v>
      </c>
    </row>
    <row r="188" spans="3:5" ht="15" customHeight="1" x14ac:dyDescent="0.25">
      <c r="C188" s="607">
        <f t="shared" si="2"/>
        <v>45923</v>
      </c>
      <c r="E188" s="580">
        <f t="shared" ca="1" si="1"/>
        <v>467.32673799560121</v>
      </c>
    </row>
    <row r="189" spans="3:5" ht="15" customHeight="1" x14ac:dyDescent="0.25">
      <c r="C189" s="607">
        <f t="shared" si="2"/>
        <v>45922</v>
      </c>
      <c r="E189" s="580">
        <f t="shared" ca="1" si="1"/>
        <v>470.16339039648096</v>
      </c>
    </row>
    <row r="190" spans="3:5" ht="15" customHeight="1" x14ac:dyDescent="0.25">
      <c r="C190" s="607">
        <f t="shared" si="2"/>
        <v>45921</v>
      </c>
      <c r="E190" s="580">
        <f t="shared" ca="1" si="1"/>
        <v>473.00004279736072</v>
      </c>
    </row>
    <row r="191" spans="3:5" ht="15" customHeight="1" x14ac:dyDescent="0.25">
      <c r="C191" s="607">
        <f t="shared" si="2"/>
        <v>45920</v>
      </c>
      <c r="E191" s="580">
        <f t="shared" ca="1" si="1"/>
        <v>475.83669519824048</v>
      </c>
    </row>
    <row r="192" spans="3:5" ht="15" customHeight="1" x14ac:dyDescent="0.25">
      <c r="C192" s="607">
        <f>+C193+1</f>
        <v>45919</v>
      </c>
      <c r="E192" s="580">
        <f t="shared" ca="1" si="1"/>
        <v>478.67334759912023</v>
      </c>
    </row>
    <row r="193" spans="2:5" ht="15" customHeight="1" x14ac:dyDescent="0.25">
      <c r="B193" s="580" t="s">
        <v>0</v>
      </c>
      <c r="C193" s="606">
        <f>+'Stock Data'!AM4</f>
        <v>45918</v>
      </c>
      <c r="D193" s="580">
        <f>_xlfn.XLOOKUP(C193,'Stock Data'!$AM$4:$AM$1051,'Stock Data'!$AN$4:$AN$1051)</f>
        <v>481.51</v>
      </c>
      <c r="E193" s="580">
        <f>D193</f>
        <v>481.51</v>
      </c>
    </row>
    <row r="194" spans="2:5" ht="15" customHeight="1" x14ac:dyDescent="0.25">
      <c r="C194" s="606">
        <f>+'Stock Data'!AM5</f>
        <v>45917</v>
      </c>
      <c r="D194" s="580">
        <f>_xlfn.XLOOKUP(C194,'Stock Data'!$AM$4:$AM$1051,'Stock Data'!$AN$4:$AN$1051)</f>
        <v>481.51</v>
      </c>
    </row>
    <row r="195" spans="2:5" ht="15" customHeight="1" x14ac:dyDescent="0.25">
      <c r="C195" s="606">
        <f>+'Stock Data'!AM6</f>
        <v>45916</v>
      </c>
      <c r="D195" s="580">
        <f>_xlfn.XLOOKUP(C195,'Stock Data'!$AM$4:$AM$1051,'Stock Data'!$AN$4:$AN$1051)</f>
        <v>473.26</v>
      </c>
    </row>
    <row r="196" spans="2:5" ht="15" customHeight="1" x14ac:dyDescent="0.25">
      <c r="C196" s="606">
        <f>+'Stock Data'!AM7</f>
        <v>45915</v>
      </c>
      <c r="D196" s="580">
        <f>_xlfn.XLOOKUP(C196,'Stock Data'!$AM$4:$AM$1051,'Stock Data'!$AN$4:$AN$1051)</f>
        <v>473.26</v>
      </c>
    </row>
    <row r="197" spans="2:5" ht="15" customHeight="1" x14ac:dyDescent="0.25">
      <c r="C197" s="606">
        <f>+'Stock Data'!AM8</f>
        <v>45914</v>
      </c>
      <c r="D197" s="580">
        <f>_xlfn.XLOOKUP(C197,'Stock Data'!$AM$4:$AM$1051,'Stock Data'!$AN$4:$AN$1051)</f>
        <v>473.26</v>
      </c>
    </row>
    <row r="198" spans="2:5" ht="15" customHeight="1" x14ac:dyDescent="0.25">
      <c r="C198" s="606">
        <f>+'Stock Data'!AM9</f>
        <v>45913</v>
      </c>
      <c r="D198" s="580">
        <f>_xlfn.XLOOKUP(C198,'Stock Data'!$AM$4:$AM$1051,'Stock Data'!$AN$4:$AN$1051)</f>
        <v>474.9</v>
      </c>
    </row>
    <row r="199" spans="2:5" ht="15" customHeight="1" x14ac:dyDescent="0.25">
      <c r="C199" s="606">
        <f>+'Stock Data'!AM10</f>
        <v>45912</v>
      </c>
      <c r="D199" s="580">
        <f>_xlfn.XLOOKUP(C199,'Stock Data'!$AM$4:$AM$1051,'Stock Data'!$AN$4:$AN$1051)</f>
        <v>469.52</v>
      </c>
    </row>
    <row r="200" spans="2:5" ht="15" customHeight="1" x14ac:dyDescent="0.25">
      <c r="C200" s="606">
        <f>+'Stock Data'!AM11</f>
        <v>45911</v>
      </c>
      <c r="D200" s="580">
        <f>_xlfn.XLOOKUP(C200,'Stock Data'!$AM$4:$AM$1051,'Stock Data'!$AN$4:$AN$1051)</f>
        <v>476.78</v>
      </c>
    </row>
    <row r="201" spans="2:5" ht="15" customHeight="1" x14ac:dyDescent="0.25">
      <c r="C201" s="606">
        <f>+'Stock Data'!AM12</f>
        <v>45910</v>
      </c>
      <c r="D201" s="580">
        <f>_xlfn.XLOOKUP(C201,'Stock Data'!$AM$4:$AM$1051,'Stock Data'!$AN$4:$AN$1051)</f>
        <v>478.64</v>
      </c>
    </row>
    <row r="202" spans="2:5" ht="15" customHeight="1" x14ac:dyDescent="0.25">
      <c r="C202" s="606">
        <f>+'Stock Data'!AM13</f>
        <v>45909</v>
      </c>
      <c r="D202" s="580">
        <f>_xlfn.XLOOKUP(C202,'Stock Data'!$AM$4:$AM$1051,'Stock Data'!$AN$4:$AN$1051)</f>
        <v>478.64</v>
      </c>
    </row>
    <row r="203" spans="2:5" ht="15" customHeight="1" x14ac:dyDescent="0.25">
      <c r="C203" s="606">
        <f>+'Stock Data'!AM14</f>
        <v>45908</v>
      </c>
      <c r="D203" s="580">
        <f>_xlfn.XLOOKUP(C203,'Stock Data'!$AM$4:$AM$1051,'Stock Data'!$AN$4:$AN$1051)</f>
        <v>478.64</v>
      </c>
    </row>
    <row r="204" spans="2:5" ht="15" customHeight="1" x14ac:dyDescent="0.25">
      <c r="C204" s="606">
        <f>+'Stock Data'!AM15</f>
        <v>45907</v>
      </c>
      <c r="D204" s="580">
        <f>_xlfn.XLOOKUP(C204,'Stock Data'!$AM$4:$AM$1051,'Stock Data'!$AN$4:$AN$1051)</f>
        <v>478.64</v>
      </c>
    </row>
    <row r="205" spans="2:5" ht="15" customHeight="1" x14ac:dyDescent="0.25">
      <c r="C205" s="606">
        <f>+'Stock Data'!AM16</f>
        <v>45906</v>
      </c>
      <c r="D205" s="580">
        <f>_xlfn.XLOOKUP(C205,'Stock Data'!$AM$4:$AM$1051,'Stock Data'!$AN$4:$AN$1051)</f>
        <v>491.44</v>
      </c>
    </row>
    <row r="206" spans="2:5" ht="15" customHeight="1" x14ac:dyDescent="0.25">
      <c r="C206" s="606">
        <f>+'Stock Data'!AM17</f>
        <v>45905</v>
      </c>
      <c r="D206" s="580">
        <f>_xlfn.XLOOKUP(C206,'Stock Data'!$AM$4:$AM$1051,'Stock Data'!$AN$4:$AN$1051)</f>
        <v>493.08</v>
      </c>
    </row>
    <row r="207" spans="2:5" ht="15" customHeight="1" x14ac:dyDescent="0.25">
      <c r="C207" s="606">
        <f>+'Stock Data'!AM18</f>
        <v>45904</v>
      </c>
      <c r="D207" s="580">
        <f>_xlfn.XLOOKUP(C207,'Stock Data'!$AM$4:$AM$1051,'Stock Data'!$AN$4:$AN$1051)</f>
        <v>487.76</v>
      </c>
    </row>
    <row r="208" spans="2:5" ht="15" customHeight="1" x14ac:dyDescent="0.25">
      <c r="C208" s="606">
        <f>+'Stock Data'!AM19</f>
        <v>45903</v>
      </c>
      <c r="D208" s="580">
        <f>_xlfn.XLOOKUP(C208,'Stock Data'!$AM$4:$AM$1051,'Stock Data'!$AN$4:$AN$1051)</f>
        <v>487.9</v>
      </c>
    </row>
    <row r="209" spans="3:4" ht="15" customHeight="1" x14ac:dyDescent="0.25">
      <c r="C209" s="606">
        <f>+'Stock Data'!AM20</f>
        <v>45902</v>
      </c>
      <c r="D209" s="580">
        <f>_xlfn.XLOOKUP(C209,'Stock Data'!$AM$4:$AM$1051,'Stock Data'!$AN$4:$AN$1051)</f>
        <v>495.99</v>
      </c>
    </row>
    <row r="210" spans="3:4" ht="15" customHeight="1" x14ac:dyDescent="0.25">
      <c r="C210" s="606">
        <f>+'Stock Data'!AM21</f>
        <v>45901</v>
      </c>
      <c r="D210" s="580">
        <f>_xlfn.XLOOKUP(C210,'Stock Data'!$AM$4:$AM$1051,'Stock Data'!$AN$4:$AN$1051)</f>
        <v>495.99</v>
      </c>
    </row>
    <row r="211" spans="3:4" ht="15" customHeight="1" x14ac:dyDescent="0.25">
      <c r="C211" s="606">
        <f>+'Stock Data'!AM22</f>
        <v>45900</v>
      </c>
      <c r="D211" s="580">
        <f>_xlfn.XLOOKUP(C211,'Stock Data'!$AM$4:$AM$1051,'Stock Data'!$AN$4:$AN$1051)</f>
        <v>495.99</v>
      </c>
    </row>
    <row r="212" spans="3:4" ht="15" customHeight="1" x14ac:dyDescent="0.25">
      <c r="C212" s="606">
        <f>+'Stock Data'!AM23</f>
        <v>45899</v>
      </c>
      <c r="D212" s="580">
        <f>_xlfn.XLOOKUP(C212,'Stock Data'!$AM$4:$AM$1051,'Stock Data'!$AN$4:$AN$1051)</f>
        <v>486.76</v>
      </c>
    </row>
    <row r="213" spans="3:4" ht="15" customHeight="1" x14ac:dyDescent="0.25">
      <c r="C213" s="606">
        <f>+'Stock Data'!AM24</f>
        <v>45898</v>
      </c>
      <c r="D213" s="580">
        <f>_xlfn.XLOOKUP(C213,'Stock Data'!$AM$4:$AM$1051,'Stock Data'!$AN$4:$AN$1051)</f>
        <v>492.72</v>
      </c>
    </row>
    <row r="214" spans="3:4" ht="15" customHeight="1" x14ac:dyDescent="0.25">
      <c r="C214" s="606">
        <f>+'Stock Data'!AM25</f>
        <v>45897</v>
      </c>
      <c r="D214" s="580">
        <f>_xlfn.XLOOKUP(C214,'Stock Data'!$AM$4:$AM$1051,'Stock Data'!$AN$4:$AN$1051)</f>
        <v>489.44</v>
      </c>
    </row>
    <row r="215" spans="3:4" ht="15" customHeight="1" x14ac:dyDescent="0.25">
      <c r="C215" s="606">
        <f>+'Stock Data'!AM26</f>
        <v>45896</v>
      </c>
      <c r="D215" s="580">
        <f>_xlfn.XLOOKUP(C215,'Stock Data'!$AM$4:$AM$1051,'Stock Data'!$AN$4:$AN$1051)</f>
        <v>491.13</v>
      </c>
    </row>
    <row r="216" spans="3:4" ht="15" customHeight="1" x14ac:dyDescent="0.25">
      <c r="C216" s="606">
        <f>+'Stock Data'!AM27</f>
        <v>45895</v>
      </c>
      <c r="D216" s="580">
        <f>_xlfn.XLOOKUP(C216,'Stock Data'!$AM$4:$AM$1051,'Stock Data'!$AN$4:$AN$1051)</f>
        <v>488.8</v>
      </c>
    </row>
    <row r="217" spans="3:4" ht="15" customHeight="1" x14ac:dyDescent="0.25">
      <c r="C217" s="606">
        <f>+'Stock Data'!AM28</f>
        <v>45894</v>
      </c>
      <c r="D217" s="580">
        <f>_xlfn.XLOOKUP(C217,'Stock Data'!$AM$4:$AM$1051,'Stock Data'!$AN$4:$AN$1051)</f>
        <v>488.8</v>
      </c>
    </row>
    <row r="218" spans="3:4" ht="15" customHeight="1" x14ac:dyDescent="0.25">
      <c r="C218" s="606">
        <f>+'Stock Data'!AM29</f>
        <v>45893</v>
      </c>
      <c r="D218" s="580">
        <f>_xlfn.XLOOKUP(C218,'Stock Data'!$AM$4:$AM$1051,'Stock Data'!$AN$4:$AN$1051)</f>
        <v>488.8</v>
      </c>
    </row>
    <row r="219" spans="3:4" ht="15" customHeight="1" x14ac:dyDescent="0.25">
      <c r="C219" s="606">
        <f>+'Stock Data'!AM30</f>
        <v>45892</v>
      </c>
      <c r="D219" s="580">
        <f>_xlfn.XLOOKUP(C219,'Stock Data'!$AM$4:$AM$1051,'Stock Data'!$AN$4:$AN$1051)</f>
        <v>478.84</v>
      </c>
    </row>
    <row r="220" spans="3:4" ht="15" customHeight="1" x14ac:dyDescent="0.25">
      <c r="C220" s="606">
        <f>+'Stock Data'!AM31</f>
        <v>45891</v>
      </c>
      <c r="D220" s="580">
        <f>_xlfn.XLOOKUP(C220,'Stock Data'!$AM$4:$AM$1051,'Stock Data'!$AN$4:$AN$1051)</f>
        <v>513.54</v>
      </c>
    </row>
    <row r="221" spans="3:4" ht="15" customHeight="1" x14ac:dyDescent="0.25">
      <c r="C221" s="606">
        <f>+'Stock Data'!AM32</f>
        <v>45890</v>
      </c>
      <c r="D221" s="580">
        <f>_xlfn.XLOOKUP(C221,'Stock Data'!$AM$4:$AM$1051,'Stock Data'!$AN$4:$AN$1051)</f>
        <v>505.85</v>
      </c>
    </row>
    <row r="222" spans="3:4" ht="15" customHeight="1" x14ac:dyDescent="0.25">
      <c r="C222" s="606">
        <f>+'Stock Data'!AM33</f>
        <v>45889</v>
      </c>
      <c r="D222" s="580">
        <f>_xlfn.XLOOKUP(C222,'Stock Data'!$AM$4:$AM$1051,'Stock Data'!$AN$4:$AN$1051)</f>
        <v>506.98</v>
      </c>
    </row>
    <row r="223" spans="3:4" ht="15" customHeight="1" x14ac:dyDescent="0.25">
      <c r="C223" s="606">
        <f>+'Stock Data'!AM34</f>
        <v>45888</v>
      </c>
      <c r="D223" s="580">
        <f>_xlfn.XLOOKUP(C223,'Stock Data'!$AM$4:$AM$1051,'Stock Data'!$AN$4:$AN$1051)</f>
        <v>510.37</v>
      </c>
    </row>
    <row r="224" spans="3:4" ht="15" customHeight="1" x14ac:dyDescent="0.25">
      <c r="C224" s="606">
        <f>+'Stock Data'!AM35</f>
        <v>45887</v>
      </c>
      <c r="D224" s="580">
        <f>_xlfn.XLOOKUP(C224,'Stock Data'!$AM$4:$AM$1051,'Stock Data'!$AN$4:$AN$1051)</f>
        <v>510.37</v>
      </c>
    </row>
    <row r="225" spans="3:4" ht="15" customHeight="1" x14ac:dyDescent="0.25">
      <c r="C225" s="606">
        <f>+'Stock Data'!AM36</f>
        <v>45886</v>
      </c>
      <c r="D225" s="580">
        <f>_xlfn.XLOOKUP(C225,'Stock Data'!$AM$4:$AM$1051,'Stock Data'!$AN$4:$AN$1051)</f>
        <v>510.37</v>
      </c>
    </row>
    <row r="226" spans="3:4" ht="15" customHeight="1" x14ac:dyDescent="0.25">
      <c r="C226" s="606">
        <f>+'Stock Data'!AM37</f>
        <v>45885</v>
      </c>
      <c r="D226" s="580">
        <f>_xlfn.XLOOKUP(C226,'Stock Data'!$AM$4:$AM$1051,'Stock Data'!$AN$4:$AN$1051)</f>
        <v>506.64</v>
      </c>
    </row>
    <row r="227" spans="3:4" ht="15" customHeight="1" x14ac:dyDescent="0.25">
      <c r="C227" s="606">
        <f>+'Stock Data'!AM38</f>
        <v>45884</v>
      </c>
      <c r="D227" s="580">
        <f>_xlfn.XLOOKUP(C227,'Stock Data'!$AM$4:$AM$1051,'Stock Data'!$AN$4:$AN$1051)</f>
        <v>509.64</v>
      </c>
    </row>
    <row r="228" spans="3:4" ht="15" customHeight="1" x14ac:dyDescent="0.25">
      <c r="C228" s="606">
        <f>+'Stock Data'!AM39</f>
        <v>45883</v>
      </c>
      <c r="D228" s="580">
        <f>_xlfn.XLOOKUP(C228,'Stock Data'!$AM$4:$AM$1051,'Stock Data'!$AN$4:$AN$1051)</f>
        <v>508.58</v>
      </c>
    </row>
    <row r="229" spans="3:4" ht="15" customHeight="1" x14ac:dyDescent="0.25">
      <c r="C229" s="606">
        <f>+'Stock Data'!AM40</f>
        <v>45882</v>
      </c>
      <c r="D229" s="580">
        <f>_xlfn.XLOOKUP(C229,'Stock Data'!$AM$4:$AM$1051,'Stock Data'!$AN$4:$AN$1051)</f>
        <v>510.56</v>
      </c>
    </row>
    <row r="230" spans="3:4" ht="15" customHeight="1" x14ac:dyDescent="0.25">
      <c r="C230" s="606">
        <f>+'Stock Data'!AM41</f>
        <v>45881</v>
      </c>
      <c r="D230" s="580">
        <f>_xlfn.XLOOKUP(C230,'Stock Data'!$AM$4:$AM$1051,'Stock Data'!$AN$4:$AN$1051)</f>
        <v>500.98</v>
      </c>
    </row>
    <row r="231" spans="3:4" ht="15" customHeight="1" x14ac:dyDescent="0.25">
      <c r="C231" s="606">
        <f>+'Stock Data'!AM42</f>
        <v>45880</v>
      </c>
      <c r="D231" s="580">
        <f>_xlfn.XLOOKUP(C231,'Stock Data'!$AM$4:$AM$1051,'Stock Data'!$AN$4:$AN$1051)</f>
        <v>500.98</v>
      </c>
    </row>
    <row r="232" spans="3:4" ht="15" customHeight="1" x14ac:dyDescent="0.25">
      <c r="C232" s="606">
        <f>+'Stock Data'!AM43</f>
        <v>45879</v>
      </c>
      <c r="D232" s="580">
        <f>_xlfn.XLOOKUP(C232,'Stock Data'!$AM$4:$AM$1051,'Stock Data'!$AN$4:$AN$1051)</f>
        <v>500.98</v>
      </c>
    </row>
    <row r="233" spans="3:4" ht="15" customHeight="1" x14ac:dyDescent="0.25">
      <c r="C233" s="606">
        <f>+'Stock Data'!AM44</f>
        <v>45878</v>
      </c>
      <c r="D233" s="580">
        <f>_xlfn.XLOOKUP(C233,'Stock Data'!$AM$4:$AM$1051,'Stock Data'!$AN$4:$AN$1051)</f>
        <v>524.37</v>
      </c>
    </row>
    <row r="234" spans="3:4" ht="15" customHeight="1" x14ac:dyDescent="0.25">
      <c r="C234" s="606">
        <f>+'Stock Data'!AM45</f>
        <v>45877</v>
      </c>
      <c r="D234" s="580">
        <f>_xlfn.XLOOKUP(C234,'Stock Data'!$AM$4:$AM$1051,'Stock Data'!$AN$4:$AN$1051)</f>
        <v>507.87</v>
      </c>
    </row>
    <row r="235" spans="3:4" ht="15" customHeight="1" x14ac:dyDescent="0.25">
      <c r="C235" s="606">
        <f>+'Stock Data'!AM46</f>
        <v>45876</v>
      </c>
      <c r="D235" s="580">
        <f>_xlfn.XLOOKUP(C235,'Stock Data'!$AM$4:$AM$1051,'Stock Data'!$AN$4:$AN$1051)</f>
        <v>512.5</v>
      </c>
    </row>
    <row r="236" spans="3:4" ht="15" customHeight="1" x14ac:dyDescent="0.25">
      <c r="C236" s="606">
        <f>+'Stock Data'!AM47</f>
        <v>45875</v>
      </c>
      <c r="D236" s="580">
        <f>_xlfn.XLOOKUP(C236,'Stock Data'!$AM$4:$AM$1051,'Stock Data'!$AN$4:$AN$1051)</f>
        <v>510.55</v>
      </c>
    </row>
    <row r="237" spans="3:4" ht="15" customHeight="1" x14ac:dyDescent="0.25">
      <c r="C237" s="606">
        <f>+'Stock Data'!AM48</f>
        <v>45874</v>
      </c>
      <c r="D237" s="580">
        <f>_xlfn.XLOOKUP(C237,'Stock Data'!$AM$4:$AM$1051,'Stock Data'!$AN$4:$AN$1051)</f>
        <v>517.38</v>
      </c>
    </row>
    <row r="238" spans="3:4" ht="15" customHeight="1" x14ac:dyDescent="0.25">
      <c r="C238" s="606">
        <f>+'Stock Data'!AM49</f>
        <v>45873</v>
      </c>
      <c r="D238" s="580">
        <f>_xlfn.XLOOKUP(C238,'Stock Data'!$AM$4:$AM$1051,'Stock Data'!$AN$4:$AN$1051)</f>
        <v>517.38</v>
      </c>
    </row>
    <row r="239" spans="3:4" ht="15" customHeight="1" x14ac:dyDescent="0.25">
      <c r="C239" s="606">
        <f>+'Stock Data'!AM50</f>
        <v>45872</v>
      </c>
      <c r="D239" s="580">
        <f>_xlfn.XLOOKUP(C239,'Stock Data'!$AM$4:$AM$1051,'Stock Data'!$AN$4:$AN$1051)</f>
        <v>517.38</v>
      </c>
    </row>
    <row r="240" spans="3:4" ht="15" customHeight="1" x14ac:dyDescent="0.25">
      <c r="C240" s="606">
        <f>+'Stock Data'!AM51</f>
        <v>45871</v>
      </c>
      <c r="D240" s="580">
        <f>_xlfn.XLOOKUP(C240,'Stock Data'!$AM$4:$AM$1051,'Stock Data'!$AN$4:$AN$1051)</f>
        <v>514.66</v>
      </c>
    </row>
    <row r="241" spans="3:4" ht="15" customHeight="1" x14ac:dyDescent="0.25">
      <c r="C241" s="606">
        <f>+'Stock Data'!AM52</f>
        <v>45870</v>
      </c>
      <c r="D241" s="580">
        <f>_xlfn.XLOOKUP(C241,'Stock Data'!$AM$4:$AM$1051,'Stock Data'!$AN$4:$AN$1051)</f>
        <v>515.16999999999996</v>
      </c>
    </row>
    <row r="242" spans="3:4" ht="15" customHeight="1" x14ac:dyDescent="0.25">
      <c r="C242" s="606">
        <f>+'Stock Data'!AM53</f>
        <v>45869</v>
      </c>
      <c r="D242" s="580">
        <f>_xlfn.XLOOKUP(C242,'Stock Data'!$AM$4:$AM$1051,'Stock Data'!$AN$4:$AN$1051)</f>
        <v>505.69</v>
      </c>
    </row>
    <row r="243" spans="3:4" ht="15" customHeight="1" x14ac:dyDescent="0.25">
      <c r="C243" s="606">
        <f>+'Stock Data'!AM54</f>
        <v>45868</v>
      </c>
      <c r="D243" s="580">
        <f>_xlfn.XLOOKUP(C243,'Stock Data'!$AM$4:$AM$1051,'Stock Data'!$AN$4:$AN$1051)</f>
        <v>496.24</v>
      </c>
    </row>
    <row r="244" spans="3:4" ht="15" customHeight="1" x14ac:dyDescent="0.25">
      <c r="C244" s="606">
        <f>+'Stock Data'!AM55</f>
        <v>45867</v>
      </c>
      <c r="D244" s="580">
        <f>_xlfn.XLOOKUP(C244,'Stock Data'!$AM$4:$AM$1051,'Stock Data'!$AN$4:$AN$1051)</f>
        <v>499.82</v>
      </c>
    </row>
    <row r="245" spans="3:4" ht="15" customHeight="1" x14ac:dyDescent="0.25">
      <c r="C245" s="606">
        <f>+'Stock Data'!AM56</f>
        <v>45866</v>
      </c>
      <c r="D245" s="580">
        <f>_xlfn.XLOOKUP(C245,'Stock Data'!$AM$4:$AM$1051,'Stock Data'!$AN$4:$AN$1051)</f>
        <v>499.82</v>
      </c>
    </row>
    <row r="246" spans="3:4" ht="15" customHeight="1" x14ac:dyDescent="0.25">
      <c r="C246" s="606">
        <f>+'Stock Data'!AM57</f>
        <v>45865</v>
      </c>
      <c r="D246" s="580">
        <f>_xlfn.XLOOKUP(C246,'Stock Data'!$AM$4:$AM$1051,'Stock Data'!$AN$4:$AN$1051)</f>
        <v>499.82</v>
      </c>
    </row>
    <row r="247" spans="3:4" ht="15" customHeight="1" x14ac:dyDescent="0.25">
      <c r="C247" s="606">
        <f>+'Stock Data'!AM58</f>
        <v>45864</v>
      </c>
      <c r="D247" s="580">
        <f>_xlfn.XLOOKUP(C247,'Stock Data'!$AM$4:$AM$1051,'Stock Data'!$AN$4:$AN$1051)</f>
        <v>499.14</v>
      </c>
    </row>
    <row r="248" spans="3:4" ht="15" customHeight="1" x14ac:dyDescent="0.25">
      <c r="C248" s="606">
        <f>+'Stock Data'!AM59</f>
        <v>45863</v>
      </c>
      <c r="D248" s="580">
        <f>_xlfn.XLOOKUP(C248,'Stock Data'!$AM$4:$AM$1051,'Stock Data'!$AN$4:$AN$1051)</f>
        <v>507.73</v>
      </c>
    </row>
    <row r="249" spans="3:4" ht="15" customHeight="1" x14ac:dyDescent="0.25">
      <c r="C249" s="606">
        <f>+'Stock Data'!AM60</f>
        <v>45862</v>
      </c>
      <c r="D249" s="580">
        <f>_xlfn.XLOOKUP(C249,'Stock Data'!$AM$4:$AM$1051,'Stock Data'!$AN$4:$AN$1051)</f>
        <v>503.47</v>
      </c>
    </row>
    <row r="250" spans="3:4" ht="15" customHeight="1" x14ac:dyDescent="0.25">
      <c r="C250" s="606">
        <f>+'Stock Data'!AM61</f>
        <v>45861</v>
      </c>
      <c r="D250" s="580">
        <f>_xlfn.XLOOKUP(C250,'Stock Data'!$AM$4:$AM$1051,'Stock Data'!$AN$4:$AN$1051)</f>
        <v>507.61</v>
      </c>
    </row>
    <row r="251" spans="3:4" ht="15" customHeight="1" x14ac:dyDescent="0.25">
      <c r="C251" s="606">
        <f>+'Stock Data'!AM62</f>
        <v>45860</v>
      </c>
      <c r="D251" s="580">
        <f>_xlfn.XLOOKUP(C251,'Stock Data'!$AM$4:$AM$1051,'Stock Data'!$AN$4:$AN$1051)</f>
        <v>512.41</v>
      </c>
    </row>
    <row r="252" spans="3:4" ht="15" customHeight="1" x14ac:dyDescent="0.25">
      <c r="C252" s="606">
        <f>+'Stock Data'!AM63</f>
        <v>45859</v>
      </c>
      <c r="D252" s="580">
        <f>_xlfn.XLOOKUP(C252,'Stock Data'!$AM$4:$AM$1051,'Stock Data'!$AN$4:$AN$1051)</f>
        <v>512.41</v>
      </c>
    </row>
    <row r="253" spans="3:4" ht="15" customHeight="1" x14ac:dyDescent="0.25">
      <c r="C253" s="606">
        <f>+'Stock Data'!AM64</f>
        <v>45858</v>
      </c>
      <c r="D253" s="580">
        <f>_xlfn.XLOOKUP(C253,'Stock Data'!$AM$4:$AM$1051,'Stock Data'!$AN$4:$AN$1051)</f>
        <v>512.41</v>
      </c>
    </row>
    <row r="254" spans="3:4" ht="15" customHeight="1" x14ac:dyDescent="0.25">
      <c r="C254" s="606">
        <f>+'Stock Data'!AM65</f>
        <v>45857</v>
      </c>
      <c r="D254" s="580">
        <f>_xlfn.XLOOKUP(C254,'Stock Data'!$AM$4:$AM$1051,'Stock Data'!$AN$4:$AN$1051)</f>
        <v>519.20000000000005</v>
      </c>
    </row>
    <row r="255" spans="3:4" ht="15" customHeight="1" x14ac:dyDescent="0.25">
      <c r="C255" s="606">
        <f>+'Stock Data'!AM66</f>
        <v>45856</v>
      </c>
      <c r="D255" s="580">
        <f>_xlfn.XLOOKUP(C255,'Stock Data'!$AM$4:$AM$1051,'Stock Data'!$AN$4:$AN$1051)</f>
        <v>509.33</v>
      </c>
    </row>
    <row r="256" spans="3:4" ht="15" customHeight="1" x14ac:dyDescent="0.25">
      <c r="C256" s="606">
        <f>+'Stock Data'!AM67</f>
        <v>45855</v>
      </c>
      <c r="D256" s="580">
        <f>_xlfn.XLOOKUP(C256,'Stock Data'!$AM$4:$AM$1051,'Stock Data'!$AN$4:$AN$1051)</f>
        <v>508.91</v>
      </c>
    </row>
    <row r="257" spans="3:4" ht="15" customHeight="1" x14ac:dyDescent="0.25">
      <c r="C257" s="606">
        <f>+'Stock Data'!AM68</f>
        <v>45854</v>
      </c>
      <c r="D257" s="580">
        <f>_xlfn.XLOOKUP(C257,'Stock Data'!$AM$4:$AM$1051,'Stock Data'!$AN$4:$AN$1051)</f>
        <v>510.29</v>
      </c>
    </row>
    <row r="258" spans="3:4" ht="15" customHeight="1" x14ac:dyDescent="0.25">
      <c r="C258" s="606">
        <f>+'Stock Data'!AM69</f>
        <v>45853</v>
      </c>
      <c r="D258" s="580">
        <f>_xlfn.XLOOKUP(C258,'Stock Data'!$AM$4:$AM$1051,'Stock Data'!$AN$4:$AN$1051)</f>
        <v>520.97</v>
      </c>
    </row>
    <row r="259" spans="3:4" ht="15" customHeight="1" x14ac:dyDescent="0.25">
      <c r="C259" s="606">
        <f>+'Stock Data'!AM70</f>
        <v>45852</v>
      </c>
      <c r="D259" s="580">
        <f>_xlfn.XLOOKUP(C259,'Stock Data'!$AM$4:$AM$1051,'Stock Data'!$AN$4:$AN$1051)</f>
        <v>520.97</v>
      </c>
    </row>
    <row r="260" spans="3:4" ht="15" customHeight="1" x14ac:dyDescent="0.25">
      <c r="C260" s="606">
        <f>+'Stock Data'!AM71</f>
        <v>45851</v>
      </c>
      <c r="D260" s="580">
        <f>_xlfn.XLOOKUP(C260,'Stock Data'!$AM$4:$AM$1051,'Stock Data'!$AN$4:$AN$1051)</f>
        <v>520.97</v>
      </c>
    </row>
    <row r="261" spans="3:4" ht="15" customHeight="1" x14ac:dyDescent="0.25">
      <c r="C261" s="606">
        <f>+'Stock Data'!AM72</f>
        <v>45850</v>
      </c>
      <c r="D261" s="580">
        <f>_xlfn.XLOOKUP(C261,'Stock Data'!$AM$4:$AM$1051,'Stock Data'!$AN$4:$AN$1051)</f>
        <v>520.97</v>
      </c>
    </row>
    <row r="262" spans="3:4" ht="15" customHeight="1" x14ac:dyDescent="0.25">
      <c r="C262" s="606">
        <f>+'Stock Data'!AM73</f>
        <v>45849</v>
      </c>
      <c r="D262" s="580">
        <f>_xlfn.XLOOKUP(C262,'Stock Data'!$AM$4:$AM$1051,'Stock Data'!$AN$4:$AN$1051)</f>
        <v>520.30999999999995</v>
      </c>
    </row>
    <row r="263" spans="3:4" ht="15" customHeight="1" x14ac:dyDescent="0.25">
      <c r="C263" s="606">
        <f>+'Stock Data'!AM74</f>
        <v>45848</v>
      </c>
      <c r="D263" s="580">
        <f>_xlfn.XLOOKUP(C263,'Stock Data'!$AM$4:$AM$1051,'Stock Data'!$AN$4:$AN$1051)</f>
        <v>508.36</v>
      </c>
    </row>
    <row r="264" spans="3:4" ht="15" customHeight="1" x14ac:dyDescent="0.25">
      <c r="C264" s="606">
        <f>+'Stock Data'!AM75</f>
        <v>45847</v>
      </c>
      <c r="D264" s="580">
        <f>_xlfn.XLOOKUP(C264,'Stock Data'!$AM$4:$AM$1051,'Stock Data'!$AN$4:$AN$1051)</f>
        <v>508.49</v>
      </c>
    </row>
    <row r="265" spans="3:4" ht="15" customHeight="1" x14ac:dyDescent="0.25">
      <c r="C265" s="606">
        <f>+'Stock Data'!AM76</f>
        <v>45846</v>
      </c>
      <c r="D265" s="580">
        <f>_xlfn.XLOOKUP(C265,'Stock Data'!$AM$4:$AM$1051,'Stock Data'!$AN$4:$AN$1051)</f>
        <v>513.34</v>
      </c>
    </row>
    <row r="266" spans="3:4" ht="15" customHeight="1" x14ac:dyDescent="0.25">
      <c r="C266" s="606">
        <f>+'Stock Data'!AM77</f>
        <v>45845</v>
      </c>
      <c r="D266" s="580">
        <f>_xlfn.XLOOKUP(C266,'Stock Data'!$AM$4:$AM$1051,'Stock Data'!$AN$4:$AN$1051)</f>
        <v>513.34</v>
      </c>
    </row>
    <row r="267" spans="3:4" ht="15" customHeight="1" x14ac:dyDescent="0.25">
      <c r="C267" s="606">
        <f>+'Stock Data'!AM78</f>
        <v>45844</v>
      </c>
      <c r="D267" s="580">
        <f>_xlfn.XLOOKUP(C267,'Stock Data'!$AM$4:$AM$1051,'Stock Data'!$AN$4:$AN$1051)</f>
        <v>513.34</v>
      </c>
    </row>
    <row r="268" spans="3:4" ht="15" customHeight="1" x14ac:dyDescent="0.25">
      <c r="C268" s="606">
        <f>+'Stock Data'!AM79</f>
        <v>45843</v>
      </c>
      <c r="D268" s="580">
        <f>_xlfn.XLOOKUP(C268,'Stock Data'!$AM$4:$AM$1051,'Stock Data'!$AN$4:$AN$1051)</f>
        <v>508.53</v>
      </c>
    </row>
    <row r="269" spans="3:4" ht="15" customHeight="1" x14ac:dyDescent="0.25">
      <c r="C269" s="606">
        <f>+'Stock Data'!AM80</f>
        <v>45842</v>
      </c>
      <c r="D269" s="580">
        <f>_xlfn.XLOOKUP(C269,'Stock Data'!$AM$4:$AM$1051,'Stock Data'!$AN$4:$AN$1051)</f>
        <v>506.74</v>
      </c>
    </row>
    <row r="270" spans="3:4" ht="15" customHeight="1" x14ac:dyDescent="0.25">
      <c r="C270" s="606">
        <f>+'Stock Data'!AM81</f>
        <v>45841</v>
      </c>
      <c r="D270" s="580">
        <f>_xlfn.XLOOKUP(C270,'Stock Data'!$AM$4:$AM$1051,'Stock Data'!$AN$4:$AN$1051)</f>
        <v>514.1</v>
      </c>
    </row>
    <row r="271" spans="3:4" ht="15" customHeight="1" x14ac:dyDescent="0.25">
      <c r="C271" s="606">
        <f>+'Stock Data'!AM82</f>
        <v>45840</v>
      </c>
      <c r="D271" s="580">
        <f>_xlfn.XLOOKUP(C271,'Stock Data'!$AM$4:$AM$1051,'Stock Data'!$AN$4:$AN$1051)</f>
        <v>514.08000000000004</v>
      </c>
    </row>
    <row r="272" spans="3:4" ht="15" customHeight="1" x14ac:dyDescent="0.25">
      <c r="C272" s="606">
        <f>+'Stock Data'!AM83</f>
        <v>45839</v>
      </c>
      <c r="D272" s="580">
        <f>_xlfn.XLOOKUP(C272,'Stock Data'!$AM$4:$AM$1051,'Stock Data'!$AN$4:$AN$1051)</f>
        <v>521.38</v>
      </c>
    </row>
    <row r="273" spans="3:4" ht="15" customHeight="1" x14ac:dyDescent="0.25">
      <c r="C273" s="606">
        <f>+'Stock Data'!AM84</f>
        <v>45838</v>
      </c>
      <c r="D273" s="580">
        <f>_xlfn.XLOOKUP(C273,'Stock Data'!$AM$4:$AM$1051,'Stock Data'!$AN$4:$AN$1051)</f>
        <v>521.38</v>
      </c>
    </row>
    <row r="274" spans="3:4" ht="15" customHeight="1" x14ac:dyDescent="0.25">
      <c r="C274" s="606">
        <f>+'Stock Data'!AM85</f>
        <v>45837</v>
      </c>
      <c r="D274" s="580">
        <f>_xlfn.XLOOKUP(C274,'Stock Data'!$AM$4:$AM$1051,'Stock Data'!$AN$4:$AN$1051)</f>
        <v>521.38</v>
      </c>
    </row>
    <row r="275" spans="3:4" ht="15" customHeight="1" x14ac:dyDescent="0.25">
      <c r="C275" s="606">
        <f>+'Stock Data'!AM86</f>
        <v>45836</v>
      </c>
      <c r="D275" s="580">
        <f>_xlfn.XLOOKUP(C275,'Stock Data'!$AM$4:$AM$1051,'Stock Data'!$AN$4:$AN$1051)</f>
        <v>524.98</v>
      </c>
    </row>
    <row r="276" spans="3:4" ht="15" customHeight="1" x14ac:dyDescent="0.25">
      <c r="C276" s="606">
        <f>+'Stock Data'!AM87</f>
        <v>45835</v>
      </c>
      <c r="D276" s="580">
        <f>_xlfn.XLOOKUP(C276,'Stock Data'!$AM$4:$AM$1051,'Stock Data'!$AN$4:$AN$1051)</f>
        <v>524.98</v>
      </c>
    </row>
    <row r="277" spans="3:4" ht="15" customHeight="1" x14ac:dyDescent="0.25">
      <c r="C277" s="606">
        <f>+'Stock Data'!AM88</f>
        <v>45834</v>
      </c>
      <c r="D277" s="580">
        <f>_xlfn.XLOOKUP(C277,'Stock Data'!$AM$4:$AM$1051,'Stock Data'!$AN$4:$AN$1051)</f>
        <v>523.12</v>
      </c>
    </row>
    <row r="278" spans="3:4" ht="15" customHeight="1" x14ac:dyDescent="0.25">
      <c r="C278" s="606">
        <f>+'Stock Data'!AM89</f>
        <v>45833</v>
      </c>
      <c r="D278" s="580">
        <f>_xlfn.XLOOKUP(C278,'Stock Data'!$AM$4:$AM$1051,'Stock Data'!$AN$4:$AN$1051)</f>
        <v>524.44000000000005</v>
      </c>
    </row>
    <row r="279" spans="3:4" ht="15" customHeight="1" x14ac:dyDescent="0.25">
      <c r="C279" s="606">
        <f>+'Stock Data'!AM90</f>
        <v>45832</v>
      </c>
      <c r="D279" s="580">
        <f>_xlfn.XLOOKUP(C279,'Stock Data'!$AM$4:$AM$1051,'Stock Data'!$AN$4:$AN$1051)</f>
        <v>509.59</v>
      </c>
    </row>
    <row r="280" spans="3:4" ht="15" customHeight="1" x14ac:dyDescent="0.25">
      <c r="C280" s="606">
        <f>+'Stock Data'!AM91</f>
        <v>45831</v>
      </c>
      <c r="D280" s="580">
        <f>_xlfn.XLOOKUP(C280,'Stock Data'!$AM$4:$AM$1051,'Stock Data'!$AN$4:$AN$1051)</f>
        <v>509.59</v>
      </c>
    </row>
    <row r="281" spans="3:4" ht="15" customHeight="1" x14ac:dyDescent="0.25">
      <c r="C281" s="606">
        <f>+'Stock Data'!AM92</f>
        <v>45830</v>
      </c>
      <c r="D281" s="580">
        <f>_xlfn.XLOOKUP(C281,'Stock Data'!$AM$4:$AM$1051,'Stock Data'!$AN$4:$AN$1051)</f>
        <v>509.59</v>
      </c>
    </row>
    <row r="282" spans="3:4" ht="15" customHeight="1" x14ac:dyDescent="0.25">
      <c r="C282" s="606">
        <f>+'Stock Data'!AM93</f>
        <v>45829</v>
      </c>
      <c r="D282" s="580">
        <f>_xlfn.XLOOKUP(C282,'Stock Data'!$AM$4:$AM$1051,'Stock Data'!$AN$4:$AN$1051)</f>
        <v>516.86</v>
      </c>
    </row>
    <row r="283" spans="3:4" ht="15" customHeight="1" x14ac:dyDescent="0.25">
      <c r="C283" s="606">
        <f>+'Stock Data'!AM94</f>
        <v>45828</v>
      </c>
      <c r="D283" s="580">
        <f>_xlfn.XLOOKUP(C283,'Stock Data'!$AM$4:$AM$1051,'Stock Data'!$AN$4:$AN$1051)</f>
        <v>520.84</v>
      </c>
    </row>
    <row r="284" spans="3:4" ht="15" customHeight="1" x14ac:dyDescent="0.25">
      <c r="C284" s="606">
        <f>+'Stock Data'!AM95</f>
        <v>45827</v>
      </c>
      <c r="D284" s="580">
        <f>_xlfn.XLOOKUP(C284,'Stock Data'!$AM$4:$AM$1051,'Stock Data'!$AN$4:$AN$1051)</f>
        <v>515.82000000000005</v>
      </c>
    </row>
    <row r="285" spans="3:4" ht="15" customHeight="1" x14ac:dyDescent="0.25">
      <c r="C285" s="606">
        <f>+'Stock Data'!AM96</f>
        <v>45826</v>
      </c>
      <c r="D285" s="580">
        <f>_xlfn.XLOOKUP(C285,'Stock Data'!$AM$4:$AM$1051,'Stock Data'!$AN$4:$AN$1051)</f>
        <v>521.67999999999995</v>
      </c>
    </row>
    <row r="286" spans="3:4" ht="15" customHeight="1" x14ac:dyDescent="0.25">
      <c r="C286" s="606">
        <f>+'Stock Data'!AM97</f>
        <v>45825</v>
      </c>
      <c r="D286" s="580">
        <f>_xlfn.XLOOKUP(C286,'Stock Data'!$AM$4:$AM$1051,'Stock Data'!$AN$4:$AN$1051)</f>
        <v>519.99</v>
      </c>
    </row>
    <row r="287" spans="3:4" ht="15" customHeight="1" x14ac:dyDescent="0.25">
      <c r="C287" s="606">
        <f>+'Stock Data'!AM98</f>
        <v>45824</v>
      </c>
      <c r="D287" s="580">
        <f>_xlfn.XLOOKUP(C287,'Stock Data'!$AM$4:$AM$1051,'Stock Data'!$AN$4:$AN$1051)</f>
        <v>519.99</v>
      </c>
    </row>
    <row r="288" spans="3:4" ht="15" customHeight="1" x14ac:dyDescent="0.25">
      <c r="C288" s="606">
        <f>+'Stock Data'!AM99</f>
        <v>45823</v>
      </c>
      <c r="D288" s="580">
        <f>_xlfn.XLOOKUP(C288,'Stock Data'!$AM$4:$AM$1051,'Stock Data'!$AN$4:$AN$1051)</f>
        <v>519.99</v>
      </c>
    </row>
    <row r="289" spans="3:4" ht="15" customHeight="1" x14ac:dyDescent="0.25">
      <c r="C289" s="606">
        <f>+'Stock Data'!AM100</f>
        <v>45822</v>
      </c>
      <c r="D289" s="580">
        <f>_xlfn.XLOOKUP(C289,'Stock Data'!$AM$4:$AM$1051,'Stock Data'!$AN$4:$AN$1051)</f>
        <v>510.75</v>
      </c>
    </row>
    <row r="290" spans="3:4" ht="15" customHeight="1" x14ac:dyDescent="0.25">
      <c r="C290" s="606">
        <f>+'Stock Data'!AM101</f>
        <v>45821</v>
      </c>
      <c r="D290" s="580">
        <f>_xlfn.XLOOKUP(C290,'Stock Data'!$AM$4:$AM$1051,'Stock Data'!$AN$4:$AN$1051)</f>
        <v>507.78</v>
      </c>
    </row>
    <row r="291" spans="3:4" ht="15" customHeight="1" x14ac:dyDescent="0.25">
      <c r="C291" s="606">
        <f>+'Stock Data'!AM102</f>
        <v>45820</v>
      </c>
      <c r="D291" s="580">
        <f>_xlfn.XLOOKUP(C291,'Stock Data'!$AM$4:$AM$1051,'Stock Data'!$AN$4:$AN$1051)</f>
        <v>513.15</v>
      </c>
    </row>
    <row r="292" spans="3:4" ht="15" customHeight="1" x14ac:dyDescent="0.25">
      <c r="C292" s="606">
        <f>+'Stock Data'!AM103</f>
        <v>45819</v>
      </c>
      <c r="D292" s="580">
        <f>_xlfn.XLOOKUP(C292,'Stock Data'!$AM$4:$AM$1051,'Stock Data'!$AN$4:$AN$1051)</f>
        <v>507.84</v>
      </c>
    </row>
    <row r="293" spans="3:4" ht="15" customHeight="1" x14ac:dyDescent="0.25">
      <c r="C293" s="606">
        <f>+'Stock Data'!AM104</f>
        <v>45818</v>
      </c>
      <c r="D293" s="580">
        <f>_xlfn.XLOOKUP(C293,'Stock Data'!$AM$4:$AM$1051,'Stock Data'!$AN$4:$AN$1051)</f>
        <v>506.26</v>
      </c>
    </row>
    <row r="294" spans="3:4" ht="15" customHeight="1" x14ac:dyDescent="0.25">
      <c r="C294" s="606">
        <f>+'Stock Data'!AM105</f>
        <v>45817</v>
      </c>
      <c r="D294" s="580">
        <f>_xlfn.XLOOKUP(C294,'Stock Data'!$AM$4:$AM$1051,'Stock Data'!$AN$4:$AN$1051)</f>
        <v>506.26</v>
      </c>
    </row>
    <row r="295" spans="3:4" ht="15" customHeight="1" x14ac:dyDescent="0.25">
      <c r="C295" s="606">
        <f>+'Stock Data'!AM106</f>
        <v>45816</v>
      </c>
      <c r="D295" s="580">
        <f>_xlfn.XLOOKUP(C295,'Stock Data'!$AM$4:$AM$1051,'Stock Data'!$AN$4:$AN$1051)</f>
        <v>506.26</v>
      </c>
    </row>
    <row r="296" spans="3:4" ht="15" customHeight="1" x14ac:dyDescent="0.25">
      <c r="C296" s="606">
        <f>+'Stock Data'!AM107</f>
        <v>45815</v>
      </c>
      <c r="D296" s="580">
        <f>_xlfn.XLOOKUP(C296,'Stock Data'!$AM$4:$AM$1051,'Stock Data'!$AN$4:$AN$1051)</f>
        <v>503.45</v>
      </c>
    </row>
    <row r="297" spans="3:4" ht="15" customHeight="1" x14ac:dyDescent="0.25">
      <c r="C297" s="606">
        <f>+'Stock Data'!AM108</f>
        <v>45814</v>
      </c>
      <c r="D297" s="580">
        <f>_xlfn.XLOOKUP(C297,'Stock Data'!$AM$4:$AM$1051,'Stock Data'!$AN$4:$AN$1051)</f>
        <v>507.99</v>
      </c>
    </row>
    <row r="298" spans="3:4" ht="15" customHeight="1" x14ac:dyDescent="0.25">
      <c r="C298" s="606">
        <f>+'Stock Data'!AM109</f>
        <v>45813</v>
      </c>
      <c r="D298" s="580">
        <f>_xlfn.XLOOKUP(C298,'Stock Data'!$AM$4:$AM$1051,'Stock Data'!$AN$4:$AN$1051)</f>
        <v>509.63</v>
      </c>
    </row>
    <row r="299" spans="3:4" ht="15" customHeight="1" x14ac:dyDescent="0.25">
      <c r="C299" s="606">
        <f>+'Stock Data'!AM110</f>
        <v>45812</v>
      </c>
      <c r="D299" s="580">
        <f>_xlfn.XLOOKUP(C299,'Stock Data'!$AM$4:$AM$1051,'Stock Data'!$AN$4:$AN$1051)</f>
        <v>510.06</v>
      </c>
    </row>
    <row r="300" spans="3:4" ht="15" customHeight="1" x14ac:dyDescent="0.25">
      <c r="C300" s="606">
        <f>+'Stock Data'!AM111</f>
        <v>45811</v>
      </c>
      <c r="D300" s="580">
        <f>_xlfn.XLOOKUP(C300,'Stock Data'!$AM$4:$AM$1051,'Stock Data'!$AN$4:$AN$1051)</f>
        <v>510.06</v>
      </c>
    </row>
    <row r="301" spans="3:4" ht="15" customHeight="1" x14ac:dyDescent="0.25">
      <c r="C301" s="606">
        <f>+'Stock Data'!AM112</f>
        <v>45810</v>
      </c>
      <c r="D301" s="580">
        <f>_xlfn.XLOOKUP(C301,'Stock Data'!$AM$4:$AM$1051,'Stock Data'!$AN$4:$AN$1051)</f>
        <v>510.06</v>
      </c>
    </row>
    <row r="302" spans="3:4" ht="15" customHeight="1" x14ac:dyDescent="0.25">
      <c r="C302" s="606">
        <f>+'Stock Data'!AM113</f>
        <v>45809</v>
      </c>
      <c r="D302" s="580">
        <f>_xlfn.XLOOKUP(C302,'Stock Data'!$AM$4:$AM$1051,'Stock Data'!$AN$4:$AN$1051)</f>
        <v>510.06</v>
      </c>
    </row>
    <row r="303" spans="3:4" ht="15" customHeight="1" x14ac:dyDescent="0.25">
      <c r="C303" s="606">
        <f>+'Stock Data'!AM114</f>
        <v>45808</v>
      </c>
      <c r="D303" s="580">
        <f>_xlfn.XLOOKUP(C303,'Stock Data'!$AM$4:$AM$1051,'Stock Data'!$AN$4:$AN$1051)</f>
        <v>515.65</v>
      </c>
    </row>
    <row r="304" spans="3:4" ht="15" customHeight="1" x14ac:dyDescent="0.25">
      <c r="C304" s="606">
        <f>+'Stock Data'!AM115</f>
        <v>45807</v>
      </c>
      <c r="D304" s="580">
        <f>_xlfn.XLOOKUP(C304,'Stock Data'!$AM$4:$AM$1051,'Stock Data'!$AN$4:$AN$1051)</f>
        <v>514.66</v>
      </c>
    </row>
    <row r="305" spans="3:4" ht="15" customHeight="1" x14ac:dyDescent="0.25">
      <c r="C305" s="606">
        <f>+'Stock Data'!AM116</f>
        <v>45806</v>
      </c>
      <c r="D305" s="580">
        <f>_xlfn.XLOOKUP(C305,'Stock Data'!$AM$4:$AM$1051,'Stock Data'!$AN$4:$AN$1051)</f>
        <v>526.33000000000004</v>
      </c>
    </row>
    <row r="306" spans="3:4" ht="15" customHeight="1" x14ac:dyDescent="0.25">
      <c r="C306" s="606">
        <f>+'Stock Data'!AM117</f>
        <v>45805</v>
      </c>
      <c r="D306" s="580">
        <f>_xlfn.XLOOKUP(C306,'Stock Data'!$AM$4:$AM$1051,'Stock Data'!$AN$4:$AN$1051)</f>
        <v>529.83000000000004</v>
      </c>
    </row>
    <row r="307" spans="3:4" ht="15" customHeight="1" x14ac:dyDescent="0.25">
      <c r="C307" s="606">
        <f>+'Stock Data'!AM118</f>
        <v>45804</v>
      </c>
      <c r="D307" s="580">
        <f>_xlfn.XLOOKUP(C307,'Stock Data'!$AM$4:$AM$1051,'Stock Data'!$AN$4:$AN$1051)</f>
        <v>531.48</v>
      </c>
    </row>
    <row r="308" spans="3:4" ht="15" customHeight="1" x14ac:dyDescent="0.25">
      <c r="C308" s="606">
        <f>+'Stock Data'!AM119</f>
        <v>45803</v>
      </c>
      <c r="D308" s="580">
        <f>_xlfn.XLOOKUP(C308,'Stock Data'!$AM$4:$AM$1051,'Stock Data'!$AN$4:$AN$1051)</f>
        <v>531.48</v>
      </c>
    </row>
    <row r="309" spans="3:4" ht="15" customHeight="1" x14ac:dyDescent="0.25">
      <c r="C309" s="606">
        <f>+'Stock Data'!AM120</f>
        <v>45802</v>
      </c>
      <c r="D309" s="580">
        <f>_xlfn.XLOOKUP(C309,'Stock Data'!$AM$4:$AM$1051,'Stock Data'!$AN$4:$AN$1051)</f>
        <v>531.48</v>
      </c>
    </row>
    <row r="310" spans="3:4" ht="15" customHeight="1" x14ac:dyDescent="0.25">
      <c r="C310" s="606">
        <f>+'Stock Data'!AM121</f>
        <v>45801</v>
      </c>
      <c r="D310" s="580">
        <f>_xlfn.XLOOKUP(C310,'Stock Data'!$AM$4:$AM$1051,'Stock Data'!$AN$4:$AN$1051)</f>
        <v>516.32000000000005</v>
      </c>
    </row>
    <row r="311" spans="3:4" ht="15" customHeight="1" x14ac:dyDescent="0.25">
      <c r="C311" s="606">
        <f>+'Stock Data'!AM122</f>
        <v>45800</v>
      </c>
      <c r="D311" s="580">
        <f>_xlfn.XLOOKUP(C311,'Stock Data'!$AM$4:$AM$1051,'Stock Data'!$AN$4:$AN$1051)</f>
        <v>497.5</v>
      </c>
    </row>
    <row r="312" spans="3:4" ht="15" customHeight="1" x14ac:dyDescent="0.25">
      <c r="C312" s="606">
        <f>+'Stock Data'!AM123</f>
        <v>45799</v>
      </c>
      <c r="D312" s="580">
        <f>_xlfn.XLOOKUP(C312,'Stock Data'!$AM$4:$AM$1051,'Stock Data'!$AN$4:$AN$1051)</f>
        <v>498.57</v>
      </c>
    </row>
    <row r="313" spans="3:4" ht="15" customHeight="1" x14ac:dyDescent="0.25">
      <c r="C313" s="606">
        <f>+'Stock Data'!AM124</f>
        <v>45798</v>
      </c>
      <c r="D313" s="580">
        <f>_xlfn.XLOOKUP(C313,'Stock Data'!$AM$4:$AM$1051,'Stock Data'!$AN$4:$AN$1051)</f>
        <v>495.62</v>
      </c>
    </row>
    <row r="314" spans="3:4" ht="15" customHeight="1" x14ac:dyDescent="0.25">
      <c r="C314" s="606">
        <f>+'Stock Data'!AM125</f>
        <v>45797</v>
      </c>
      <c r="D314" s="580">
        <f>_xlfn.XLOOKUP(C314,'Stock Data'!$AM$4:$AM$1051,'Stock Data'!$AN$4:$AN$1051)</f>
        <v>492.6</v>
      </c>
    </row>
    <row r="315" spans="3:4" ht="15" customHeight="1" x14ac:dyDescent="0.25">
      <c r="C315" s="606">
        <f>+'Stock Data'!AM126</f>
        <v>45796</v>
      </c>
      <c r="D315" s="580">
        <f>_xlfn.XLOOKUP(C315,'Stock Data'!$AM$4:$AM$1051,'Stock Data'!$AN$4:$AN$1051)</f>
        <v>492.6</v>
      </c>
    </row>
    <row r="316" spans="3:4" ht="15" customHeight="1" x14ac:dyDescent="0.25">
      <c r="C316" s="606">
        <f>+'Stock Data'!AM127</f>
        <v>45795</v>
      </c>
      <c r="D316" s="580">
        <f>_xlfn.XLOOKUP(C316,'Stock Data'!$AM$4:$AM$1051,'Stock Data'!$AN$4:$AN$1051)</f>
        <v>492.6</v>
      </c>
    </row>
    <row r="317" spans="3:4" ht="15" customHeight="1" x14ac:dyDescent="0.25">
      <c r="C317" s="606">
        <f>+'Stock Data'!AM128</f>
        <v>45794</v>
      </c>
      <c r="D317" s="580">
        <f>_xlfn.XLOOKUP(C317,'Stock Data'!$AM$4:$AM$1051,'Stock Data'!$AN$4:$AN$1051)</f>
        <v>489.99</v>
      </c>
    </row>
    <row r="318" spans="3:4" ht="15" customHeight="1" x14ac:dyDescent="0.25">
      <c r="C318" s="606">
        <f>+'Stock Data'!AM129</f>
        <v>45793</v>
      </c>
      <c r="D318" s="580">
        <f>_xlfn.XLOOKUP(C318,'Stock Data'!$AM$4:$AM$1051,'Stock Data'!$AN$4:$AN$1051)</f>
        <v>472.4</v>
      </c>
    </row>
    <row r="319" spans="3:4" ht="15" customHeight="1" x14ac:dyDescent="0.25">
      <c r="C319" s="606">
        <f>+'Stock Data'!AM130</f>
        <v>45792</v>
      </c>
      <c r="D319" s="580">
        <f>_xlfn.XLOOKUP(C319,'Stock Data'!$AM$4:$AM$1051,'Stock Data'!$AN$4:$AN$1051)</f>
        <v>475.3</v>
      </c>
    </row>
    <row r="320" spans="3:4" ht="15" customHeight="1" x14ac:dyDescent="0.25">
      <c r="C320" s="606">
        <f>+'Stock Data'!AM131</f>
        <v>45791</v>
      </c>
      <c r="D320" s="580">
        <f>_xlfn.XLOOKUP(C320,'Stock Data'!$AM$4:$AM$1051,'Stock Data'!$AN$4:$AN$1051)</f>
        <v>481.34</v>
      </c>
    </row>
    <row r="321" spans="3:4" ht="15" customHeight="1" x14ac:dyDescent="0.25">
      <c r="C321" s="606">
        <f>+'Stock Data'!AM132</f>
        <v>45790</v>
      </c>
      <c r="D321" s="580">
        <f>_xlfn.XLOOKUP(C321,'Stock Data'!$AM$4:$AM$1051,'Stock Data'!$AN$4:$AN$1051)</f>
        <v>481.67</v>
      </c>
    </row>
    <row r="322" spans="3:4" ht="15" customHeight="1" x14ac:dyDescent="0.25">
      <c r="C322" s="606">
        <f>+'Stock Data'!AM133</f>
        <v>45789</v>
      </c>
      <c r="D322" s="580">
        <f>_xlfn.XLOOKUP(C322,'Stock Data'!$AM$4:$AM$1051,'Stock Data'!$AN$4:$AN$1051)</f>
        <v>481.67</v>
      </c>
    </row>
    <row r="323" spans="3:4" ht="15" customHeight="1" x14ac:dyDescent="0.25">
      <c r="C323" s="606">
        <f>+'Stock Data'!AM134</f>
        <v>45788</v>
      </c>
      <c r="D323" s="580">
        <f>_xlfn.XLOOKUP(C323,'Stock Data'!$AM$4:$AM$1051,'Stock Data'!$AN$4:$AN$1051)</f>
        <v>481.67</v>
      </c>
    </row>
    <row r="324" spans="3:4" ht="15" customHeight="1" x14ac:dyDescent="0.25">
      <c r="C324" s="606">
        <f>+'Stock Data'!AM135</f>
        <v>45787</v>
      </c>
      <c r="D324" s="580">
        <f>_xlfn.XLOOKUP(C324,'Stock Data'!$AM$4:$AM$1051,'Stock Data'!$AN$4:$AN$1051)</f>
        <v>480.02</v>
      </c>
    </row>
    <row r="325" spans="3:4" ht="15" customHeight="1" x14ac:dyDescent="0.25">
      <c r="C325" s="606">
        <f>+'Stock Data'!AM136</f>
        <v>45786</v>
      </c>
      <c r="D325" s="580">
        <f>_xlfn.XLOOKUP(C325,'Stock Data'!$AM$4:$AM$1051,'Stock Data'!$AN$4:$AN$1051)</f>
        <v>463.56</v>
      </c>
    </row>
    <row r="326" spans="3:4" ht="15" customHeight="1" x14ac:dyDescent="0.25">
      <c r="C326" s="606">
        <f>+'Stock Data'!AM137</f>
        <v>45785</v>
      </c>
      <c r="D326" s="580">
        <f>_xlfn.XLOOKUP(C326,'Stock Data'!$AM$4:$AM$1051,'Stock Data'!$AN$4:$AN$1051)</f>
        <v>460.64</v>
      </c>
    </row>
    <row r="327" spans="3:4" ht="15" customHeight="1" x14ac:dyDescent="0.25">
      <c r="C327" s="606">
        <f>+'Stock Data'!AM138</f>
        <v>45784</v>
      </c>
      <c r="D327" s="580">
        <f>_xlfn.XLOOKUP(C327,'Stock Data'!$AM$4:$AM$1051,'Stock Data'!$AN$4:$AN$1051)</f>
        <v>460.2</v>
      </c>
    </row>
    <row r="328" spans="3:4" ht="15" customHeight="1" x14ac:dyDescent="0.25">
      <c r="C328" s="606">
        <f>+'Stock Data'!AM139</f>
        <v>45783</v>
      </c>
      <c r="D328" s="580">
        <f>_xlfn.XLOOKUP(C328,'Stock Data'!$AM$4:$AM$1051,'Stock Data'!$AN$4:$AN$1051)</f>
        <v>459.3</v>
      </c>
    </row>
    <row r="329" spans="3:4" ht="15" customHeight="1" x14ac:dyDescent="0.25">
      <c r="C329" s="606">
        <f>+'Stock Data'!AM140</f>
        <v>45782</v>
      </c>
      <c r="D329" s="580">
        <f>_xlfn.XLOOKUP(C329,'Stock Data'!$AM$4:$AM$1051,'Stock Data'!$AN$4:$AN$1051)</f>
        <v>459.3</v>
      </c>
    </row>
    <row r="330" spans="3:4" ht="15" customHeight="1" x14ac:dyDescent="0.25">
      <c r="C330" s="606">
        <f>+'Stock Data'!AM141</f>
        <v>45781</v>
      </c>
      <c r="D330" s="580">
        <f>_xlfn.XLOOKUP(C330,'Stock Data'!$AM$4:$AM$1051,'Stock Data'!$AN$4:$AN$1051)</f>
        <v>459.3</v>
      </c>
    </row>
    <row r="331" spans="3:4" ht="15" customHeight="1" x14ac:dyDescent="0.25">
      <c r="C331" s="606">
        <f>+'Stock Data'!AM142</f>
        <v>45780</v>
      </c>
      <c r="D331" s="580">
        <f>_xlfn.XLOOKUP(C331,'Stock Data'!$AM$4:$AM$1051,'Stock Data'!$AN$4:$AN$1051)</f>
        <v>464.51</v>
      </c>
    </row>
    <row r="332" spans="3:4" ht="15" customHeight="1" x14ac:dyDescent="0.25">
      <c r="C332" s="606">
        <f>+'Stock Data'!AM143</f>
        <v>45779</v>
      </c>
      <c r="D332" s="580">
        <f>_xlfn.XLOOKUP(C332,'Stock Data'!$AM$4:$AM$1051,'Stock Data'!$AN$4:$AN$1051)</f>
        <v>456.44</v>
      </c>
    </row>
    <row r="333" spans="3:4" ht="15" customHeight="1" x14ac:dyDescent="0.25">
      <c r="C333" s="606">
        <f>+'Stock Data'!AM144</f>
        <v>45778</v>
      </c>
      <c r="D333" s="580">
        <f>_xlfn.XLOOKUP(C333,'Stock Data'!$AM$4:$AM$1051,'Stock Data'!$AN$4:$AN$1051)</f>
        <v>454.66</v>
      </c>
    </row>
    <row r="334" spans="3:4" ht="15" customHeight="1" x14ac:dyDescent="0.25">
      <c r="C334" s="606">
        <f>+'Stock Data'!AM145</f>
        <v>45777</v>
      </c>
      <c r="D334" s="580">
        <f>_xlfn.XLOOKUP(C334,'Stock Data'!$AM$4:$AM$1051,'Stock Data'!$AN$4:$AN$1051)</f>
        <v>441.56</v>
      </c>
    </row>
    <row r="335" spans="3:4" ht="15" customHeight="1" x14ac:dyDescent="0.25">
      <c r="C335" s="606">
        <f>+'Stock Data'!AM146</f>
        <v>45776</v>
      </c>
      <c r="D335" s="580">
        <f>_xlfn.XLOOKUP(C335,'Stock Data'!$AM$4:$AM$1051,'Stock Data'!$AN$4:$AN$1051)</f>
        <v>452.07</v>
      </c>
    </row>
    <row r="336" spans="3:4" ht="15" customHeight="1" x14ac:dyDescent="0.25">
      <c r="C336" s="606">
        <f>+'Stock Data'!AM147</f>
        <v>45775</v>
      </c>
      <c r="D336" s="580">
        <f>_xlfn.XLOOKUP(C336,'Stock Data'!$AM$4:$AM$1051,'Stock Data'!$AN$4:$AN$1051)</f>
        <v>452.07</v>
      </c>
    </row>
    <row r="337" spans="3:4" ht="15" customHeight="1" x14ac:dyDescent="0.25">
      <c r="C337" s="606">
        <f>+'Stock Data'!AM148</f>
        <v>45774</v>
      </c>
      <c r="D337" s="580">
        <f>_xlfn.XLOOKUP(C337,'Stock Data'!$AM$4:$AM$1051,'Stock Data'!$AN$4:$AN$1051)</f>
        <v>452.07</v>
      </c>
    </row>
    <row r="338" spans="3:4" ht="15" customHeight="1" x14ac:dyDescent="0.25">
      <c r="C338" s="606">
        <f>+'Stock Data'!AM149</f>
        <v>45773</v>
      </c>
      <c r="D338" s="580">
        <f>_xlfn.XLOOKUP(C338,'Stock Data'!$AM$4:$AM$1051,'Stock Data'!$AN$4:$AN$1051)</f>
        <v>452.07</v>
      </c>
    </row>
    <row r="339" spans="3:4" ht="15" customHeight="1" x14ac:dyDescent="0.25">
      <c r="C339" s="606">
        <f>+'Stock Data'!AM150</f>
        <v>45772</v>
      </c>
      <c r="D339" s="580">
        <f>_xlfn.XLOOKUP(C339,'Stock Data'!$AM$4:$AM$1051,'Stock Data'!$AN$4:$AN$1051)</f>
        <v>452.42</v>
      </c>
    </row>
    <row r="340" spans="3:4" ht="15" customHeight="1" x14ac:dyDescent="0.25">
      <c r="C340" s="606">
        <f>+'Stock Data'!AM151</f>
        <v>45771</v>
      </c>
      <c r="D340" s="580">
        <f>_xlfn.XLOOKUP(C340,'Stock Data'!$AM$4:$AM$1051,'Stock Data'!$AN$4:$AN$1051)</f>
        <v>461.26</v>
      </c>
    </row>
    <row r="341" spans="3:4" ht="15" customHeight="1" x14ac:dyDescent="0.25">
      <c r="C341" s="606">
        <f>+'Stock Data'!AM152</f>
        <v>45770</v>
      </c>
      <c r="D341" s="580">
        <f>_xlfn.XLOOKUP(C341,'Stock Data'!$AM$4:$AM$1051,'Stock Data'!$AN$4:$AN$1051)</f>
        <v>467.67</v>
      </c>
    </row>
    <row r="342" spans="3:4" ht="15" customHeight="1" x14ac:dyDescent="0.25">
      <c r="C342" s="606">
        <f>+'Stock Data'!AM153</f>
        <v>45769</v>
      </c>
      <c r="D342" s="580">
        <f>_xlfn.XLOOKUP(C342,'Stock Data'!$AM$4:$AM$1051,'Stock Data'!$AN$4:$AN$1051)</f>
        <v>459.13</v>
      </c>
    </row>
    <row r="343" spans="3:4" ht="15" customHeight="1" x14ac:dyDescent="0.25">
      <c r="C343" s="606">
        <f>+'Stock Data'!AM154</f>
        <v>45768</v>
      </c>
      <c r="D343" s="580">
        <f>_xlfn.XLOOKUP(C343,'Stock Data'!$AM$4:$AM$1051,'Stock Data'!$AN$4:$AN$1051)</f>
        <v>459.13</v>
      </c>
    </row>
    <row r="344" spans="3:4" ht="15" customHeight="1" x14ac:dyDescent="0.25">
      <c r="C344" s="606">
        <f>+'Stock Data'!AM155</f>
        <v>45767</v>
      </c>
      <c r="D344" s="580">
        <f>_xlfn.XLOOKUP(C344,'Stock Data'!$AM$4:$AM$1051,'Stock Data'!$AN$4:$AN$1051)</f>
        <v>459.13</v>
      </c>
    </row>
    <row r="345" spans="3:4" ht="15" customHeight="1" x14ac:dyDescent="0.25">
      <c r="C345" s="606">
        <f>+'Stock Data'!AM156</f>
        <v>45766</v>
      </c>
      <c r="D345" s="580">
        <f>_xlfn.XLOOKUP(C345,'Stock Data'!$AM$4:$AM$1051,'Stock Data'!$AN$4:$AN$1051)</f>
        <v>444.19</v>
      </c>
    </row>
    <row r="346" spans="3:4" ht="15" customHeight="1" x14ac:dyDescent="0.25">
      <c r="C346" s="606">
        <f>+'Stock Data'!AM157</f>
        <v>45765</v>
      </c>
      <c r="D346" s="580">
        <f>_xlfn.XLOOKUP(C346,'Stock Data'!$AM$4:$AM$1051,'Stock Data'!$AN$4:$AN$1051)</f>
        <v>452.59</v>
      </c>
    </row>
    <row r="347" spans="3:4" ht="15" customHeight="1" x14ac:dyDescent="0.25">
      <c r="C347" s="606">
        <f>+'Stock Data'!AM158</f>
        <v>45764</v>
      </c>
      <c r="D347" s="580">
        <f>_xlfn.XLOOKUP(C347,'Stock Data'!$AM$4:$AM$1051,'Stock Data'!$AN$4:$AN$1051)</f>
        <v>412.99</v>
      </c>
    </row>
    <row r="348" spans="3:4" ht="15" customHeight="1" x14ac:dyDescent="0.25">
      <c r="C348" s="606">
        <f>+'Stock Data'!AM159</f>
        <v>45763</v>
      </c>
      <c r="D348" s="580">
        <f>_xlfn.XLOOKUP(C348,'Stock Data'!$AM$4:$AM$1051,'Stock Data'!$AN$4:$AN$1051)</f>
        <v>423.35</v>
      </c>
    </row>
    <row r="349" spans="3:4" ht="15" customHeight="1" x14ac:dyDescent="0.25">
      <c r="C349" s="606">
        <f>+'Stock Data'!AM160</f>
        <v>45762</v>
      </c>
      <c r="D349" s="580">
        <f>_xlfn.XLOOKUP(C349,'Stock Data'!$AM$4:$AM$1051,'Stock Data'!$AN$4:$AN$1051)</f>
        <v>429.86</v>
      </c>
    </row>
    <row r="350" spans="3:4" ht="15" customHeight="1" x14ac:dyDescent="0.25">
      <c r="C350" s="606">
        <f>+'Stock Data'!AM161</f>
        <v>45761</v>
      </c>
      <c r="D350" s="580">
        <f>_xlfn.XLOOKUP(C350,'Stock Data'!$AM$4:$AM$1051,'Stock Data'!$AN$4:$AN$1051)</f>
        <v>429.86</v>
      </c>
    </row>
    <row r="351" spans="3:4" ht="15" customHeight="1" x14ac:dyDescent="0.25">
      <c r="C351" s="606">
        <f>+'Stock Data'!AM162</f>
        <v>45760</v>
      </c>
      <c r="D351" s="580">
        <f>_xlfn.XLOOKUP(C351,'Stock Data'!$AM$4:$AM$1051,'Stock Data'!$AN$4:$AN$1051)</f>
        <v>429.86</v>
      </c>
    </row>
    <row r="352" spans="3:4" ht="15" customHeight="1" x14ac:dyDescent="0.25">
      <c r="C352" s="606">
        <f>+'Stock Data'!AM163</f>
        <v>45759</v>
      </c>
      <c r="D352" s="580">
        <f>_xlfn.XLOOKUP(C352,'Stock Data'!$AM$4:$AM$1051,'Stock Data'!$AN$4:$AN$1051)</f>
        <v>447.45</v>
      </c>
    </row>
    <row r="353" spans="3:4" ht="15" customHeight="1" x14ac:dyDescent="0.25">
      <c r="C353" s="606">
        <f>+'Stock Data'!AM164</f>
        <v>45758</v>
      </c>
      <c r="D353" s="580">
        <f>_xlfn.XLOOKUP(C353,'Stock Data'!$AM$4:$AM$1051,'Stock Data'!$AN$4:$AN$1051)</f>
        <v>470.9</v>
      </c>
    </row>
    <row r="354" spans="3:4" ht="15" customHeight="1" x14ac:dyDescent="0.25">
      <c r="C354" s="606">
        <f>+'Stock Data'!AM165</f>
        <v>45757</v>
      </c>
      <c r="D354" s="580">
        <f>_xlfn.XLOOKUP(C354,'Stock Data'!$AM$4:$AM$1051,'Stock Data'!$AN$4:$AN$1051)</f>
        <v>478.45</v>
      </c>
    </row>
    <row r="355" spans="3:4" ht="15" customHeight="1" x14ac:dyDescent="0.25">
      <c r="C355" s="606">
        <f>+'Stock Data'!AM166</f>
        <v>45756</v>
      </c>
      <c r="D355" s="580">
        <f>_xlfn.XLOOKUP(C355,'Stock Data'!$AM$4:$AM$1051,'Stock Data'!$AN$4:$AN$1051)</f>
        <v>469.35</v>
      </c>
    </row>
    <row r="356" spans="3:4" ht="15" customHeight="1" x14ac:dyDescent="0.25">
      <c r="C356" s="606">
        <f>+'Stock Data'!AM167</f>
        <v>45755</v>
      </c>
      <c r="D356" s="580">
        <f>_xlfn.XLOOKUP(C356,'Stock Data'!$AM$4:$AM$1051,'Stock Data'!$AN$4:$AN$1051)</f>
        <v>465.31</v>
      </c>
    </row>
    <row r="357" spans="3:4" ht="15" customHeight="1" x14ac:dyDescent="0.25">
      <c r="C357" s="606">
        <f>+'Stock Data'!AM168</f>
        <v>45754</v>
      </c>
      <c r="D357" s="580">
        <f>_xlfn.XLOOKUP(C357,'Stock Data'!$AM$4:$AM$1051,'Stock Data'!$AN$4:$AN$1051)</f>
        <v>465.31</v>
      </c>
    </row>
    <row r="358" spans="3:4" ht="15" customHeight="1" x14ac:dyDescent="0.25">
      <c r="C358" s="606">
        <f>+'Stock Data'!AM169</f>
        <v>45753</v>
      </c>
      <c r="D358" s="580">
        <f>_xlfn.XLOOKUP(C358,'Stock Data'!$AM$4:$AM$1051,'Stock Data'!$AN$4:$AN$1051)</f>
        <v>465.31</v>
      </c>
    </row>
    <row r="359" spans="3:4" ht="15" customHeight="1" x14ac:dyDescent="0.25">
      <c r="C359" s="606">
        <f>+'Stock Data'!AM170</f>
        <v>45752</v>
      </c>
      <c r="D359" s="580">
        <f>_xlfn.XLOOKUP(C359,'Stock Data'!$AM$4:$AM$1051,'Stock Data'!$AN$4:$AN$1051)</f>
        <v>479.72</v>
      </c>
    </row>
    <row r="360" spans="3:4" ht="15" customHeight="1" x14ac:dyDescent="0.25">
      <c r="C360" s="606">
        <f>+'Stock Data'!AM171</f>
        <v>45751</v>
      </c>
      <c r="D360" s="580">
        <f>_xlfn.XLOOKUP(C360,'Stock Data'!$AM$4:$AM$1051,'Stock Data'!$AN$4:$AN$1051)</f>
        <v>483.62</v>
      </c>
    </row>
    <row r="361" spans="3:4" ht="15" customHeight="1" x14ac:dyDescent="0.25">
      <c r="C361" s="606">
        <f>+'Stock Data'!AM172</f>
        <v>45750</v>
      </c>
      <c r="D361" s="580">
        <f>_xlfn.XLOOKUP(C361,'Stock Data'!$AM$4:$AM$1051,'Stock Data'!$AN$4:$AN$1051)</f>
        <v>478.93</v>
      </c>
    </row>
    <row r="362" spans="3:4" ht="15" customHeight="1" x14ac:dyDescent="0.25">
      <c r="C362" s="606">
        <f>+'Stock Data'!AM173</f>
        <v>45749</v>
      </c>
      <c r="D362" s="580">
        <f>_xlfn.XLOOKUP(C362,'Stock Data'!$AM$4:$AM$1051,'Stock Data'!$AN$4:$AN$1051)</f>
        <v>479.96</v>
      </c>
    </row>
    <row r="363" spans="3:4" ht="15" customHeight="1" x14ac:dyDescent="0.25">
      <c r="C363" s="606">
        <f>+'Stock Data'!AM174</f>
        <v>45748</v>
      </c>
      <c r="D363" s="580">
        <f>_xlfn.XLOOKUP(C363,'Stock Data'!$AM$4:$AM$1051,'Stock Data'!$AN$4:$AN$1051)</f>
        <v>472.43</v>
      </c>
    </row>
    <row r="364" spans="3:4" ht="15" customHeight="1" x14ac:dyDescent="0.25">
      <c r="C364" s="606">
        <f>+'Stock Data'!AM175</f>
        <v>45747</v>
      </c>
      <c r="D364" s="580">
        <f>_xlfn.XLOOKUP(C364,'Stock Data'!$AM$4:$AM$1051,'Stock Data'!$AN$4:$AN$1051)</f>
        <v>472.43</v>
      </c>
    </row>
    <row r="365" spans="3:4" ht="15" customHeight="1" x14ac:dyDescent="0.25">
      <c r="C365" s="606">
        <f>+'Stock Data'!AM176</f>
        <v>45746</v>
      </c>
      <c r="D365" s="580">
        <f>_xlfn.XLOOKUP(C365,'Stock Data'!$AM$4:$AM$1051,'Stock Data'!$AN$4:$AN$1051)</f>
        <v>472.43</v>
      </c>
    </row>
    <row r="366" spans="3:4" ht="15" customHeight="1" x14ac:dyDescent="0.25">
      <c r="C366" s="606">
        <f>+'Stock Data'!AM177</f>
        <v>45745</v>
      </c>
      <c r="D366" s="580">
        <f>_xlfn.XLOOKUP(C366,'Stock Data'!$AM$4:$AM$1051,'Stock Data'!$AN$4:$AN$1051)</f>
        <v>477.02</v>
      </c>
    </row>
    <row r="367" spans="3:4" ht="15" customHeight="1" x14ac:dyDescent="0.25">
      <c r="C367" s="606">
        <f>+'Stock Data'!AM178</f>
        <v>45744</v>
      </c>
      <c r="D367" s="580">
        <f>_xlfn.XLOOKUP(C367,'Stock Data'!$AM$4:$AM$1051,'Stock Data'!$AN$4:$AN$1051)</f>
        <v>479.41</v>
      </c>
    </row>
    <row r="368" spans="3:4" ht="15" customHeight="1" x14ac:dyDescent="0.25">
      <c r="C368" s="606">
        <f>+'Stock Data'!AM179</f>
        <v>45743</v>
      </c>
      <c r="D368" s="580">
        <f>_xlfn.XLOOKUP(C368,'Stock Data'!$AM$4:$AM$1051,'Stock Data'!$AN$4:$AN$1051)</f>
        <v>481.17</v>
      </c>
    </row>
    <row r="369" spans="3:4" ht="15" customHeight="1" x14ac:dyDescent="0.25">
      <c r="C369" s="606">
        <f>+'Stock Data'!AM180</f>
        <v>45742</v>
      </c>
      <c r="D369" s="580">
        <f>_xlfn.XLOOKUP(C369,'Stock Data'!$AM$4:$AM$1051,'Stock Data'!$AN$4:$AN$1051)</f>
        <v>482.35</v>
      </c>
    </row>
    <row r="370" spans="3:4" ht="15" customHeight="1" x14ac:dyDescent="0.25">
      <c r="C370" s="606">
        <f>+'Stock Data'!AM181</f>
        <v>45741</v>
      </c>
      <c r="D370" s="580">
        <f>_xlfn.XLOOKUP(C370,'Stock Data'!$AM$4:$AM$1051,'Stock Data'!$AN$4:$AN$1051)</f>
        <v>477.5</v>
      </c>
    </row>
    <row r="371" spans="3:4" ht="15" customHeight="1" x14ac:dyDescent="0.25">
      <c r="C371" s="606">
        <f>+'Stock Data'!AM182</f>
        <v>45740</v>
      </c>
      <c r="D371" s="580">
        <f>_xlfn.XLOOKUP(C371,'Stock Data'!$AM$4:$AM$1051,'Stock Data'!$AN$4:$AN$1051)</f>
        <v>477.5</v>
      </c>
    </row>
    <row r="372" spans="3:4" ht="15" customHeight="1" x14ac:dyDescent="0.25">
      <c r="C372" s="606">
        <f>+'Stock Data'!AM183</f>
        <v>45739</v>
      </c>
      <c r="D372" s="580">
        <f>_xlfn.XLOOKUP(C372,'Stock Data'!$AM$4:$AM$1051,'Stock Data'!$AN$4:$AN$1051)</f>
        <v>477.5</v>
      </c>
    </row>
    <row r="373" spans="3:4" ht="15" customHeight="1" x14ac:dyDescent="0.25">
      <c r="C373" s="606">
        <f>+'Stock Data'!AM184</f>
        <v>45738</v>
      </c>
      <c r="D373" s="580">
        <f>_xlfn.XLOOKUP(C373,'Stock Data'!$AM$4:$AM$1051,'Stock Data'!$AN$4:$AN$1051)</f>
        <v>467.09</v>
      </c>
    </row>
    <row r="374" spans="3:4" ht="15" customHeight="1" x14ac:dyDescent="0.25">
      <c r="C374" s="606">
        <f>+'Stock Data'!AM185</f>
        <v>45737</v>
      </c>
      <c r="D374" s="580">
        <f>_xlfn.XLOOKUP(C374,'Stock Data'!$AM$4:$AM$1051,'Stock Data'!$AN$4:$AN$1051)</f>
        <v>471.37</v>
      </c>
    </row>
    <row r="375" spans="3:4" ht="15" customHeight="1" x14ac:dyDescent="0.25">
      <c r="C375" s="606">
        <f>+'Stock Data'!AM186</f>
        <v>45736</v>
      </c>
      <c r="D375" s="580">
        <f>_xlfn.XLOOKUP(C375,'Stock Data'!$AM$4:$AM$1051,'Stock Data'!$AN$4:$AN$1051)</f>
        <v>475.5</v>
      </c>
    </row>
    <row r="376" spans="3:4" ht="15" customHeight="1" x14ac:dyDescent="0.25">
      <c r="C376" s="606">
        <f>+'Stock Data'!AM187</f>
        <v>45735</v>
      </c>
      <c r="D376" s="580">
        <f>_xlfn.XLOOKUP(C376,'Stock Data'!$AM$4:$AM$1051,'Stock Data'!$AN$4:$AN$1051)</f>
        <v>488.78</v>
      </c>
    </row>
    <row r="377" spans="3:4" ht="15" customHeight="1" x14ac:dyDescent="0.25">
      <c r="C377" s="606">
        <f>+'Stock Data'!AM188</f>
        <v>45734</v>
      </c>
      <c r="D377" s="580">
        <f>_xlfn.XLOOKUP(C377,'Stock Data'!$AM$4:$AM$1051,'Stock Data'!$AN$4:$AN$1051)</f>
        <v>499.62</v>
      </c>
    </row>
    <row r="378" spans="3:4" ht="15" customHeight="1" x14ac:dyDescent="0.25">
      <c r="C378" s="606">
        <f>+'Stock Data'!AM189</f>
        <v>45733</v>
      </c>
      <c r="D378" s="580">
        <f>_xlfn.XLOOKUP(C378,'Stock Data'!$AM$4:$AM$1051,'Stock Data'!$AN$4:$AN$1051)</f>
        <v>499.62</v>
      </c>
    </row>
    <row r="379" spans="3:4" ht="15" customHeight="1" x14ac:dyDescent="0.25">
      <c r="C379" s="606">
        <f>+'Stock Data'!AM190</f>
        <v>45732</v>
      </c>
      <c r="D379" s="580">
        <f>_xlfn.XLOOKUP(C379,'Stock Data'!$AM$4:$AM$1051,'Stock Data'!$AN$4:$AN$1051)</f>
        <v>499.62</v>
      </c>
    </row>
    <row r="380" spans="3:4" ht="15" customHeight="1" x14ac:dyDescent="0.25">
      <c r="C380" s="606">
        <f>+'Stock Data'!AM191</f>
        <v>45731</v>
      </c>
      <c r="D380" s="580">
        <f>_xlfn.XLOOKUP(C380,'Stock Data'!$AM$4:$AM$1051,'Stock Data'!$AN$4:$AN$1051)</f>
        <v>482.84</v>
      </c>
    </row>
    <row r="381" spans="3:4" ht="15" customHeight="1" x14ac:dyDescent="0.25">
      <c r="C381" s="606">
        <f>+'Stock Data'!AM192</f>
        <v>45730</v>
      </c>
      <c r="D381" s="580">
        <f>_xlfn.XLOOKUP(C381,'Stock Data'!$AM$4:$AM$1051,'Stock Data'!$AN$4:$AN$1051)</f>
        <v>467.5</v>
      </c>
    </row>
    <row r="382" spans="3:4" ht="15" customHeight="1" x14ac:dyDescent="0.25">
      <c r="C382" s="606">
        <f>+'Stock Data'!AM193</f>
        <v>45729</v>
      </c>
      <c r="D382" s="580">
        <f>_xlfn.XLOOKUP(C382,'Stock Data'!$AM$4:$AM$1051,'Stock Data'!$AN$4:$AN$1051)</f>
        <v>458.38</v>
      </c>
    </row>
    <row r="383" spans="3:4" ht="15" customHeight="1" x14ac:dyDescent="0.25">
      <c r="C383" s="606">
        <f>+'Stock Data'!AM194</f>
        <v>45728</v>
      </c>
      <c r="D383" s="580">
        <f>_xlfn.XLOOKUP(C383,'Stock Data'!$AM$4:$AM$1051,'Stock Data'!$AN$4:$AN$1051)</f>
        <v>465.83</v>
      </c>
    </row>
    <row r="384" spans="3:4" ht="15" customHeight="1" x14ac:dyDescent="0.25">
      <c r="C384" s="606">
        <f>+'Stock Data'!AM195</f>
        <v>45727</v>
      </c>
      <c r="D384" s="580">
        <f>_xlfn.XLOOKUP(C384,'Stock Data'!$AM$4:$AM$1051,'Stock Data'!$AN$4:$AN$1051)</f>
        <v>480.79</v>
      </c>
    </row>
    <row r="385" spans="3:4" ht="15" customHeight="1" x14ac:dyDescent="0.25">
      <c r="C385" s="606">
        <f>+'Stock Data'!AM196</f>
        <v>45726</v>
      </c>
      <c r="D385" s="580">
        <f>_xlfn.XLOOKUP(C385,'Stock Data'!$AM$4:$AM$1051,'Stock Data'!$AN$4:$AN$1051)</f>
        <v>480.79</v>
      </c>
    </row>
    <row r="386" spans="3:4" ht="15" customHeight="1" x14ac:dyDescent="0.25">
      <c r="C386" s="606">
        <f>+'Stock Data'!AM197</f>
        <v>45725</v>
      </c>
      <c r="D386" s="580">
        <f>_xlfn.XLOOKUP(C386,'Stock Data'!$AM$4:$AM$1051,'Stock Data'!$AN$4:$AN$1051)</f>
        <v>480.79</v>
      </c>
    </row>
    <row r="387" spans="3:4" ht="15" customHeight="1" x14ac:dyDescent="0.25">
      <c r="C387" s="606">
        <f>+'Stock Data'!AM198</f>
        <v>45724</v>
      </c>
      <c r="D387" s="580">
        <f>_xlfn.XLOOKUP(C387,'Stock Data'!$AM$4:$AM$1051,'Stock Data'!$AN$4:$AN$1051)</f>
        <v>480.55</v>
      </c>
    </row>
    <row r="388" spans="3:4" ht="15" customHeight="1" x14ac:dyDescent="0.25">
      <c r="C388" s="606">
        <f>+'Stock Data'!AM199</f>
        <v>45723</v>
      </c>
      <c r="D388" s="580">
        <f>_xlfn.XLOOKUP(C388,'Stock Data'!$AM$4:$AM$1051,'Stock Data'!$AN$4:$AN$1051)</f>
        <v>478.52</v>
      </c>
    </row>
    <row r="389" spans="3:4" ht="15" customHeight="1" x14ac:dyDescent="0.25">
      <c r="C389" s="606">
        <f>+'Stock Data'!AM200</f>
        <v>45722</v>
      </c>
      <c r="D389" s="580">
        <f>_xlfn.XLOOKUP(C389,'Stock Data'!$AM$4:$AM$1051,'Stock Data'!$AN$4:$AN$1051)</f>
        <v>487.59</v>
      </c>
    </row>
    <row r="390" spans="3:4" ht="15" customHeight="1" x14ac:dyDescent="0.25">
      <c r="C390" s="606">
        <f>+'Stock Data'!AM201</f>
        <v>45721</v>
      </c>
      <c r="D390" s="580">
        <f>_xlfn.XLOOKUP(C390,'Stock Data'!$AM$4:$AM$1051,'Stock Data'!$AN$4:$AN$1051)</f>
        <v>484.55</v>
      </c>
    </row>
    <row r="391" spans="3:4" ht="15" customHeight="1" x14ac:dyDescent="0.25">
      <c r="C391" s="606">
        <f>+'Stock Data'!AM202</f>
        <v>45720</v>
      </c>
      <c r="D391" s="580">
        <f>_xlfn.XLOOKUP(C391,'Stock Data'!$AM$4:$AM$1051,'Stock Data'!$AN$4:$AN$1051)</f>
        <v>489.98</v>
      </c>
    </row>
    <row r="392" spans="3:4" ht="15" customHeight="1" x14ac:dyDescent="0.25">
      <c r="C392" s="606">
        <f>+'Stock Data'!AM203</f>
        <v>45719</v>
      </c>
      <c r="D392" s="580">
        <f>_xlfn.XLOOKUP(C392,'Stock Data'!$AM$4:$AM$1051,'Stock Data'!$AN$4:$AN$1051)</f>
        <v>489.98</v>
      </c>
    </row>
    <row r="393" spans="3:4" ht="15" customHeight="1" x14ac:dyDescent="0.25">
      <c r="C393" s="606">
        <f>+'Stock Data'!AM204</f>
        <v>45718</v>
      </c>
      <c r="D393" s="580">
        <f>_xlfn.XLOOKUP(C393,'Stock Data'!$AM$4:$AM$1051,'Stock Data'!$AN$4:$AN$1051)</f>
        <v>489.98</v>
      </c>
    </row>
    <row r="394" spans="3:4" ht="15" customHeight="1" x14ac:dyDescent="0.25">
      <c r="C394" s="606">
        <f>+'Stock Data'!AM205</f>
        <v>45717</v>
      </c>
      <c r="D394" s="580">
        <f>_xlfn.XLOOKUP(C394,'Stock Data'!$AM$4:$AM$1051,'Stock Data'!$AN$4:$AN$1051)</f>
        <v>495.79</v>
      </c>
    </row>
    <row r="395" spans="3:4" ht="15" customHeight="1" x14ac:dyDescent="0.25">
      <c r="C395" s="606">
        <f>+'Stock Data'!AM206</f>
        <v>45716</v>
      </c>
      <c r="D395" s="580">
        <f>_xlfn.XLOOKUP(C395,'Stock Data'!$AM$4:$AM$1051,'Stock Data'!$AN$4:$AN$1051)</f>
        <v>509.27</v>
      </c>
    </row>
    <row r="396" spans="3:4" ht="15" customHeight="1" x14ac:dyDescent="0.25">
      <c r="C396" s="606">
        <f>+'Stock Data'!AM207</f>
        <v>45715</v>
      </c>
      <c r="D396" s="580">
        <f>_xlfn.XLOOKUP(C396,'Stock Data'!$AM$4:$AM$1051,'Stock Data'!$AN$4:$AN$1051)</f>
        <v>501.56</v>
      </c>
    </row>
    <row r="397" spans="3:4" ht="15" customHeight="1" x14ac:dyDescent="0.25">
      <c r="C397" s="606">
        <f>+'Stock Data'!AM208</f>
        <v>45714</v>
      </c>
      <c r="D397" s="580">
        <f>_xlfn.XLOOKUP(C397,'Stock Data'!$AM$4:$AM$1051,'Stock Data'!$AN$4:$AN$1051)</f>
        <v>480.22</v>
      </c>
    </row>
    <row r="398" spans="3:4" ht="15" customHeight="1" x14ac:dyDescent="0.25">
      <c r="C398" s="606">
        <f>+'Stock Data'!AM209</f>
        <v>45713</v>
      </c>
      <c r="D398" s="580">
        <f>_xlfn.XLOOKUP(C398,'Stock Data'!$AM$4:$AM$1051,'Stock Data'!$AN$4:$AN$1051)</f>
        <v>480.22</v>
      </c>
    </row>
    <row r="399" spans="3:4" ht="15" customHeight="1" x14ac:dyDescent="0.25">
      <c r="C399" s="606">
        <f>+'Stock Data'!AM210</f>
        <v>45712</v>
      </c>
      <c r="D399" s="580">
        <f>_xlfn.XLOOKUP(C399,'Stock Data'!$AM$4:$AM$1051,'Stock Data'!$AN$4:$AN$1051)</f>
        <v>480.22</v>
      </c>
    </row>
    <row r="400" spans="3:4" ht="15" customHeight="1" x14ac:dyDescent="0.25">
      <c r="C400" s="606">
        <f>+'Stock Data'!AM211</f>
        <v>45711</v>
      </c>
      <c r="D400" s="580">
        <f>_xlfn.XLOOKUP(C400,'Stock Data'!$AM$4:$AM$1051,'Stock Data'!$AN$4:$AN$1051)</f>
        <v>480.22</v>
      </c>
    </row>
    <row r="401" spans="3:4" ht="15" customHeight="1" x14ac:dyDescent="0.25">
      <c r="C401" s="606">
        <f>+'Stock Data'!AM212</f>
        <v>45710</v>
      </c>
      <c r="D401" s="580">
        <f>_xlfn.XLOOKUP(C401,'Stock Data'!$AM$4:$AM$1051,'Stock Data'!$AN$4:$AN$1051)</f>
        <v>466.22</v>
      </c>
    </row>
    <row r="402" spans="3:4" ht="15" customHeight="1" x14ac:dyDescent="0.25">
      <c r="C402" s="606">
        <f>+'Stock Data'!AM213</f>
        <v>45709</v>
      </c>
      <c r="D402" s="580">
        <f>_xlfn.XLOOKUP(C402,'Stock Data'!$AM$4:$AM$1051,'Stock Data'!$AN$4:$AN$1051)</f>
        <v>476.56</v>
      </c>
    </row>
    <row r="403" spans="3:4" ht="15" customHeight="1" x14ac:dyDescent="0.25">
      <c r="C403" s="606">
        <f>+'Stock Data'!AM214</f>
        <v>45708</v>
      </c>
      <c r="D403" s="580">
        <f>_xlfn.XLOOKUP(C403,'Stock Data'!$AM$4:$AM$1051,'Stock Data'!$AN$4:$AN$1051)</f>
        <v>474.3</v>
      </c>
    </row>
    <row r="404" spans="3:4" ht="15" customHeight="1" x14ac:dyDescent="0.25">
      <c r="C404" s="606">
        <f>+'Stock Data'!AM215</f>
        <v>45707</v>
      </c>
      <c r="D404" s="580">
        <f>_xlfn.XLOOKUP(C404,'Stock Data'!$AM$4:$AM$1051,'Stock Data'!$AN$4:$AN$1051)</f>
        <v>469.98</v>
      </c>
    </row>
    <row r="405" spans="3:4" ht="15" customHeight="1" x14ac:dyDescent="0.25">
      <c r="C405" s="606">
        <f>+'Stock Data'!AM216</f>
        <v>45706</v>
      </c>
      <c r="D405" s="580">
        <f>_xlfn.XLOOKUP(C405,'Stock Data'!$AM$4:$AM$1051,'Stock Data'!$AN$4:$AN$1051)</f>
        <v>465.6</v>
      </c>
    </row>
    <row r="406" spans="3:4" ht="15" customHeight="1" x14ac:dyDescent="0.25">
      <c r="C406" s="606">
        <f>+'Stock Data'!AM217</f>
        <v>45705</v>
      </c>
      <c r="D406" s="580">
        <f>_xlfn.XLOOKUP(C406,'Stock Data'!$AM$4:$AM$1051,'Stock Data'!$AN$4:$AN$1051)</f>
        <v>465.6</v>
      </c>
    </row>
    <row r="407" spans="3:4" ht="15" customHeight="1" x14ac:dyDescent="0.25">
      <c r="C407" s="606">
        <f>+'Stock Data'!AM218</f>
        <v>45704</v>
      </c>
      <c r="D407" s="580">
        <f>_xlfn.XLOOKUP(C407,'Stock Data'!$AM$4:$AM$1051,'Stock Data'!$AN$4:$AN$1051)</f>
        <v>465.6</v>
      </c>
    </row>
    <row r="408" spans="3:4" ht="15" customHeight="1" x14ac:dyDescent="0.25">
      <c r="C408" s="606">
        <f>+'Stock Data'!AM219</f>
        <v>45703</v>
      </c>
      <c r="D408" s="580">
        <f>_xlfn.XLOOKUP(C408,'Stock Data'!$AM$4:$AM$1051,'Stock Data'!$AN$4:$AN$1051)</f>
        <v>464.98</v>
      </c>
    </row>
    <row r="409" spans="3:4" ht="15" customHeight="1" x14ac:dyDescent="0.25">
      <c r="C409" s="606">
        <f>+'Stock Data'!AM220</f>
        <v>45702</v>
      </c>
      <c r="D409" s="580">
        <f>_xlfn.XLOOKUP(C409,'Stock Data'!$AM$4:$AM$1051,'Stock Data'!$AN$4:$AN$1051)</f>
        <v>467.68</v>
      </c>
    </row>
    <row r="410" spans="3:4" ht="15" customHeight="1" x14ac:dyDescent="0.25">
      <c r="C410" s="606">
        <f>+'Stock Data'!AM221</f>
        <v>45701</v>
      </c>
      <c r="D410" s="580">
        <f>_xlfn.XLOOKUP(C410,'Stock Data'!$AM$4:$AM$1051,'Stock Data'!$AN$4:$AN$1051)</f>
        <v>472.27</v>
      </c>
    </row>
    <row r="411" spans="3:4" ht="15" customHeight="1" x14ac:dyDescent="0.25">
      <c r="C411" s="606">
        <f>+'Stock Data'!AM222</f>
        <v>45700</v>
      </c>
      <c r="D411" s="580">
        <f>_xlfn.XLOOKUP(C411,'Stock Data'!$AM$4:$AM$1051,'Stock Data'!$AN$4:$AN$1051)</f>
        <v>467.05</v>
      </c>
    </row>
    <row r="412" spans="3:4" ht="15" customHeight="1" x14ac:dyDescent="0.25">
      <c r="C412" s="606">
        <f>+'Stock Data'!AM223</f>
        <v>45699</v>
      </c>
      <c r="D412" s="580">
        <f>_xlfn.XLOOKUP(C412,'Stock Data'!$AM$4:$AM$1051,'Stock Data'!$AN$4:$AN$1051)</f>
        <v>476.56</v>
      </c>
    </row>
    <row r="413" spans="3:4" ht="15" customHeight="1" x14ac:dyDescent="0.25">
      <c r="C413" s="606">
        <f>+'Stock Data'!AM224</f>
        <v>45698</v>
      </c>
      <c r="D413" s="580">
        <f>_xlfn.XLOOKUP(C413,'Stock Data'!$AM$4:$AM$1051,'Stock Data'!$AN$4:$AN$1051)</f>
        <v>476.56</v>
      </c>
    </row>
    <row r="414" spans="3:4" ht="15" customHeight="1" x14ac:dyDescent="0.25">
      <c r="C414" s="606">
        <f>+'Stock Data'!AM225</f>
        <v>45697</v>
      </c>
      <c r="D414" s="580">
        <f>_xlfn.XLOOKUP(C414,'Stock Data'!$AM$4:$AM$1051,'Stock Data'!$AN$4:$AN$1051)</f>
        <v>476.56</v>
      </c>
    </row>
    <row r="415" spans="3:4" ht="15" customHeight="1" x14ac:dyDescent="0.25">
      <c r="C415" s="606">
        <f>+'Stock Data'!AM226</f>
        <v>45696</v>
      </c>
      <c r="D415" s="580">
        <f>_xlfn.XLOOKUP(C415,'Stock Data'!$AM$4:$AM$1051,'Stock Data'!$AN$4:$AN$1051)</f>
        <v>479.99</v>
      </c>
    </row>
    <row r="416" spans="3:4" ht="15" customHeight="1" x14ac:dyDescent="0.25">
      <c r="C416" s="606">
        <f>+'Stock Data'!AM227</f>
        <v>45695</v>
      </c>
      <c r="D416" s="580">
        <f>_xlfn.XLOOKUP(C416,'Stock Data'!$AM$4:$AM$1051,'Stock Data'!$AN$4:$AN$1051)</f>
        <v>478.16</v>
      </c>
    </row>
    <row r="417" spans="3:4" ht="15" customHeight="1" x14ac:dyDescent="0.25">
      <c r="C417" s="606">
        <f>+'Stock Data'!AM228</f>
        <v>45694</v>
      </c>
      <c r="D417" s="580">
        <f>_xlfn.XLOOKUP(C417,'Stock Data'!$AM$4:$AM$1051,'Stock Data'!$AN$4:$AN$1051)</f>
        <v>479.99</v>
      </c>
    </row>
    <row r="418" spans="3:4" ht="15" customHeight="1" x14ac:dyDescent="0.25">
      <c r="C418" s="606">
        <f>+'Stock Data'!AM229</f>
        <v>45693</v>
      </c>
      <c r="D418" s="580">
        <f>_xlfn.XLOOKUP(C418,'Stock Data'!$AM$4:$AM$1051,'Stock Data'!$AN$4:$AN$1051)</f>
        <v>484.15</v>
      </c>
    </row>
    <row r="419" spans="3:4" ht="15" customHeight="1" x14ac:dyDescent="0.25">
      <c r="C419" s="606">
        <f>+'Stock Data'!AM230</f>
        <v>45692</v>
      </c>
      <c r="D419" s="580">
        <f>_xlfn.XLOOKUP(C419,'Stock Data'!$AM$4:$AM$1051,'Stock Data'!$AN$4:$AN$1051)</f>
        <v>478.77</v>
      </c>
    </row>
    <row r="420" spans="3:4" ht="15" customHeight="1" x14ac:dyDescent="0.25">
      <c r="C420" s="606">
        <f>+'Stock Data'!AM231</f>
        <v>45691</v>
      </c>
      <c r="D420" s="580">
        <f>_xlfn.XLOOKUP(C420,'Stock Data'!$AM$4:$AM$1051,'Stock Data'!$AN$4:$AN$1051)</f>
        <v>478.77</v>
      </c>
    </row>
    <row r="421" spans="3:4" ht="15" customHeight="1" x14ac:dyDescent="0.25">
      <c r="C421" s="606">
        <f>+'Stock Data'!AM232</f>
        <v>45690</v>
      </c>
      <c r="D421" s="580">
        <f>_xlfn.XLOOKUP(C421,'Stock Data'!$AM$4:$AM$1051,'Stock Data'!$AN$4:$AN$1051)</f>
        <v>478.77</v>
      </c>
    </row>
    <row r="422" spans="3:4" ht="15" customHeight="1" x14ac:dyDescent="0.25">
      <c r="C422" s="606">
        <f>+'Stock Data'!AM233</f>
        <v>45689</v>
      </c>
      <c r="D422" s="580">
        <f>_xlfn.XLOOKUP(C422,'Stock Data'!$AM$4:$AM$1051,'Stock Data'!$AN$4:$AN$1051)</f>
        <v>474.72</v>
      </c>
    </row>
    <row r="423" spans="3:4" ht="15" customHeight="1" x14ac:dyDescent="0.25">
      <c r="C423" s="606">
        <f>+'Stock Data'!AM234</f>
        <v>45688</v>
      </c>
      <c r="D423" s="580">
        <f>_xlfn.XLOOKUP(C423,'Stock Data'!$AM$4:$AM$1051,'Stock Data'!$AN$4:$AN$1051)</f>
        <v>459.75</v>
      </c>
    </row>
    <row r="424" spans="3:4" ht="15" customHeight="1" x14ac:dyDescent="0.25">
      <c r="C424" s="606">
        <f>+'Stock Data'!AM235</f>
        <v>45687</v>
      </c>
      <c r="D424" s="580">
        <f>_xlfn.XLOOKUP(C424,'Stock Data'!$AM$4:$AM$1051,'Stock Data'!$AN$4:$AN$1051)</f>
        <v>463.15</v>
      </c>
    </row>
    <row r="425" spans="3:4" ht="15" customHeight="1" x14ac:dyDescent="0.25">
      <c r="C425" s="606">
        <f>+'Stock Data'!AM236</f>
        <v>45686</v>
      </c>
      <c r="D425" s="580">
        <f>_xlfn.XLOOKUP(C425,'Stock Data'!$AM$4:$AM$1051,'Stock Data'!$AN$4:$AN$1051)</f>
        <v>455.44</v>
      </c>
    </row>
    <row r="426" spans="3:4" ht="15" customHeight="1" x14ac:dyDescent="0.25">
      <c r="C426" s="606">
        <f>+'Stock Data'!AM237</f>
        <v>45685</v>
      </c>
      <c r="D426" s="580">
        <f>_xlfn.XLOOKUP(C426,'Stock Data'!$AM$4:$AM$1051,'Stock Data'!$AN$4:$AN$1051)</f>
        <v>455.44</v>
      </c>
    </row>
    <row r="427" spans="3:4" ht="15" customHeight="1" x14ac:dyDescent="0.25">
      <c r="C427" s="606">
        <f>+'Stock Data'!AM238</f>
        <v>45684</v>
      </c>
      <c r="D427" s="580">
        <f>_xlfn.XLOOKUP(C427,'Stock Data'!$AM$4:$AM$1051,'Stock Data'!$AN$4:$AN$1051)</f>
        <v>455.44</v>
      </c>
    </row>
    <row r="428" spans="3:4" ht="15" customHeight="1" x14ac:dyDescent="0.25">
      <c r="C428" s="606">
        <f>+'Stock Data'!AM239</f>
        <v>45683</v>
      </c>
      <c r="D428" s="580">
        <f>_xlfn.XLOOKUP(C428,'Stock Data'!$AM$4:$AM$1051,'Stock Data'!$AN$4:$AN$1051)</f>
        <v>455.44</v>
      </c>
    </row>
    <row r="429" spans="3:4" ht="15" customHeight="1" x14ac:dyDescent="0.25">
      <c r="C429" s="606">
        <f>+'Stock Data'!AM240</f>
        <v>45682</v>
      </c>
      <c r="D429" s="580">
        <f>_xlfn.XLOOKUP(C429,'Stock Data'!$AM$4:$AM$1051,'Stock Data'!$AN$4:$AN$1051)</f>
        <v>439.11</v>
      </c>
    </row>
    <row r="430" spans="3:4" ht="15" customHeight="1" x14ac:dyDescent="0.25">
      <c r="C430" s="606">
        <f>+'Stock Data'!AM241</f>
        <v>45681</v>
      </c>
      <c r="D430" s="580">
        <f>_xlfn.XLOOKUP(C430,'Stock Data'!$AM$4:$AM$1051,'Stock Data'!$AN$4:$AN$1051)</f>
        <v>428.88</v>
      </c>
    </row>
    <row r="431" spans="3:4" ht="15" customHeight="1" x14ac:dyDescent="0.25">
      <c r="C431" s="606">
        <f>+'Stock Data'!AM242</f>
        <v>45680</v>
      </c>
      <c r="D431" s="580">
        <f>_xlfn.XLOOKUP(C431,'Stock Data'!$AM$4:$AM$1051,'Stock Data'!$AN$4:$AN$1051)</f>
        <v>432.31</v>
      </c>
    </row>
    <row r="432" spans="3:4" ht="15" customHeight="1" x14ac:dyDescent="0.25">
      <c r="C432" s="606">
        <f>+'Stock Data'!AM243</f>
        <v>45679</v>
      </c>
      <c r="D432" s="580">
        <f>_xlfn.XLOOKUP(C432,'Stock Data'!$AM$4:$AM$1051,'Stock Data'!$AN$4:$AN$1051)</f>
        <v>429.91</v>
      </c>
    </row>
    <row r="433" spans="3:4" ht="15" customHeight="1" x14ac:dyDescent="0.25">
      <c r="C433" s="606">
        <f>+'Stock Data'!AM244</f>
        <v>45678</v>
      </c>
      <c r="D433" s="580">
        <f>_xlfn.XLOOKUP(C433,'Stock Data'!$AM$4:$AM$1051,'Stock Data'!$AN$4:$AN$1051)</f>
        <v>408.57</v>
      </c>
    </row>
    <row r="434" spans="3:4" ht="15" customHeight="1" x14ac:dyDescent="0.25">
      <c r="C434" s="606">
        <f>+'Stock Data'!AM245</f>
        <v>45677</v>
      </c>
      <c r="D434" s="580">
        <f>_xlfn.XLOOKUP(C434,'Stock Data'!$AM$4:$AM$1051,'Stock Data'!$AN$4:$AN$1051)</f>
        <v>408.57</v>
      </c>
    </row>
    <row r="435" spans="3:4" ht="15" customHeight="1" x14ac:dyDescent="0.25">
      <c r="C435" s="606">
        <f>+'Stock Data'!AM246</f>
        <v>45676</v>
      </c>
      <c r="D435" s="580">
        <f>_xlfn.XLOOKUP(C435,'Stock Data'!$AM$4:$AM$1051,'Stock Data'!$AN$4:$AN$1051)</f>
        <v>408.57</v>
      </c>
    </row>
    <row r="436" spans="3:4" ht="15" customHeight="1" x14ac:dyDescent="0.25">
      <c r="C436" s="606">
        <f>+'Stock Data'!AM247</f>
        <v>45675</v>
      </c>
      <c r="D436" s="580">
        <f>_xlfn.XLOOKUP(C436,'Stock Data'!$AM$4:$AM$1051,'Stock Data'!$AN$4:$AN$1051)</f>
        <v>410</v>
      </c>
    </row>
    <row r="437" spans="3:4" ht="15" customHeight="1" x14ac:dyDescent="0.25">
      <c r="C437" s="606">
        <f>+'Stock Data'!AM248</f>
        <v>45674</v>
      </c>
      <c r="D437" s="580">
        <f>_xlfn.XLOOKUP(C437,'Stock Data'!$AM$4:$AM$1051,'Stock Data'!$AN$4:$AN$1051)</f>
        <v>410</v>
      </c>
    </row>
    <row r="438" spans="3:4" ht="15" customHeight="1" x14ac:dyDescent="0.25">
      <c r="C438" s="606">
        <f>+'Stock Data'!AM249</f>
        <v>45673</v>
      </c>
      <c r="D438" s="580">
        <f>_xlfn.XLOOKUP(C438,'Stock Data'!$AM$4:$AM$1051,'Stock Data'!$AN$4:$AN$1051)</f>
        <v>413.27</v>
      </c>
    </row>
    <row r="439" spans="3:4" ht="15" customHeight="1" x14ac:dyDescent="0.25">
      <c r="C439" s="606">
        <f>+'Stock Data'!AM250</f>
        <v>45672</v>
      </c>
      <c r="D439" s="580">
        <f>_xlfn.XLOOKUP(C439,'Stock Data'!$AM$4:$AM$1051,'Stock Data'!$AN$4:$AN$1051)</f>
        <v>418</v>
      </c>
    </row>
    <row r="440" spans="3:4" ht="15" customHeight="1" x14ac:dyDescent="0.25">
      <c r="C440" s="606">
        <f>+'Stock Data'!AM251</f>
        <v>45671</v>
      </c>
      <c r="D440" s="580">
        <f>_xlfn.XLOOKUP(C440,'Stock Data'!$AM$4:$AM$1051,'Stock Data'!$AN$4:$AN$1051)</f>
        <v>422.22</v>
      </c>
    </row>
    <row r="441" spans="3:4" ht="15" customHeight="1" x14ac:dyDescent="0.25">
      <c r="C441" s="606">
        <f>+'Stock Data'!AM252</f>
        <v>45670</v>
      </c>
      <c r="D441" s="580">
        <f>_xlfn.XLOOKUP(C441,'Stock Data'!$AM$4:$AM$1051,'Stock Data'!$AN$4:$AN$1051)</f>
        <v>422.22</v>
      </c>
    </row>
    <row r="442" spans="3:4" ht="15" customHeight="1" x14ac:dyDescent="0.25">
      <c r="C442" s="606">
        <f>+'Stock Data'!AM253</f>
        <v>45669</v>
      </c>
      <c r="D442" s="580">
        <f>_xlfn.XLOOKUP(C442,'Stock Data'!$AM$4:$AM$1051,'Stock Data'!$AN$4:$AN$1051)</f>
        <v>422.22</v>
      </c>
    </row>
    <row r="443" spans="3:4" ht="15" customHeight="1" x14ac:dyDescent="0.25">
      <c r="C443" s="606">
        <f>+'Stock Data'!AM254</f>
        <v>45668</v>
      </c>
      <c r="D443" s="580">
        <f>_xlfn.XLOOKUP(C443,'Stock Data'!$AM$4:$AM$1051,'Stock Data'!$AN$4:$AN$1051)</f>
        <v>418.18</v>
      </c>
    </row>
    <row r="444" spans="3:4" ht="15" customHeight="1" x14ac:dyDescent="0.25">
      <c r="C444" s="606">
        <f>+'Stock Data'!AM255</f>
        <v>45667</v>
      </c>
      <c r="D444" s="580">
        <f>_xlfn.XLOOKUP(C444,'Stock Data'!$AM$4:$AM$1051,'Stock Data'!$AN$4:$AN$1051)</f>
        <v>423.7</v>
      </c>
    </row>
    <row r="445" spans="3:4" ht="15" customHeight="1" x14ac:dyDescent="0.25">
      <c r="C445" s="606">
        <f>+'Stock Data'!AM256</f>
        <v>45666</v>
      </c>
      <c r="D445" s="580">
        <f>_xlfn.XLOOKUP(C445,'Stock Data'!$AM$4:$AM$1051,'Stock Data'!$AN$4:$AN$1051)</f>
        <v>423.7</v>
      </c>
    </row>
    <row r="446" spans="3:4" ht="15" customHeight="1" x14ac:dyDescent="0.25">
      <c r="C446" s="606">
        <f>+'Stock Data'!AM257</f>
        <v>45665</v>
      </c>
      <c r="D446" s="580">
        <f>_xlfn.XLOOKUP(C446,'Stock Data'!$AM$4:$AM$1051,'Stock Data'!$AN$4:$AN$1051)</f>
        <v>424.64</v>
      </c>
    </row>
    <row r="447" spans="3:4" ht="15" customHeight="1" x14ac:dyDescent="0.25">
      <c r="C447" s="606">
        <f>+'Stock Data'!AM258</f>
        <v>45664</v>
      </c>
      <c r="D447" s="580">
        <f>_xlfn.XLOOKUP(C447,'Stock Data'!$AM$4:$AM$1051,'Stock Data'!$AN$4:$AN$1051)</f>
        <v>430.06</v>
      </c>
    </row>
    <row r="448" spans="3:4" ht="15" customHeight="1" x14ac:dyDescent="0.25">
      <c r="C448" s="606">
        <f>+'Stock Data'!AM259</f>
        <v>45663</v>
      </c>
      <c r="D448" s="580">
        <f>_xlfn.XLOOKUP(C448,'Stock Data'!$AM$4:$AM$1051,'Stock Data'!$AN$4:$AN$1051)</f>
        <v>430.06</v>
      </c>
    </row>
    <row r="449" spans="3:4" ht="15" customHeight="1" x14ac:dyDescent="0.25">
      <c r="C449" s="606">
        <f>+'Stock Data'!AM260</f>
        <v>45662</v>
      </c>
      <c r="D449" s="580">
        <f>_xlfn.XLOOKUP(C449,'Stock Data'!$AM$4:$AM$1051,'Stock Data'!$AN$4:$AN$1051)</f>
        <v>430.06</v>
      </c>
    </row>
    <row r="450" spans="3:4" ht="15" customHeight="1" x14ac:dyDescent="0.25">
      <c r="C450" s="606">
        <f>+'Stock Data'!AM261</f>
        <v>45661</v>
      </c>
      <c r="D450" s="580">
        <f>_xlfn.XLOOKUP(C450,'Stock Data'!$AM$4:$AM$1051,'Stock Data'!$AN$4:$AN$1051)</f>
        <v>433.84</v>
      </c>
    </row>
    <row r="451" spans="3:4" ht="15" customHeight="1" x14ac:dyDescent="0.25">
      <c r="C451" s="606">
        <f>+'Stock Data'!AM262</f>
        <v>45660</v>
      </c>
      <c r="D451" s="580">
        <f>_xlfn.XLOOKUP(C451,'Stock Data'!$AM$4:$AM$1051,'Stock Data'!$AN$4:$AN$1051)</f>
        <v>432.84</v>
      </c>
    </row>
    <row r="452" spans="3:4" ht="15" customHeight="1" x14ac:dyDescent="0.25">
      <c r="C452" s="606">
        <f>+'Stock Data'!AM263</f>
        <v>45659</v>
      </c>
      <c r="D452" s="580">
        <f>_xlfn.XLOOKUP(C452,'Stock Data'!$AM$4:$AM$1051,'Stock Data'!$AN$4:$AN$1051)</f>
        <v>432.84</v>
      </c>
    </row>
    <row r="453" spans="3:4" ht="15" customHeight="1" x14ac:dyDescent="0.25">
      <c r="C453" s="606">
        <f>+'Stock Data'!AM264</f>
        <v>45658</v>
      </c>
      <c r="D453" s="580">
        <f>_xlfn.XLOOKUP(C453,'Stock Data'!$AM$4:$AM$1051,'Stock Data'!$AN$4:$AN$1051)</f>
        <v>432.38</v>
      </c>
    </row>
    <row r="454" spans="3:4" ht="15" customHeight="1" x14ac:dyDescent="0.25">
      <c r="C454" s="606">
        <f>+'Stock Data'!AM265</f>
        <v>45657</v>
      </c>
      <c r="D454" s="580">
        <f>_xlfn.XLOOKUP(C454,'Stock Data'!$AM$4:$AM$1051,'Stock Data'!$AN$4:$AN$1051)</f>
        <v>432.49</v>
      </c>
    </row>
    <row r="455" spans="3:4" ht="15" customHeight="1" x14ac:dyDescent="0.25">
      <c r="C455" s="606">
        <f>+'Stock Data'!AM266</f>
        <v>45656</v>
      </c>
      <c r="D455" s="580">
        <f>_xlfn.XLOOKUP(C455,'Stock Data'!$AM$4:$AM$1051,'Stock Data'!$AN$4:$AN$1051)</f>
        <v>432.49</v>
      </c>
    </row>
    <row r="456" spans="3:4" ht="15" customHeight="1" x14ac:dyDescent="0.25">
      <c r="C456" s="606">
        <f>+'Stock Data'!AM267</f>
        <v>45655</v>
      </c>
      <c r="D456" s="580">
        <f>_xlfn.XLOOKUP(C456,'Stock Data'!$AM$4:$AM$1051,'Stock Data'!$AN$4:$AN$1051)</f>
        <v>432.49</v>
      </c>
    </row>
    <row r="457" spans="3:4" ht="15" customHeight="1" x14ac:dyDescent="0.25">
      <c r="C457" s="606">
        <f>+'Stock Data'!AM268</f>
        <v>45654</v>
      </c>
      <c r="D457" s="580">
        <f>_xlfn.XLOOKUP(C457,'Stock Data'!$AM$4:$AM$1051,'Stock Data'!$AN$4:$AN$1051)</f>
        <v>426.63</v>
      </c>
    </row>
    <row r="458" spans="3:4" ht="15" customHeight="1" x14ac:dyDescent="0.25">
      <c r="C458" s="606">
        <f>+'Stock Data'!AM269</f>
        <v>45653</v>
      </c>
      <c r="D458" s="580">
        <f>_xlfn.XLOOKUP(C458,'Stock Data'!$AM$4:$AM$1051,'Stock Data'!$AN$4:$AN$1051)</f>
        <v>426</v>
      </c>
    </row>
    <row r="459" spans="3:4" ht="15" customHeight="1" x14ac:dyDescent="0.25">
      <c r="C459" s="606">
        <f>+'Stock Data'!AM270</f>
        <v>45652</v>
      </c>
      <c r="D459" s="580">
        <f>_xlfn.XLOOKUP(C459,'Stock Data'!$AM$4:$AM$1051,'Stock Data'!$AN$4:$AN$1051)</f>
        <v>443.59</v>
      </c>
    </row>
    <row r="460" spans="3:4" ht="15" customHeight="1" x14ac:dyDescent="0.25">
      <c r="C460" s="606">
        <f>+'Stock Data'!AM271</f>
        <v>45651</v>
      </c>
      <c r="D460" s="580">
        <f>_xlfn.XLOOKUP(C460,'Stock Data'!$AM$4:$AM$1051,'Stock Data'!$AN$4:$AN$1051)</f>
        <v>438.42</v>
      </c>
    </row>
    <row r="461" spans="3:4" ht="15" customHeight="1" x14ac:dyDescent="0.25">
      <c r="C461" s="606">
        <f>+'Stock Data'!AM272</f>
        <v>45650</v>
      </c>
      <c r="D461" s="580">
        <f>_xlfn.XLOOKUP(C461,'Stock Data'!$AM$4:$AM$1051,'Stock Data'!$AN$4:$AN$1051)</f>
        <v>440.44</v>
      </c>
    </row>
    <row r="462" spans="3:4" ht="15" customHeight="1" x14ac:dyDescent="0.25">
      <c r="C462" s="606">
        <f>+'Stock Data'!AM273</f>
        <v>45649</v>
      </c>
      <c r="D462" s="580">
        <f>_xlfn.XLOOKUP(C462,'Stock Data'!$AM$4:$AM$1051,'Stock Data'!$AN$4:$AN$1051)</f>
        <v>440.44</v>
      </c>
    </row>
    <row r="463" spans="3:4" ht="15" customHeight="1" x14ac:dyDescent="0.25">
      <c r="C463" s="606">
        <f>+'Stock Data'!AM274</f>
        <v>45648</v>
      </c>
      <c r="D463" s="580">
        <f>_xlfn.XLOOKUP(C463,'Stock Data'!$AM$4:$AM$1051,'Stock Data'!$AN$4:$AN$1051)</f>
        <v>440.44</v>
      </c>
    </row>
    <row r="464" spans="3:4" ht="15" customHeight="1" x14ac:dyDescent="0.25">
      <c r="C464" s="606">
        <f>+'Stock Data'!AM275</f>
        <v>45647</v>
      </c>
      <c r="D464" s="580">
        <f>_xlfn.XLOOKUP(C464,'Stock Data'!$AM$4:$AM$1051,'Stock Data'!$AN$4:$AN$1051)</f>
        <v>439.48</v>
      </c>
    </row>
    <row r="465" spans="3:4" ht="15" customHeight="1" x14ac:dyDescent="0.25">
      <c r="C465" s="606">
        <f>+'Stock Data'!AM276</f>
        <v>45646</v>
      </c>
      <c r="D465" s="580">
        <f>_xlfn.XLOOKUP(C465,'Stock Data'!$AM$4:$AM$1051,'Stock Data'!$AN$4:$AN$1051)</f>
        <v>448.03</v>
      </c>
    </row>
    <row r="466" spans="3:4" ht="15" customHeight="1" x14ac:dyDescent="0.25">
      <c r="C466" s="606">
        <f>+'Stock Data'!AM277</f>
        <v>45645</v>
      </c>
      <c r="D466" s="580">
        <f>_xlfn.XLOOKUP(C466,'Stock Data'!$AM$4:$AM$1051,'Stock Data'!$AN$4:$AN$1051)</f>
        <v>443.96</v>
      </c>
    </row>
    <row r="467" spans="3:4" ht="15" customHeight="1" x14ac:dyDescent="0.25">
      <c r="C467" s="606">
        <f>+'Stock Data'!AM278</f>
        <v>45644</v>
      </c>
      <c r="D467" s="580">
        <f>_xlfn.XLOOKUP(C467,'Stock Data'!$AM$4:$AM$1051,'Stock Data'!$AN$4:$AN$1051)</f>
        <v>449.41</v>
      </c>
    </row>
    <row r="468" spans="3:4" ht="15" customHeight="1" x14ac:dyDescent="0.25">
      <c r="C468" s="606">
        <f>+'Stock Data'!AM279</f>
        <v>45643</v>
      </c>
      <c r="D468" s="580">
        <f>_xlfn.XLOOKUP(C468,'Stock Data'!$AM$4:$AM$1051,'Stock Data'!$AN$4:$AN$1051)</f>
        <v>444</v>
      </c>
    </row>
    <row r="469" spans="3:4" ht="15" customHeight="1" x14ac:dyDescent="0.25">
      <c r="C469" s="606">
        <f>+'Stock Data'!AM280</f>
        <v>45642</v>
      </c>
      <c r="D469" s="580">
        <f>_xlfn.XLOOKUP(C469,'Stock Data'!$AM$4:$AM$1051,'Stock Data'!$AN$4:$AN$1051)</f>
        <v>444</v>
      </c>
    </row>
    <row r="470" spans="3:4" ht="15" customHeight="1" x14ac:dyDescent="0.25">
      <c r="C470" s="606">
        <f>+'Stock Data'!AM281</f>
        <v>45641</v>
      </c>
      <c r="D470" s="580">
        <f>_xlfn.XLOOKUP(C470,'Stock Data'!$AM$4:$AM$1051,'Stock Data'!$AN$4:$AN$1051)</f>
        <v>444</v>
      </c>
    </row>
    <row r="471" spans="3:4" ht="15" customHeight="1" x14ac:dyDescent="0.25">
      <c r="C471" s="606">
        <f>+'Stock Data'!AM282</f>
        <v>45640</v>
      </c>
      <c r="D471" s="580">
        <f>_xlfn.XLOOKUP(C471,'Stock Data'!$AM$4:$AM$1051,'Stock Data'!$AN$4:$AN$1051)</f>
        <v>448.12</v>
      </c>
    </row>
    <row r="472" spans="3:4" ht="15" customHeight="1" x14ac:dyDescent="0.25">
      <c r="C472" s="606">
        <f>+'Stock Data'!AM283</f>
        <v>45639</v>
      </c>
      <c r="D472" s="580">
        <f>_xlfn.XLOOKUP(C472,'Stock Data'!$AM$4:$AM$1051,'Stock Data'!$AN$4:$AN$1051)</f>
        <v>456.26</v>
      </c>
    </row>
    <row r="473" spans="3:4" ht="15" customHeight="1" x14ac:dyDescent="0.25">
      <c r="C473" s="606">
        <f>+'Stock Data'!AM284</f>
        <v>45638</v>
      </c>
      <c r="D473" s="580">
        <f>_xlfn.XLOOKUP(C473,'Stock Data'!$AM$4:$AM$1051,'Stock Data'!$AN$4:$AN$1051)</f>
        <v>459.25</v>
      </c>
    </row>
    <row r="474" spans="3:4" ht="15" customHeight="1" x14ac:dyDescent="0.25">
      <c r="C474" s="606">
        <f>+'Stock Data'!AM285</f>
        <v>45637</v>
      </c>
      <c r="D474" s="580">
        <f>_xlfn.XLOOKUP(C474,'Stock Data'!$AM$4:$AM$1051,'Stock Data'!$AN$4:$AN$1051)</f>
        <v>462.95</v>
      </c>
    </row>
    <row r="475" spans="3:4" ht="15" customHeight="1" x14ac:dyDescent="0.25">
      <c r="C475" s="606">
        <f>+'Stock Data'!AM286</f>
        <v>45636</v>
      </c>
      <c r="D475" s="580">
        <f>_xlfn.XLOOKUP(C475,'Stock Data'!$AM$4:$AM$1051,'Stock Data'!$AN$4:$AN$1051)</f>
        <v>465.9</v>
      </c>
    </row>
    <row r="476" spans="3:4" ht="15" customHeight="1" x14ac:dyDescent="0.25">
      <c r="C476" s="606">
        <f>+'Stock Data'!AM287</f>
        <v>45635</v>
      </c>
      <c r="D476" s="580">
        <f>_xlfn.XLOOKUP(C476,'Stock Data'!$AM$4:$AM$1051,'Stock Data'!$AN$4:$AN$1051)</f>
        <v>465.9</v>
      </c>
    </row>
    <row r="477" spans="3:4" ht="15" customHeight="1" x14ac:dyDescent="0.25">
      <c r="C477" s="606">
        <f>+'Stock Data'!AM288</f>
        <v>45634</v>
      </c>
      <c r="D477" s="580">
        <f>_xlfn.XLOOKUP(C477,'Stock Data'!$AM$4:$AM$1051,'Stock Data'!$AN$4:$AN$1051)</f>
        <v>465.9</v>
      </c>
    </row>
    <row r="478" spans="3:4" ht="15" customHeight="1" x14ac:dyDescent="0.25">
      <c r="C478" s="606">
        <f>+'Stock Data'!AM289</f>
        <v>45633</v>
      </c>
      <c r="D478" s="580">
        <f>_xlfn.XLOOKUP(C478,'Stock Data'!$AM$4:$AM$1051,'Stock Data'!$AN$4:$AN$1051)</f>
        <v>466</v>
      </c>
    </row>
    <row r="479" spans="3:4" ht="15" customHeight="1" x14ac:dyDescent="0.25">
      <c r="C479" s="606">
        <f>+'Stock Data'!AM290</f>
        <v>45632</v>
      </c>
      <c r="D479" s="580">
        <f>_xlfn.XLOOKUP(C479,'Stock Data'!$AM$4:$AM$1051,'Stock Data'!$AN$4:$AN$1051)</f>
        <v>466</v>
      </c>
    </row>
    <row r="480" spans="3:4" ht="15" customHeight="1" x14ac:dyDescent="0.25">
      <c r="C480" s="606">
        <f>+'Stock Data'!AM291</f>
        <v>45631</v>
      </c>
      <c r="D480" s="580">
        <f>_xlfn.XLOOKUP(C480,'Stock Data'!$AM$4:$AM$1051,'Stock Data'!$AN$4:$AN$1051)</f>
        <v>461.04</v>
      </c>
    </row>
    <row r="481" spans="3:4" ht="15" customHeight="1" x14ac:dyDescent="0.25">
      <c r="C481" s="606">
        <f>+'Stock Data'!AM292</f>
        <v>45630</v>
      </c>
      <c r="D481" s="580">
        <f>_xlfn.XLOOKUP(C481,'Stock Data'!$AM$4:$AM$1051,'Stock Data'!$AN$4:$AN$1051)</f>
        <v>462.69</v>
      </c>
    </row>
    <row r="482" spans="3:4" ht="15" customHeight="1" x14ac:dyDescent="0.25">
      <c r="C482" s="606">
        <f>+'Stock Data'!AM293</f>
        <v>45629</v>
      </c>
      <c r="D482" s="580">
        <f>_xlfn.XLOOKUP(C482,'Stock Data'!$AM$4:$AM$1051,'Stock Data'!$AN$4:$AN$1051)</f>
        <v>446.65</v>
      </c>
    </row>
    <row r="483" spans="3:4" ht="15" customHeight="1" x14ac:dyDescent="0.25">
      <c r="C483" s="606">
        <f>+'Stock Data'!AM294</f>
        <v>45628</v>
      </c>
      <c r="D483" s="580">
        <f>_xlfn.XLOOKUP(C483,'Stock Data'!$AM$4:$AM$1051,'Stock Data'!$AN$4:$AN$1051)</f>
        <v>446.65</v>
      </c>
    </row>
    <row r="484" spans="3:4" ht="15" customHeight="1" x14ac:dyDescent="0.25">
      <c r="C484" s="606">
        <f>+'Stock Data'!AM295</f>
        <v>45627</v>
      </c>
      <c r="D484" s="580">
        <f>_xlfn.XLOOKUP(C484,'Stock Data'!$AM$4:$AM$1051,'Stock Data'!$AN$4:$AN$1051)</f>
        <v>446.65</v>
      </c>
    </row>
    <row r="485" spans="3:4" ht="15" customHeight="1" x14ac:dyDescent="0.25">
      <c r="C485" s="606">
        <f>+'Stock Data'!AM296</f>
        <v>45626</v>
      </c>
      <c r="D485" s="580">
        <f>_xlfn.XLOOKUP(C485,'Stock Data'!$AM$4:$AM$1051,'Stock Data'!$AN$4:$AN$1051)</f>
        <v>437.54</v>
      </c>
    </row>
    <row r="486" spans="3:4" ht="15" customHeight="1" x14ac:dyDescent="0.25">
      <c r="C486" s="606">
        <f>+'Stock Data'!AM297</f>
        <v>45625</v>
      </c>
      <c r="D486" s="580">
        <f>_xlfn.XLOOKUP(C486,'Stock Data'!$AM$4:$AM$1051,'Stock Data'!$AN$4:$AN$1051)</f>
        <v>404.96</v>
      </c>
    </row>
    <row r="487" spans="3:4" ht="15" customHeight="1" x14ac:dyDescent="0.25">
      <c r="C487" s="606">
        <f>+'Stock Data'!AM298</f>
        <v>45624</v>
      </c>
      <c r="D487" s="580">
        <f>_xlfn.XLOOKUP(C487,'Stock Data'!$AM$4:$AM$1051,'Stock Data'!$AN$4:$AN$1051)</f>
        <v>400.09</v>
      </c>
    </row>
    <row r="488" spans="3:4" ht="15" customHeight="1" x14ac:dyDescent="0.25">
      <c r="C488" s="606">
        <f>+'Stock Data'!AM299</f>
        <v>45623</v>
      </c>
      <c r="D488" s="580">
        <f>_xlfn.XLOOKUP(C488,'Stock Data'!$AM$4:$AM$1051,'Stock Data'!$AN$4:$AN$1051)</f>
        <v>404.53</v>
      </c>
    </row>
    <row r="489" spans="3:4" ht="15" customHeight="1" x14ac:dyDescent="0.25">
      <c r="C489" s="606">
        <f>+'Stock Data'!AM300</f>
        <v>45622</v>
      </c>
      <c r="D489" s="580">
        <f>_xlfn.XLOOKUP(C489,'Stock Data'!$AM$4:$AM$1051,'Stock Data'!$AN$4:$AN$1051)</f>
        <v>398.95</v>
      </c>
    </row>
    <row r="490" spans="3:4" ht="15" customHeight="1" x14ac:dyDescent="0.25">
      <c r="C490" s="606">
        <f>+'Stock Data'!AM301</f>
        <v>45621</v>
      </c>
      <c r="D490" s="580">
        <f>_xlfn.XLOOKUP(C490,'Stock Data'!$AM$4:$AM$1051,'Stock Data'!$AN$4:$AN$1051)</f>
        <v>398.95</v>
      </c>
    </row>
    <row r="491" spans="3:4" ht="15" customHeight="1" x14ac:dyDescent="0.25">
      <c r="C491" s="606">
        <f>+'Stock Data'!AM302</f>
        <v>45620</v>
      </c>
      <c r="D491" s="580">
        <f>_xlfn.XLOOKUP(C491,'Stock Data'!$AM$4:$AM$1051,'Stock Data'!$AN$4:$AN$1051)</f>
        <v>398.95</v>
      </c>
    </row>
    <row r="492" spans="3:4" ht="15" customHeight="1" x14ac:dyDescent="0.25">
      <c r="C492" s="606">
        <f>+'Stock Data'!AM303</f>
        <v>45619</v>
      </c>
      <c r="D492" s="580">
        <f>_xlfn.XLOOKUP(C492,'Stock Data'!$AM$4:$AM$1051,'Stock Data'!$AN$4:$AN$1051)</f>
        <v>394.64</v>
      </c>
    </row>
    <row r="493" spans="3:4" ht="15" customHeight="1" x14ac:dyDescent="0.25">
      <c r="C493" s="606">
        <f>+'Stock Data'!AM304</f>
        <v>45618</v>
      </c>
      <c r="D493" s="580">
        <f>_xlfn.XLOOKUP(C493,'Stock Data'!$AM$4:$AM$1051,'Stock Data'!$AN$4:$AN$1051)</f>
        <v>389.45</v>
      </c>
    </row>
    <row r="494" spans="3:4" ht="15" customHeight="1" x14ac:dyDescent="0.25">
      <c r="C494" s="606">
        <f>+'Stock Data'!AM305</f>
        <v>45617</v>
      </c>
      <c r="D494" s="580">
        <f>_xlfn.XLOOKUP(C494,'Stock Data'!$AM$4:$AM$1051,'Stock Data'!$AN$4:$AN$1051)</f>
        <v>393.75</v>
      </c>
    </row>
    <row r="495" spans="3:4" ht="15" customHeight="1" x14ac:dyDescent="0.25">
      <c r="C495" s="606">
        <f>+'Stock Data'!AM306</f>
        <v>45616</v>
      </c>
      <c r="D495" s="580">
        <f>_xlfn.XLOOKUP(C495,'Stock Data'!$AM$4:$AM$1051,'Stock Data'!$AN$4:$AN$1051)</f>
        <v>402.65</v>
      </c>
    </row>
    <row r="496" spans="3:4" ht="15" customHeight="1" x14ac:dyDescent="0.25">
      <c r="C496" s="606">
        <f>+'Stock Data'!AM307</f>
        <v>45615</v>
      </c>
      <c r="D496" s="580">
        <f>_xlfn.XLOOKUP(C496,'Stock Data'!$AM$4:$AM$1051,'Stock Data'!$AN$4:$AN$1051)</f>
        <v>394.06</v>
      </c>
    </row>
    <row r="497" spans="3:4" ht="15" customHeight="1" x14ac:dyDescent="0.25">
      <c r="C497" s="606">
        <f>+'Stock Data'!AM308</f>
        <v>45614</v>
      </c>
      <c r="D497" s="580">
        <f>_xlfn.XLOOKUP(C497,'Stock Data'!$AM$4:$AM$1051,'Stock Data'!$AN$4:$AN$1051)</f>
        <v>394.06</v>
      </c>
    </row>
    <row r="498" spans="3:4" ht="15" customHeight="1" x14ac:dyDescent="0.25">
      <c r="C498" s="606">
        <f>+'Stock Data'!AM309</f>
        <v>45613</v>
      </c>
      <c r="D498" s="580">
        <f>_xlfn.XLOOKUP(C498,'Stock Data'!$AM$4:$AM$1051,'Stock Data'!$AN$4:$AN$1051)</f>
        <v>394.06</v>
      </c>
    </row>
    <row r="499" spans="3:4" ht="15" customHeight="1" x14ac:dyDescent="0.25">
      <c r="C499" s="606">
        <f>+'Stock Data'!AM310</f>
        <v>45612</v>
      </c>
      <c r="D499" s="580">
        <f>_xlfn.XLOOKUP(C499,'Stock Data'!$AM$4:$AM$1051,'Stock Data'!$AN$4:$AN$1051)</f>
        <v>411.16</v>
      </c>
    </row>
    <row r="500" spans="3:4" ht="15" customHeight="1" x14ac:dyDescent="0.25">
      <c r="C500" s="606">
        <f>+'Stock Data'!AM311</f>
        <v>45611</v>
      </c>
      <c r="D500" s="580">
        <f>_xlfn.XLOOKUP(C500,'Stock Data'!$AM$4:$AM$1051,'Stock Data'!$AN$4:$AN$1051)</f>
        <v>405.71</v>
      </c>
    </row>
    <row r="501" spans="3:4" ht="15" customHeight="1" x14ac:dyDescent="0.25">
      <c r="C501" s="606">
        <f>+'Stock Data'!AM312</f>
        <v>45610</v>
      </c>
      <c r="D501" s="580">
        <f>_xlfn.XLOOKUP(C501,'Stock Data'!$AM$4:$AM$1051,'Stock Data'!$AN$4:$AN$1051)</f>
        <v>400.37</v>
      </c>
    </row>
    <row r="502" spans="3:4" ht="15" customHeight="1" x14ac:dyDescent="0.25">
      <c r="C502" s="606">
        <f>+'Stock Data'!AM313</f>
        <v>45609</v>
      </c>
      <c r="D502" s="580">
        <f>_xlfn.XLOOKUP(C502,'Stock Data'!$AM$4:$AM$1051,'Stock Data'!$AN$4:$AN$1051)</f>
        <v>401.68</v>
      </c>
    </row>
    <row r="503" spans="3:4" ht="15" customHeight="1" x14ac:dyDescent="0.25">
      <c r="C503" s="606">
        <f>+'Stock Data'!AM314</f>
        <v>45608</v>
      </c>
      <c r="D503" s="580">
        <f>_xlfn.XLOOKUP(C503,'Stock Data'!$AM$4:$AM$1051,'Stock Data'!$AN$4:$AN$1051)</f>
        <v>400.42</v>
      </c>
    </row>
    <row r="504" spans="3:4" ht="15" customHeight="1" x14ac:dyDescent="0.25">
      <c r="C504" s="606">
        <f>+'Stock Data'!AM315</f>
        <v>45607</v>
      </c>
      <c r="D504" s="580">
        <f>_xlfn.XLOOKUP(C504,'Stock Data'!$AM$4:$AM$1051,'Stock Data'!$AN$4:$AN$1051)</f>
        <v>400.42</v>
      </c>
    </row>
    <row r="505" spans="3:4" ht="15" customHeight="1" x14ac:dyDescent="0.25">
      <c r="C505" s="606">
        <f>+'Stock Data'!AM316</f>
        <v>45606</v>
      </c>
      <c r="D505" s="580">
        <f>_xlfn.XLOOKUP(C505,'Stock Data'!$AM$4:$AM$1051,'Stock Data'!$AN$4:$AN$1051)</f>
        <v>400.42</v>
      </c>
    </row>
    <row r="506" spans="3:4" ht="15" customHeight="1" x14ac:dyDescent="0.25">
      <c r="C506" s="606">
        <f>+'Stock Data'!AM317</f>
        <v>45605</v>
      </c>
      <c r="D506" s="580">
        <f>_xlfn.XLOOKUP(C506,'Stock Data'!$AM$4:$AM$1051,'Stock Data'!$AN$4:$AN$1051)</f>
        <v>404.69</v>
      </c>
    </row>
    <row r="507" spans="3:4" ht="15" customHeight="1" x14ac:dyDescent="0.25">
      <c r="C507" s="606">
        <f>+'Stock Data'!AM318</f>
        <v>45604</v>
      </c>
      <c r="D507" s="580">
        <f>_xlfn.XLOOKUP(C507,'Stock Data'!$AM$4:$AM$1051,'Stock Data'!$AN$4:$AN$1051)</f>
        <v>404.69</v>
      </c>
    </row>
    <row r="508" spans="3:4" ht="15" customHeight="1" x14ac:dyDescent="0.25">
      <c r="C508" s="606">
        <f>+'Stock Data'!AM319</f>
        <v>45603</v>
      </c>
      <c r="D508" s="580">
        <f>_xlfn.XLOOKUP(C508,'Stock Data'!$AM$4:$AM$1051,'Stock Data'!$AN$4:$AN$1051)</f>
        <v>406.04</v>
      </c>
    </row>
    <row r="509" spans="3:4" ht="15" customHeight="1" x14ac:dyDescent="0.25">
      <c r="C509" s="606">
        <f>+'Stock Data'!AM320</f>
        <v>45602</v>
      </c>
      <c r="D509" s="580">
        <f>_xlfn.XLOOKUP(C509,'Stock Data'!$AM$4:$AM$1051,'Stock Data'!$AN$4:$AN$1051)</f>
        <v>412.35</v>
      </c>
    </row>
    <row r="510" spans="3:4" ht="15" customHeight="1" x14ac:dyDescent="0.25">
      <c r="C510" s="606">
        <f>+'Stock Data'!AM321</f>
        <v>45601</v>
      </c>
      <c r="D510" s="580">
        <f>_xlfn.XLOOKUP(C510,'Stock Data'!$AM$4:$AM$1051,'Stock Data'!$AN$4:$AN$1051)</f>
        <v>407.93</v>
      </c>
    </row>
    <row r="511" spans="3:4" ht="15" customHeight="1" x14ac:dyDescent="0.25">
      <c r="C511" s="606">
        <f>+'Stock Data'!AM322</f>
        <v>45600</v>
      </c>
      <c r="D511" s="580">
        <f>_xlfn.XLOOKUP(C511,'Stock Data'!$AM$4:$AM$1051,'Stock Data'!$AN$4:$AN$1051)</f>
        <v>407.93</v>
      </c>
    </row>
    <row r="512" spans="3:4" ht="15" customHeight="1" x14ac:dyDescent="0.25">
      <c r="C512" s="606">
        <f>+'Stock Data'!AM323</f>
        <v>45599</v>
      </c>
      <c r="D512" s="580">
        <f>_xlfn.XLOOKUP(C512,'Stock Data'!$AM$4:$AM$1051,'Stock Data'!$AN$4:$AN$1051)</f>
        <v>407.93</v>
      </c>
    </row>
    <row r="513" spans="3:4" ht="15" customHeight="1" x14ac:dyDescent="0.25">
      <c r="C513" s="606">
        <f>+'Stock Data'!AM324</f>
        <v>45598</v>
      </c>
      <c r="D513" s="580">
        <f>_xlfn.XLOOKUP(C513,'Stock Data'!$AM$4:$AM$1051,'Stock Data'!$AN$4:$AN$1051)</f>
        <v>411.07</v>
      </c>
    </row>
    <row r="514" spans="3:4" ht="15" customHeight="1" x14ac:dyDescent="0.25">
      <c r="C514" s="606">
        <f>+'Stock Data'!AM325</f>
        <v>45597</v>
      </c>
      <c r="D514" s="580">
        <f>_xlfn.XLOOKUP(C514,'Stock Data'!$AM$4:$AM$1051,'Stock Data'!$AN$4:$AN$1051)</f>
        <v>408.64</v>
      </c>
    </row>
    <row r="515" spans="3:4" ht="15" customHeight="1" x14ac:dyDescent="0.25">
      <c r="C515" s="606">
        <f>+'Stock Data'!AM326</f>
        <v>45596</v>
      </c>
      <c r="D515" s="580">
        <f>_xlfn.XLOOKUP(C515,'Stock Data'!$AM$4:$AM$1051,'Stock Data'!$AN$4:$AN$1051)</f>
        <v>406.65</v>
      </c>
    </row>
    <row r="516" spans="3:4" ht="15" customHeight="1" x14ac:dyDescent="0.25">
      <c r="C516" s="606">
        <f>+'Stock Data'!AM327</f>
        <v>45595</v>
      </c>
      <c r="D516" s="580">
        <f>_xlfn.XLOOKUP(C516,'Stock Data'!$AM$4:$AM$1051,'Stock Data'!$AN$4:$AN$1051)</f>
        <v>406.96</v>
      </c>
    </row>
    <row r="517" spans="3:4" ht="15" customHeight="1" x14ac:dyDescent="0.25">
      <c r="C517" s="606">
        <f>+'Stock Data'!AM328</f>
        <v>45594</v>
      </c>
      <c r="D517" s="580">
        <f>_xlfn.XLOOKUP(C517,'Stock Data'!$AM$4:$AM$1051,'Stock Data'!$AN$4:$AN$1051)</f>
        <v>408.73</v>
      </c>
    </row>
    <row r="518" spans="3:4" ht="15" customHeight="1" x14ac:dyDescent="0.25">
      <c r="C518" s="606">
        <f>+'Stock Data'!AM329</f>
        <v>45593</v>
      </c>
      <c r="D518" s="580">
        <f>_xlfn.XLOOKUP(C518,'Stock Data'!$AM$4:$AM$1051,'Stock Data'!$AN$4:$AN$1051)</f>
        <v>408.73</v>
      </c>
    </row>
    <row r="519" spans="3:4" ht="15" customHeight="1" x14ac:dyDescent="0.25">
      <c r="C519" s="606">
        <f>+'Stock Data'!AM330</f>
        <v>45592</v>
      </c>
      <c r="D519" s="580">
        <f>_xlfn.XLOOKUP(C519,'Stock Data'!$AM$4:$AM$1051,'Stock Data'!$AN$4:$AN$1051)</f>
        <v>408.73</v>
      </c>
    </row>
    <row r="520" spans="3:4" ht="15" customHeight="1" x14ac:dyDescent="0.25">
      <c r="C520" s="606">
        <f>+'Stock Data'!AM331</f>
        <v>45591</v>
      </c>
      <c r="D520" s="580">
        <f>_xlfn.XLOOKUP(C520,'Stock Data'!$AM$4:$AM$1051,'Stock Data'!$AN$4:$AN$1051)</f>
        <v>405.14</v>
      </c>
    </row>
    <row r="521" spans="3:4" ht="15" customHeight="1" x14ac:dyDescent="0.25">
      <c r="C521" s="606">
        <f>+'Stock Data'!AM332</f>
        <v>45590</v>
      </c>
      <c r="D521" s="580">
        <f>_xlfn.XLOOKUP(C521,'Stock Data'!$AM$4:$AM$1051,'Stock Data'!$AN$4:$AN$1051)</f>
        <v>409.37</v>
      </c>
    </row>
    <row r="522" spans="3:4" ht="15" customHeight="1" x14ac:dyDescent="0.25">
      <c r="C522" s="606">
        <f>+'Stock Data'!AM333</f>
        <v>45589</v>
      </c>
      <c r="D522" s="580">
        <f>_xlfn.XLOOKUP(C522,'Stock Data'!$AM$4:$AM$1051,'Stock Data'!$AN$4:$AN$1051)</f>
        <v>401.99</v>
      </c>
    </row>
    <row r="523" spans="3:4" ht="15" customHeight="1" x14ac:dyDescent="0.25">
      <c r="C523" s="606">
        <f>+'Stock Data'!AM334</f>
        <v>45588</v>
      </c>
      <c r="D523" s="580">
        <f>_xlfn.XLOOKUP(C523,'Stock Data'!$AM$4:$AM$1051,'Stock Data'!$AN$4:$AN$1051)</f>
        <v>407.72</v>
      </c>
    </row>
    <row r="524" spans="3:4" ht="15" customHeight="1" x14ac:dyDescent="0.25">
      <c r="C524" s="606">
        <f>+'Stock Data'!AM335</f>
        <v>45587</v>
      </c>
      <c r="D524" s="580">
        <f>_xlfn.XLOOKUP(C524,'Stock Data'!$AM$4:$AM$1051,'Stock Data'!$AN$4:$AN$1051)</f>
        <v>411.08</v>
      </c>
    </row>
    <row r="525" spans="3:4" ht="15" customHeight="1" x14ac:dyDescent="0.25">
      <c r="C525" s="606">
        <f>+'Stock Data'!AM336</f>
        <v>45586</v>
      </c>
      <c r="D525" s="580">
        <f>_xlfn.XLOOKUP(C525,'Stock Data'!$AM$4:$AM$1051,'Stock Data'!$AN$4:$AN$1051)</f>
        <v>411.08</v>
      </c>
    </row>
    <row r="526" spans="3:4" ht="15" customHeight="1" x14ac:dyDescent="0.25">
      <c r="C526" s="606">
        <f>+'Stock Data'!AM337</f>
        <v>45585</v>
      </c>
      <c r="D526" s="580">
        <f>_xlfn.XLOOKUP(C526,'Stock Data'!$AM$4:$AM$1051,'Stock Data'!$AN$4:$AN$1051)</f>
        <v>411.08</v>
      </c>
    </row>
    <row r="527" spans="3:4" ht="15" customHeight="1" x14ac:dyDescent="0.25">
      <c r="C527" s="606">
        <f>+'Stock Data'!AM338</f>
        <v>45584</v>
      </c>
      <c r="D527" s="580">
        <f>_xlfn.XLOOKUP(C527,'Stock Data'!$AM$4:$AM$1051,'Stock Data'!$AN$4:$AN$1051)</f>
        <v>405.76</v>
      </c>
    </row>
    <row r="528" spans="3:4" ht="15" customHeight="1" x14ac:dyDescent="0.25">
      <c r="C528" s="606">
        <f>+'Stock Data'!AM339</f>
        <v>45583</v>
      </c>
      <c r="D528" s="580">
        <f>_xlfn.XLOOKUP(C528,'Stock Data'!$AM$4:$AM$1051,'Stock Data'!$AN$4:$AN$1051)</f>
        <v>405.48</v>
      </c>
    </row>
    <row r="529" spans="3:4" ht="15" customHeight="1" x14ac:dyDescent="0.25">
      <c r="C529" s="606">
        <f>+'Stock Data'!AM340</f>
        <v>45582</v>
      </c>
      <c r="D529" s="580">
        <f>_xlfn.XLOOKUP(C529,'Stock Data'!$AM$4:$AM$1051,'Stock Data'!$AN$4:$AN$1051)</f>
        <v>400.28</v>
      </c>
    </row>
    <row r="530" spans="3:4" ht="15" customHeight="1" x14ac:dyDescent="0.25">
      <c r="C530" s="606">
        <f>+'Stock Data'!AM341</f>
        <v>45581</v>
      </c>
      <c r="D530" s="580">
        <f>_xlfn.XLOOKUP(C530,'Stock Data'!$AM$4:$AM$1051,'Stock Data'!$AN$4:$AN$1051)</f>
        <v>406.04</v>
      </c>
    </row>
    <row r="531" spans="3:4" ht="15" customHeight="1" x14ac:dyDescent="0.25">
      <c r="C531" s="606">
        <f>+'Stock Data'!AM342</f>
        <v>45580</v>
      </c>
      <c r="D531" s="580">
        <f>_xlfn.XLOOKUP(C531,'Stock Data'!$AM$4:$AM$1051,'Stock Data'!$AN$4:$AN$1051)</f>
        <v>407.99</v>
      </c>
    </row>
    <row r="532" spans="3:4" ht="15" customHeight="1" x14ac:dyDescent="0.25">
      <c r="C532" s="606">
        <f>+'Stock Data'!AM343</f>
        <v>45579</v>
      </c>
      <c r="D532" s="580">
        <f>_xlfn.XLOOKUP(C532,'Stock Data'!$AM$4:$AM$1051,'Stock Data'!$AN$4:$AN$1051)</f>
        <v>407.99</v>
      </c>
    </row>
    <row r="533" spans="3:4" ht="15" customHeight="1" x14ac:dyDescent="0.25">
      <c r="C533" s="606">
        <f>+'Stock Data'!AM344</f>
        <v>45578</v>
      </c>
      <c r="D533" s="580">
        <f>_xlfn.XLOOKUP(C533,'Stock Data'!$AM$4:$AM$1051,'Stock Data'!$AN$4:$AN$1051)</f>
        <v>407.99</v>
      </c>
    </row>
    <row r="534" spans="3:4" ht="15" customHeight="1" x14ac:dyDescent="0.25">
      <c r="C534" s="606">
        <f>+'Stock Data'!AM345</f>
        <v>45577</v>
      </c>
      <c r="D534" s="580">
        <f>_xlfn.XLOOKUP(C534,'Stock Data'!$AM$4:$AM$1051,'Stock Data'!$AN$4:$AN$1051)</f>
        <v>408.74</v>
      </c>
    </row>
    <row r="535" spans="3:4" ht="15" customHeight="1" x14ac:dyDescent="0.25">
      <c r="C535" s="606">
        <f>+'Stock Data'!AM346</f>
        <v>45576</v>
      </c>
      <c r="D535" s="580">
        <f>_xlfn.XLOOKUP(C535,'Stock Data'!$AM$4:$AM$1051,'Stock Data'!$AN$4:$AN$1051)</f>
        <v>416.49</v>
      </c>
    </row>
    <row r="536" spans="3:4" ht="15" customHeight="1" x14ac:dyDescent="0.25">
      <c r="C536" s="606">
        <f>+'Stock Data'!AM347</f>
        <v>45575</v>
      </c>
      <c r="D536" s="580">
        <f>_xlfn.XLOOKUP(C536,'Stock Data'!$AM$4:$AM$1051,'Stock Data'!$AN$4:$AN$1051)</f>
        <v>416.44</v>
      </c>
    </row>
    <row r="537" spans="3:4" ht="15" customHeight="1" x14ac:dyDescent="0.25">
      <c r="C537" s="606">
        <f>+'Stock Data'!AM348</f>
        <v>45574</v>
      </c>
      <c r="D537" s="580">
        <f>_xlfn.XLOOKUP(C537,'Stock Data'!$AM$4:$AM$1051,'Stock Data'!$AN$4:$AN$1051)</f>
        <v>417.33</v>
      </c>
    </row>
    <row r="538" spans="3:4" ht="15" customHeight="1" x14ac:dyDescent="0.25">
      <c r="C538" s="606">
        <f>+'Stock Data'!AM349</f>
        <v>45573</v>
      </c>
      <c r="D538" s="580">
        <f>_xlfn.XLOOKUP(C538,'Stock Data'!$AM$4:$AM$1051,'Stock Data'!$AN$4:$AN$1051)</f>
        <v>418</v>
      </c>
    </row>
    <row r="539" spans="3:4" ht="15" customHeight="1" x14ac:dyDescent="0.25">
      <c r="C539" s="606">
        <f>+'Stock Data'!AM350</f>
        <v>45572</v>
      </c>
      <c r="D539" s="580">
        <f>_xlfn.XLOOKUP(C539,'Stock Data'!$AM$4:$AM$1051,'Stock Data'!$AN$4:$AN$1051)</f>
        <v>418</v>
      </c>
    </row>
    <row r="540" spans="3:4" ht="15" customHeight="1" x14ac:dyDescent="0.25">
      <c r="C540" s="606">
        <f>+'Stock Data'!AM351</f>
        <v>45571</v>
      </c>
      <c r="D540" s="580">
        <f>_xlfn.XLOOKUP(C540,'Stock Data'!$AM$4:$AM$1051,'Stock Data'!$AN$4:$AN$1051)</f>
        <v>418</v>
      </c>
    </row>
    <row r="541" spans="3:4" ht="15" customHeight="1" x14ac:dyDescent="0.25">
      <c r="C541" s="606">
        <f>+'Stock Data'!AM352</f>
        <v>45570</v>
      </c>
      <c r="D541" s="580">
        <f>_xlfn.XLOOKUP(C541,'Stock Data'!$AM$4:$AM$1051,'Stock Data'!$AN$4:$AN$1051)</f>
        <v>411.47</v>
      </c>
    </row>
    <row r="542" spans="3:4" ht="15" customHeight="1" x14ac:dyDescent="0.25">
      <c r="C542" s="606">
        <f>+'Stock Data'!AM353</f>
        <v>45569</v>
      </c>
      <c r="D542" s="580">
        <f>_xlfn.XLOOKUP(C542,'Stock Data'!$AM$4:$AM$1051,'Stock Data'!$AN$4:$AN$1051)</f>
        <v>406.93</v>
      </c>
    </row>
    <row r="543" spans="3:4" ht="15" customHeight="1" x14ac:dyDescent="0.25">
      <c r="C543" s="606">
        <f>+'Stock Data'!AM354</f>
        <v>45568</v>
      </c>
      <c r="D543" s="580">
        <f>_xlfn.XLOOKUP(C543,'Stock Data'!$AM$4:$AM$1051,'Stock Data'!$AN$4:$AN$1051)</f>
        <v>410.89</v>
      </c>
    </row>
    <row r="544" spans="3:4" ht="15" customHeight="1" x14ac:dyDescent="0.25">
      <c r="C544" s="606">
        <f>+'Stock Data'!AM355</f>
        <v>45567</v>
      </c>
      <c r="D544" s="580">
        <f>_xlfn.XLOOKUP(C544,'Stock Data'!$AM$4:$AM$1051,'Stock Data'!$AN$4:$AN$1051)</f>
        <v>408.95</v>
      </c>
    </row>
    <row r="545" spans="3:4" ht="15" customHeight="1" x14ac:dyDescent="0.25">
      <c r="C545" s="606">
        <f>+'Stock Data'!AM356</f>
        <v>45566</v>
      </c>
      <c r="D545" s="580">
        <f>_xlfn.XLOOKUP(C545,'Stock Data'!$AM$4:$AM$1051,'Stock Data'!$AN$4:$AN$1051)</f>
        <v>405.89</v>
      </c>
    </row>
    <row r="546" spans="3:4" ht="15" customHeight="1" x14ac:dyDescent="0.25">
      <c r="C546" s="606">
        <f>+'Stock Data'!AM357</f>
        <v>45565</v>
      </c>
      <c r="D546" s="580">
        <f>_xlfn.XLOOKUP(C546,'Stock Data'!$AM$4:$AM$1051,'Stock Data'!$AN$4:$AN$1051)</f>
        <v>405.89</v>
      </c>
    </row>
    <row r="547" spans="3:4" ht="15" customHeight="1" x14ac:dyDescent="0.25">
      <c r="C547" s="606">
        <f>+'Stock Data'!AM358</f>
        <v>45564</v>
      </c>
      <c r="D547" s="580">
        <f>_xlfn.XLOOKUP(C547,'Stock Data'!$AM$4:$AM$1051,'Stock Data'!$AN$4:$AN$1051)</f>
        <v>405.89</v>
      </c>
    </row>
    <row r="548" spans="3:4" ht="15" customHeight="1" x14ac:dyDescent="0.25">
      <c r="C548" s="606">
        <f>+'Stock Data'!AM359</f>
        <v>45563</v>
      </c>
      <c r="D548" s="580">
        <f>_xlfn.XLOOKUP(C548,'Stock Data'!$AM$4:$AM$1051,'Stock Data'!$AN$4:$AN$1051)</f>
        <v>409.73</v>
      </c>
    </row>
    <row r="549" spans="3:4" ht="15" customHeight="1" x14ac:dyDescent="0.25">
      <c r="C549" s="606">
        <f>+'Stock Data'!AM360</f>
        <v>45562</v>
      </c>
      <c r="D549" s="580">
        <f>_xlfn.XLOOKUP(C549,'Stock Data'!$AM$4:$AM$1051,'Stock Data'!$AN$4:$AN$1051)</f>
        <v>401.07</v>
      </c>
    </row>
    <row r="550" spans="3:4" ht="15" customHeight="1" x14ac:dyDescent="0.25">
      <c r="C550" s="606">
        <f>+'Stock Data'!AM361</f>
        <v>45561</v>
      </c>
      <c r="D550" s="580">
        <f>_xlfn.XLOOKUP(C550,'Stock Data'!$AM$4:$AM$1051,'Stock Data'!$AN$4:$AN$1051)</f>
        <v>397.88</v>
      </c>
    </row>
    <row r="551" spans="3:4" ht="15" customHeight="1" x14ac:dyDescent="0.25">
      <c r="C551" s="606">
        <f>+'Stock Data'!AM362</f>
        <v>45560</v>
      </c>
      <c r="D551" s="580">
        <f>_xlfn.XLOOKUP(C551,'Stock Data'!$AM$4:$AM$1051,'Stock Data'!$AN$4:$AN$1051)</f>
        <v>394.66</v>
      </c>
    </row>
    <row r="552" spans="3:4" ht="15" customHeight="1" x14ac:dyDescent="0.25">
      <c r="C552" s="606">
        <f>+'Stock Data'!AM363</f>
        <v>45559</v>
      </c>
      <c r="D552" s="580">
        <f>_xlfn.XLOOKUP(C552,'Stock Data'!$AM$4:$AM$1051,'Stock Data'!$AN$4:$AN$1051)</f>
        <v>394.68</v>
      </c>
    </row>
    <row r="553" spans="3:4" ht="15" customHeight="1" x14ac:dyDescent="0.25">
      <c r="C553" s="606">
        <f>+'Stock Data'!AM364</f>
        <v>45558</v>
      </c>
      <c r="D553" s="580">
        <f>_xlfn.XLOOKUP(C553,'Stock Data'!$AM$4:$AM$1051,'Stock Data'!$AN$4:$AN$1051)</f>
        <v>394.68</v>
      </c>
    </row>
    <row r="554" spans="3:4" ht="15" customHeight="1" x14ac:dyDescent="0.25">
      <c r="C554" s="606">
        <f>+'Stock Data'!AM365</f>
        <v>45557</v>
      </c>
      <c r="D554" s="580">
        <f>_xlfn.XLOOKUP(C554,'Stock Data'!$AM$4:$AM$1051,'Stock Data'!$AN$4:$AN$1051)</f>
        <v>394.68</v>
      </c>
    </row>
    <row r="555" spans="3:4" ht="15" customHeight="1" x14ac:dyDescent="0.25">
      <c r="C555" s="606">
        <f>+'Stock Data'!AM366</f>
        <v>45556</v>
      </c>
      <c r="D555" s="580">
        <f>_xlfn.XLOOKUP(C555,'Stock Data'!$AM$4:$AM$1051,'Stock Data'!$AN$4:$AN$1051)</f>
        <v>387</v>
      </c>
    </row>
    <row r="556" spans="3:4" ht="15" customHeight="1" x14ac:dyDescent="0.25">
      <c r="C556" s="606">
        <f>+'Stock Data'!AM367</f>
        <v>45555</v>
      </c>
      <c r="D556" s="580">
        <f>_xlfn.XLOOKUP(C556,'Stock Data'!$AM$4:$AM$1051,'Stock Data'!$AN$4:$AN$1051)</f>
        <v>388.59</v>
      </c>
    </row>
    <row r="557" spans="3:4" ht="15" customHeight="1" x14ac:dyDescent="0.25">
      <c r="C557" s="606">
        <f>+'Stock Data'!AM368</f>
        <v>45554</v>
      </c>
      <c r="D557" s="580">
        <f>_xlfn.XLOOKUP(C557,'Stock Data'!$AM$4:$AM$1051,'Stock Data'!$AN$4:$AN$1051)</f>
        <v>387.3</v>
      </c>
    </row>
    <row r="558" spans="3:4" ht="15" customHeight="1" x14ac:dyDescent="0.25">
      <c r="C558" s="606">
        <f>+'Stock Data'!AM369</f>
        <v>45553</v>
      </c>
      <c r="D558" s="580">
        <f>_xlfn.XLOOKUP(C558,'Stock Data'!$AM$4:$AM$1051,'Stock Data'!$AN$4:$AN$1051)</f>
        <v>387.23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topLeftCell="A6" zoomScale="88" zoomScaleNormal="100" workbookViewId="0">
      <selection activeCell="H31" sqref="H31"/>
    </sheetView>
  </sheetViews>
  <sheetFormatPr defaultColWidth="9" defaultRowHeight="15" customHeight="1" x14ac:dyDescent="0.25"/>
  <cols>
    <col min="1" max="1" width="2.09765625" style="23" customWidth="1"/>
    <col min="2" max="2" width="25.59765625" style="23" customWidth="1"/>
    <col min="3" max="4" width="11.59765625" style="23" customWidth="1"/>
    <col min="5" max="5" width="10.09765625" style="23" customWidth="1"/>
    <col min="6" max="6" width="25.59765625" style="23" customWidth="1"/>
    <col min="7" max="7" width="11.59765625" style="23" customWidth="1"/>
    <col min="8" max="8" width="14.09765625" style="23" customWidth="1"/>
    <col min="9" max="9" width="10.09765625" style="23" customWidth="1"/>
    <col min="10" max="10" width="27.09765625" style="23" customWidth="1"/>
    <col min="11" max="12" width="11.59765625" style="23" customWidth="1"/>
    <col min="13" max="13" width="10.09765625" style="23" customWidth="1"/>
    <col min="14" max="14" width="25.59765625" style="23" customWidth="1"/>
    <col min="15" max="16" width="11.59765625" style="23" customWidth="1"/>
    <col min="17" max="16384" width="9" style="23"/>
  </cols>
  <sheetData>
    <row r="1" spans="2:16" s="581" customFormat="1" ht="15" customHeight="1" x14ac:dyDescent="0.25"/>
    <row r="2" spans="2:16" s="581" customFormat="1" ht="15" customHeight="1" x14ac:dyDescent="0.25"/>
    <row r="3" spans="2:16" s="581" customFormat="1" ht="15" customHeight="1" x14ac:dyDescent="0.25"/>
    <row r="4" spans="2:16" s="581" customFormat="1" ht="15" customHeight="1" x14ac:dyDescent="0.25"/>
    <row r="5" spans="2:16" s="36" customFormat="1" ht="4.3499999999999996" customHeight="1" x14ac:dyDescent="0.25"/>
    <row r="7" spans="2:16" ht="15" customHeight="1" x14ac:dyDescent="0.25">
      <c r="B7" s="374" t="s">
        <v>1</v>
      </c>
      <c r="C7" s="186"/>
      <c r="D7" s="186"/>
      <c r="F7" s="374" t="s">
        <v>2</v>
      </c>
      <c r="G7" s="186"/>
      <c r="H7" s="186"/>
      <c r="J7" s="374" t="s">
        <v>3</v>
      </c>
      <c r="K7" s="186"/>
      <c r="L7" s="186"/>
      <c r="M7" s="186"/>
      <c r="N7" s="186"/>
      <c r="O7" s="186"/>
      <c r="P7" s="186"/>
    </row>
    <row r="8" spans="2:16" ht="15" customHeight="1" x14ac:dyDescent="0.25">
      <c r="B8" s="374"/>
      <c r="C8" s="186"/>
      <c r="D8" s="186"/>
      <c r="F8" s="374"/>
      <c r="G8" s="186"/>
      <c r="H8" s="186"/>
      <c r="J8" s="186"/>
      <c r="K8" s="186"/>
      <c r="L8" s="186"/>
      <c r="M8" s="186"/>
      <c r="N8" s="186"/>
      <c r="O8" s="186"/>
      <c r="P8" s="186"/>
    </row>
    <row r="9" spans="2:16" ht="15" customHeight="1" x14ac:dyDescent="0.25">
      <c r="B9" s="186"/>
      <c r="C9" s="186"/>
      <c r="D9" s="186"/>
      <c r="F9" s="186"/>
      <c r="G9" s="186"/>
      <c r="H9" s="186"/>
      <c r="J9" s="186"/>
      <c r="K9" s="186"/>
      <c r="L9" s="186"/>
      <c r="M9" s="186"/>
      <c r="N9" s="186"/>
      <c r="O9" s="186"/>
      <c r="P9" s="186"/>
    </row>
    <row r="10" spans="2:16" ht="4.3499999999999996" customHeight="1" x14ac:dyDescent="0.25">
      <c r="B10" s="36"/>
      <c r="C10" s="36"/>
      <c r="D10" s="36"/>
      <c r="F10" s="36"/>
      <c r="G10" s="36"/>
      <c r="H10" s="36"/>
      <c r="J10" s="36"/>
      <c r="K10" s="36"/>
      <c r="L10" s="36"/>
      <c r="M10" s="36"/>
      <c r="N10" s="36"/>
      <c r="O10" s="36"/>
      <c r="P10" s="36"/>
    </row>
    <row r="11" spans="2:16" ht="4.3499999999999996" customHeight="1" x14ac:dyDescent="0.25"/>
    <row r="12" spans="2:16" ht="15" customHeight="1" x14ac:dyDescent="0.3">
      <c r="B12" s="483" t="s">
        <v>4</v>
      </c>
      <c r="F12" s="375" t="s">
        <v>5</v>
      </c>
      <c r="H12" s="559" t="s">
        <v>6</v>
      </c>
      <c r="J12" s="534"/>
    </row>
    <row r="13" spans="2:16" ht="15" customHeight="1" x14ac:dyDescent="0.25">
      <c r="B13" s="572" t="s">
        <v>7</v>
      </c>
      <c r="F13" s="375" t="s">
        <v>8</v>
      </c>
      <c r="H13" s="599">
        <f ca="1">FCFF!AF169</f>
        <v>393.57377557272673</v>
      </c>
      <c r="J13" s="534"/>
    </row>
    <row r="14" spans="2:16" ht="15" customHeight="1" x14ac:dyDescent="0.25">
      <c r="B14" s="737" t="s">
        <v>9</v>
      </c>
      <c r="F14" s="375" t="s">
        <v>10</v>
      </c>
      <c r="H14" s="804">
        <f ca="1">FCFF!AF171</f>
        <v>-0.1826259567345917</v>
      </c>
      <c r="J14" s="534"/>
    </row>
    <row r="15" spans="2:16" ht="15" customHeight="1" x14ac:dyDescent="0.25">
      <c r="B15" s="377" t="s">
        <v>11</v>
      </c>
      <c r="J15" s="534"/>
    </row>
    <row r="16" spans="2:16" ht="15" customHeight="1" x14ac:dyDescent="0.25">
      <c r="B16" s="572" t="s">
        <v>12</v>
      </c>
      <c r="F16" s="375" t="s">
        <v>13</v>
      </c>
      <c r="H16" s="590" t="str">
        <f>Inputs!D15</f>
        <v>DE US Equity</v>
      </c>
      <c r="J16" s="534"/>
    </row>
    <row r="17" spans="2:8" ht="15" customHeight="1" x14ac:dyDescent="0.25">
      <c r="B17" s="737" t="s">
        <v>14</v>
      </c>
      <c r="F17" s="375" t="s">
        <v>15</v>
      </c>
      <c r="G17" s="553"/>
      <c r="H17" s="590" t="s">
        <v>16</v>
      </c>
    </row>
    <row r="18" spans="2:8" ht="15" customHeight="1" x14ac:dyDescent="0.25">
      <c r="B18" s="377" t="s">
        <v>17</v>
      </c>
    </row>
    <row r="19" spans="2:8" ht="15" customHeight="1" x14ac:dyDescent="0.25">
      <c r="B19" s="572" t="s">
        <v>7</v>
      </c>
      <c r="F19" s="375" t="s">
        <v>19</v>
      </c>
      <c r="H19" s="691">
        <f>'Stock Data'!AN4</f>
        <v>481.51</v>
      </c>
    </row>
    <row r="20" spans="2:8" ht="15" customHeight="1" x14ac:dyDescent="0.25">
      <c r="B20" s="737" t="s">
        <v>898</v>
      </c>
      <c r="F20" s="375" t="str">
        <f>"Market Cap (in "&amp;IF(Inputs!$D$14="BLN","billions",IF(Inputs!$D$14="MLN","millions","thousands"))&amp;")"</f>
        <v>Market Cap (in millions)</v>
      </c>
      <c r="H20" s="692">
        <f>'Stock Data'!AQ4</f>
        <v>130166.30457889999</v>
      </c>
    </row>
    <row r="21" spans="2:8" ht="15" customHeight="1" x14ac:dyDescent="0.25">
      <c r="B21" s="377"/>
      <c r="F21" s="377" t="s">
        <v>21</v>
      </c>
      <c r="G21" s="553"/>
      <c r="H21" s="586">
        <f>'Stock Data'!E164</f>
        <v>0.89700514078140259</v>
      </c>
    </row>
    <row r="22" spans="2:8" ht="15" customHeight="1" x14ac:dyDescent="0.25">
      <c r="B22" s="572"/>
      <c r="F22" s="377" t="s">
        <v>22</v>
      </c>
      <c r="H22" s="587">
        <f>'Stock Data'!E165</f>
        <v>0.55938667297363276</v>
      </c>
    </row>
    <row r="23" spans="2:8" ht="15" customHeight="1" x14ac:dyDescent="0.25">
      <c r="B23" s="573"/>
      <c r="F23" s="377" t="s">
        <v>23</v>
      </c>
      <c r="H23" s="691">
        <f>'Stock Data'!E166</f>
        <v>500.28311157226563</v>
      </c>
    </row>
    <row r="24" spans="2:8" ht="15" customHeight="1" x14ac:dyDescent="0.25">
      <c r="B24" s="558"/>
      <c r="F24" s="375"/>
      <c r="H24" s="588"/>
    </row>
    <row r="25" spans="2:8" ht="15" customHeight="1" x14ac:dyDescent="0.25">
      <c r="B25" s="375" t="s">
        <v>24</v>
      </c>
      <c r="F25" s="377" t="s">
        <v>25</v>
      </c>
      <c r="H25" s="589">
        <f>'Stock Data'!E168</f>
        <v>1490618.5</v>
      </c>
    </row>
    <row r="26" spans="2:8" ht="15" customHeight="1" x14ac:dyDescent="0.25">
      <c r="B26" s="377" t="s">
        <v>899</v>
      </c>
      <c r="F26" s="377" t="s">
        <v>26</v>
      </c>
      <c r="H26" s="589">
        <f>'Stock Data'!E169</f>
        <v>270.32939999999996</v>
      </c>
    </row>
    <row r="27" spans="2:8" ht="15" customHeight="1" x14ac:dyDescent="0.25">
      <c r="B27" s="572" t="s">
        <v>18</v>
      </c>
      <c r="F27" s="377" t="s">
        <v>27</v>
      </c>
      <c r="H27" s="587">
        <f>'Stock Data'!E170</f>
        <v>0.92489260000000006</v>
      </c>
    </row>
    <row r="28" spans="2:8" ht="15" customHeight="1" x14ac:dyDescent="0.25">
      <c r="B28" s="573" t="s">
        <v>20</v>
      </c>
      <c r="F28" s="377" t="s">
        <v>28</v>
      </c>
      <c r="H28" s="587">
        <f>IFERROR('Stock Data'!E171,0)</f>
        <v>1.7152000000000001E-2</v>
      </c>
    </row>
    <row r="29" spans="2:8" ht="15" customHeight="1" x14ac:dyDescent="0.25">
      <c r="F29" s="375"/>
      <c r="H29" s="588"/>
    </row>
    <row r="30" spans="2:8" ht="15" customHeight="1" x14ac:dyDescent="0.25">
      <c r="B30" s="547" t="s">
        <v>29</v>
      </c>
      <c r="F30" s="377" t="s">
        <v>30</v>
      </c>
      <c r="H30" s="587">
        <f>'Stock Data'!E173</f>
        <v>1.967106715362813E-3</v>
      </c>
    </row>
    <row r="31" spans="2:8" ht="15" customHeight="1" x14ac:dyDescent="0.25">
      <c r="B31" s="557" t="s">
        <v>31</v>
      </c>
      <c r="F31" s="377" t="s">
        <v>32</v>
      </c>
      <c r="H31" s="587">
        <f>'Stock Data'!E174</f>
        <v>0.8491587009947732</v>
      </c>
    </row>
    <row r="32" spans="2:8" ht="15" customHeight="1" x14ac:dyDescent="0.25">
      <c r="B32" s="558" t="s">
        <v>33</v>
      </c>
    </row>
    <row r="34" spans="2:16" ht="15" customHeight="1" x14ac:dyDescent="0.25">
      <c r="B34" s="805" t="s">
        <v>34</v>
      </c>
      <c r="C34" s="805"/>
      <c r="D34" s="805"/>
      <c r="E34" s="805"/>
      <c r="F34" s="805"/>
      <c r="G34" s="805"/>
      <c r="H34" s="805"/>
      <c r="I34" s="805"/>
      <c r="J34" s="805"/>
      <c r="K34" s="805"/>
      <c r="L34" s="805"/>
      <c r="M34" s="805"/>
      <c r="N34" s="805"/>
      <c r="O34" s="805"/>
      <c r="P34" s="805"/>
    </row>
    <row r="35" spans="2:16" ht="15" customHeight="1" x14ac:dyDescent="0.25">
      <c r="B35" s="805"/>
      <c r="C35" s="805"/>
      <c r="D35" s="805"/>
      <c r="E35" s="805"/>
      <c r="F35" s="805"/>
      <c r="G35" s="805"/>
      <c r="H35" s="805"/>
      <c r="I35" s="805"/>
      <c r="J35" s="805"/>
      <c r="K35" s="805"/>
      <c r="L35" s="805"/>
      <c r="M35" s="805"/>
      <c r="N35" s="805"/>
      <c r="O35" s="805"/>
      <c r="P35" s="805"/>
    </row>
    <row r="36" spans="2:16" ht="15" customHeight="1" x14ac:dyDescent="0.25">
      <c r="B36" s="805"/>
      <c r="C36" s="805"/>
      <c r="D36" s="805"/>
      <c r="E36" s="805"/>
      <c r="F36" s="805"/>
      <c r="G36" s="805"/>
      <c r="H36" s="805"/>
      <c r="I36" s="805"/>
      <c r="J36" s="805"/>
      <c r="K36" s="805"/>
      <c r="L36" s="805"/>
      <c r="M36" s="805"/>
      <c r="N36" s="805"/>
      <c r="O36" s="805"/>
      <c r="P36" s="805"/>
    </row>
    <row r="37" spans="2:16" ht="15" customHeight="1" x14ac:dyDescent="0.25">
      <c r="B37" s="805"/>
      <c r="C37" s="805"/>
      <c r="D37" s="805"/>
      <c r="E37" s="805"/>
      <c r="F37" s="805"/>
      <c r="G37" s="805"/>
      <c r="H37" s="805"/>
      <c r="I37" s="805"/>
      <c r="J37" s="805"/>
      <c r="K37" s="805"/>
      <c r="L37" s="805"/>
      <c r="M37" s="805"/>
      <c r="N37" s="805"/>
      <c r="O37" s="805"/>
      <c r="P37" s="805"/>
    </row>
    <row r="38" spans="2:16" ht="15" customHeight="1" x14ac:dyDescent="0.25">
      <c r="B38" s="805"/>
      <c r="C38" s="805"/>
      <c r="D38" s="805"/>
      <c r="E38" s="805"/>
      <c r="F38" s="805"/>
      <c r="G38" s="805"/>
      <c r="H38" s="805"/>
      <c r="I38" s="805"/>
      <c r="J38" s="805"/>
      <c r="K38" s="805"/>
      <c r="L38" s="805"/>
      <c r="M38" s="805"/>
      <c r="N38" s="805"/>
      <c r="O38" s="805"/>
      <c r="P38" s="805"/>
    </row>
    <row r="39" spans="2:16" ht="15" customHeight="1" x14ac:dyDescent="0.25">
      <c r="B39" s="805"/>
      <c r="C39" s="805"/>
      <c r="D39" s="805"/>
      <c r="E39" s="805"/>
      <c r="F39" s="805"/>
      <c r="G39" s="805"/>
      <c r="H39" s="805"/>
      <c r="I39" s="805"/>
      <c r="J39" s="805"/>
      <c r="K39" s="805"/>
      <c r="L39" s="805"/>
      <c r="M39" s="805"/>
      <c r="N39" s="805"/>
      <c r="O39" s="805"/>
      <c r="P39" s="805"/>
    </row>
    <row r="40" spans="2:16" ht="15" customHeight="1" x14ac:dyDescent="0.25">
      <c r="B40" s="805"/>
      <c r="C40" s="805"/>
      <c r="D40" s="805"/>
      <c r="E40" s="805"/>
      <c r="F40" s="805"/>
      <c r="G40" s="805"/>
      <c r="H40" s="805"/>
      <c r="I40" s="805"/>
      <c r="J40" s="805"/>
      <c r="K40" s="805"/>
      <c r="L40" s="805"/>
      <c r="M40" s="805"/>
      <c r="N40" s="805"/>
      <c r="O40" s="805"/>
      <c r="P40" s="805"/>
    </row>
    <row r="41" spans="2:16" ht="15" customHeight="1" x14ac:dyDescent="0.25">
      <c r="B41" s="805"/>
      <c r="C41" s="805"/>
      <c r="D41" s="805"/>
      <c r="E41" s="805"/>
      <c r="F41" s="805"/>
      <c r="G41" s="805"/>
      <c r="H41" s="805"/>
      <c r="I41" s="805"/>
      <c r="J41" s="805"/>
      <c r="K41" s="805"/>
      <c r="L41" s="805"/>
      <c r="M41" s="805"/>
      <c r="N41" s="805"/>
      <c r="O41" s="805"/>
      <c r="P41" s="805"/>
    </row>
    <row r="42" spans="2:16" ht="15" customHeight="1" x14ac:dyDescent="0.25">
      <c r="B42" s="805"/>
      <c r="C42" s="805"/>
      <c r="D42" s="805"/>
      <c r="E42" s="805"/>
      <c r="F42" s="805"/>
      <c r="G42" s="805"/>
      <c r="H42" s="805"/>
      <c r="I42" s="805"/>
      <c r="J42" s="805"/>
      <c r="K42" s="805"/>
      <c r="L42" s="805"/>
      <c r="M42" s="805"/>
      <c r="N42" s="805"/>
      <c r="O42" s="805"/>
      <c r="P42" s="805"/>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19" r:id="rId3" display="raul.vasconcelos@aln.iseg.ulisboa.pt" xr:uid="{913F4351-F364-4566-8CF9-58EAB12BAB1A}"/>
    <hyperlink ref="B16" r:id="rId4" display="raul.vasconcelos@aln.iseg.ulisboa.pt" xr:uid="{EFA83599-0A39-49DD-B76B-5CC8CB13CC21}"/>
    <hyperlink ref="B13" r:id="rId5" display="raul.vasconcelos@aln.iseg.ulisboa.pt" xr:uid="{77AB066A-C300-4B87-AFCB-2C947D186323}"/>
    <hyperlink ref="B17" r:id="rId6" xr:uid="{6A463BC4-DCB4-4A1D-9FB0-257F0035CD6C}"/>
    <hyperlink ref="B14" r:id="rId7" xr:uid="{512283ED-87CA-4718-9D26-FFDB23E86670}"/>
    <hyperlink ref="B20" r:id="rId8" xr:uid="{F3751F39-26DF-463B-805C-606BFC095283}"/>
  </hyperlinks>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AA74"/>
  <sheetViews>
    <sheetView showGridLines="0" topLeftCell="A44" zoomScale="63" zoomScaleNormal="85" workbookViewId="0">
      <selection activeCell="E33" sqref="E33"/>
    </sheetView>
  </sheetViews>
  <sheetFormatPr defaultColWidth="11.59765625" defaultRowHeight="15" customHeight="1" outlineLevelRow="1" x14ac:dyDescent="0.25"/>
  <cols>
    <col min="1" max="1" width="2.09765625" style="23" customWidth="1"/>
    <col min="2" max="2" width="46.59765625" style="23" customWidth="1"/>
    <col min="3" max="3" width="3.59765625" style="23" customWidth="1"/>
    <col min="4" max="4" width="23.59765625" style="23" bestFit="1" customWidth="1"/>
    <col min="5" max="7" width="11.59765625" style="23"/>
    <col min="8" max="11" width="15.09765625" style="23" bestFit="1" customWidth="1"/>
    <col min="12" max="12" width="14.5" style="23" customWidth="1"/>
    <col min="13" max="13" width="11.59765625" style="23"/>
    <col min="14" max="14" width="1.59765625" style="23" customWidth="1"/>
    <col min="15" max="17" width="11.59765625" style="23"/>
    <col min="18" max="18" width="12.3984375" style="23" bestFit="1" customWidth="1"/>
    <col min="19" max="16384" width="11.59765625" style="23"/>
  </cols>
  <sheetData>
    <row r="1" spans="1:19" s="581" customFormat="1" ht="15" customHeight="1" x14ac:dyDescent="0.25"/>
    <row r="2" spans="1:19" s="581" customFormat="1" ht="15" customHeight="1" x14ac:dyDescent="0.25"/>
    <row r="3" spans="1:19" s="581" customFormat="1" ht="15" customHeight="1" x14ac:dyDescent="0.25"/>
    <row r="4" spans="1:19" s="581" customFormat="1" ht="15" customHeight="1" x14ac:dyDescent="0.25"/>
    <row r="5" spans="1:19" s="36" customFormat="1" ht="4.3499999999999996" customHeight="1" x14ac:dyDescent="0.25"/>
    <row r="6" spans="1:19" ht="15" customHeight="1" x14ac:dyDescent="0.25">
      <c r="D6" s="422">
        <v>584.16999999999996</v>
      </c>
      <c r="E6" s="422">
        <v>627.76</v>
      </c>
      <c r="F6" s="422">
        <v>676.06</v>
      </c>
      <c r="G6" s="422">
        <v>729.63</v>
      </c>
      <c r="H6" s="422">
        <v>789.13</v>
      </c>
      <c r="I6" s="422">
        <v>855.3</v>
      </c>
      <c r="J6" s="422">
        <v>929</v>
      </c>
      <c r="K6" s="422">
        <v>997.69</v>
      </c>
      <c r="L6" s="422">
        <v>1067.6300000000001</v>
      </c>
      <c r="M6" s="422">
        <v>1137.57</v>
      </c>
    </row>
    <row r="7" spans="1:19" ht="15" customHeight="1" x14ac:dyDescent="0.25">
      <c r="A7" s="44" t="s">
        <v>70</v>
      </c>
      <c r="B7" s="374" t="s">
        <v>139</v>
      </c>
      <c r="C7" s="186"/>
      <c r="D7" s="32"/>
      <c r="E7" s="32"/>
      <c r="F7" s="32"/>
      <c r="G7" s="32"/>
      <c r="H7" s="32"/>
      <c r="I7" s="32"/>
      <c r="J7" s="32"/>
      <c r="K7" s="32"/>
      <c r="L7" s="32"/>
      <c r="M7" s="32"/>
      <c r="N7" s="422"/>
      <c r="O7" s="374" t="s">
        <v>140</v>
      </c>
      <c r="P7" s="186"/>
      <c r="Q7" s="186"/>
      <c r="R7" s="186"/>
      <c r="S7" s="186"/>
    </row>
    <row r="8" spans="1:19" ht="15" customHeight="1" x14ac:dyDescent="0.25">
      <c r="B8" s="186"/>
      <c r="C8" s="186"/>
      <c r="D8" s="32"/>
      <c r="E8" s="32"/>
      <c r="F8" s="32"/>
      <c r="G8" s="32"/>
      <c r="H8" s="32"/>
      <c r="I8" s="32"/>
      <c r="J8" s="32"/>
      <c r="K8" s="32"/>
      <c r="L8" s="32"/>
      <c r="M8" s="32"/>
      <c r="N8" s="422"/>
      <c r="O8" s="186"/>
      <c r="P8" s="186"/>
      <c r="Q8" s="186"/>
      <c r="R8" s="186"/>
      <c r="S8" s="186"/>
    </row>
    <row r="9" spans="1:19" ht="15" customHeight="1" x14ac:dyDescent="0.25">
      <c r="B9" s="374"/>
      <c r="C9" s="32"/>
      <c r="D9" s="452">
        <v>2022</v>
      </c>
      <c r="E9" s="452">
        <f>+D9+1</f>
        <v>2023</v>
      </c>
      <c r="F9" s="452">
        <f>+E9+1</f>
        <v>2024</v>
      </c>
      <c r="G9" s="453">
        <f>+F9+1</f>
        <v>2025</v>
      </c>
      <c r="H9" s="453">
        <f t="shared" ref="H9:K9" si="0">+G9+1</f>
        <v>2026</v>
      </c>
      <c r="I9" s="453">
        <f t="shared" si="0"/>
        <v>2027</v>
      </c>
      <c r="J9" s="453">
        <f t="shared" si="0"/>
        <v>2028</v>
      </c>
      <c r="K9" s="453">
        <f t="shared" si="0"/>
        <v>2029</v>
      </c>
      <c r="L9" s="541"/>
      <c r="M9" s="542" t="str">
        <f>"CAGR "&amp;$G$9&amp;" - "&amp;$K$9</f>
        <v>CAGR 2025 - 2029</v>
      </c>
      <c r="N9" s="543"/>
      <c r="O9" s="32"/>
      <c r="P9" s="32"/>
      <c r="Q9" s="32"/>
      <c r="R9" s="32"/>
      <c r="S9" s="32"/>
    </row>
    <row r="10" spans="1:19" ht="4.3499999999999996" customHeight="1" x14ac:dyDescent="0.25">
      <c r="B10" s="36"/>
      <c r="C10" s="36"/>
      <c r="D10" s="36"/>
      <c r="E10" s="36"/>
      <c r="F10" s="36"/>
      <c r="G10" s="36"/>
      <c r="H10" s="36"/>
      <c r="I10" s="36"/>
      <c r="J10" s="36"/>
      <c r="K10" s="36"/>
      <c r="L10" s="36"/>
      <c r="M10" s="381"/>
      <c r="O10" s="36"/>
      <c r="P10" s="36"/>
      <c r="Q10" s="36"/>
      <c r="R10" s="36"/>
      <c r="S10" s="36"/>
    </row>
    <row r="11" spans="1:19" ht="4.3499999999999996" customHeight="1" x14ac:dyDescent="0.25">
      <c r="M11" s="534"/>
    </row>
    <row r="12" spans="1:19" ht="15" customHeight="1" x14ac:dyDescent="0.3">
      <c r="B12" s="1" t="s">
        <v>141</v>
      </c>
      <c r="C12" s="33"/>
      <c r="D12" s="731">
        <f>D44</f>
        <v>97000</v>
      </c>
      <c r="E12" s="731">
        <f t="shared" ref="E12:K12" si="1">E44</f>
        <v>98240</v>
      </c>
      <c r="F12" s="731">
        <f t="shared" si="1"/>
        <v>100150</v>
      </c>
      <c r="G12" s="731">
        <f t="shared" si="1"/>
        <v>142623.33333333334</v>
      </c>
      <c r="H12" s="731">
        <f t="shared" si="1"/>
        <v>149425.68</v>
      </c>
      <c r="I12" s="731">
        <f t="shared" si="1"/>
        <v>156862.05119333335</v>
      </c>
      <c r="J12" s="731">
        <f t="shared" si="1"/>
        <v>164388.04823748666</v>
      </c>
      <c r="K12" s="731">
        <f t="shared" si="1"/>
        <v>172600.88433609842</v>
      </c>
      <c r="L12" s="539"/>
      <c r="M12" s="544">
        <f>(K12/G12)^(1/5)-1</f>
        <v>3.8892202943929588E-2</v>
      </c>
    </row>
    <row r="13" spans="1:19" ht="15" customHeight="1" x14ac:dyDescent="0.25">
      <c r="B13" s="548" t="s">
        <v>142</v>
      </c>
      <c r="D13" s="727">
        <f>SUM(Segments!T12:T13)/D12</f>
        <v>0.36477319587628865</v>
      </c>
      <c r="E13" s="727">
        <f>SUM(Segments!N12:N13)/E12</f>
        <v>0.28877239413680783</v>
      </c>
      <c r="F13" s="727">
        <f>SUM(Segments!AF12:AF13)/F12</f>
        <v>0.31755366949575636</v>
      </c>
      <c r="G13" s="727">
        <f>SUM(Segments!AL12:AL13)/G12</f>
        <v>0.19011636712085447</v>
      </c>
      <c r="H13" s="727">
        <f>SUM(Segments!AR12:AR13)/H12</f>
        <v>0.19258369779545256</v>
      </c>
      <c r="I13" s="727">
        <f>SUM(Segments!AT12:AT13)/I12</f>
        <v>0.20662448153283802</v>
      </c>
      <c r="J13" s="727">
        <f>SUM(Segments!AV12:AV13)/J12</f>
        <v>0.22792253087567196</v>
      </c>
      <c r="K13" s="727">
        <f>SUM(Segments!AX12:AX13)/K12</f>
        <v>0.22554335112324939</v>
      </c>
      <c r="L13" s="539"/>
      <c r="M13" s="552">
        <f>((K13*K12)/(G13*G12))^(1/5)-1</f>
        <v>7.5010215471645436E-2</v>
      </c>
    </row>
    <row r="14" spans="1:19" ht="15" customHeight="1" x14ac:dyDescent="0.25">
      <c r="B14" s="1" t="s">
        <v>143</v>
      </c>
      <c r="C14" s="33"/>
      <c r="D14" s="729">
        <v>198500</v>
      </c>
      <c r="E14" s="729">
        <v>208425</v>
      </c>
      <c r="F14" s="729">
        <v>196478.75</v>
      </c>
      <c r="G14" s="729">
        <v>201113.38862499999</v>
      </c>
      <c r="H14" s="729">
        <v>212109.52231664996</v>
      </c>
      <c r="I14" s="729">
        <v>223721.77479612338</v>
      </c>
      <c r="J14" s="729">
        <v>235985.50491773401</v>
      </c>
      <c r="K14" s="729">
        <v>248938.14726369569</v>
      </c>
      <c r="L14" s="539"/>
      <c r="M14" s="544">
        <f>(K14/G14)^(1/5)-1</f>
        <v>4.3590444451278465E-2</v>
      </c>
    </row>
    <row r="15" spans="1:19" ht="15" customHeight="1" x14ac:dyDescent="0.25">
      <c r="B15" s="548" t="s">
        <v>142</v>
      </c>
      <c r="D15" s="728">
        <f>SUM(Segments!T32:T34)/D14</f>
        <v>5.5274559193954659E-2</v>
      </c>
      <c r="E15" s="728">
        <f>SUM(Segments!Z32:Z34)/E14</f>
        <v>6.2789972412138656E-2</v>
      </c>
      <c r="F15" s="728">
        <f>SUM(Segments!AF32:AF34)/F14</f>
        <v>5.9156524560544078E-2</v>
      </c>
      <c r="G15" s="728">
        <f>SUM(Segments!AL32:AL34)/G14</f>
        <v>4.9681169840621688E-2</v>
      </c>
      <c r="H15" s="728">
        <f>SUM(Segments!AR32:AR34)/H14</f>
        <v>5.0826992160265649E-2</v>
      </c>
      <c r="I15" s="728">
        <f>SUM(Segments!AT32:AT34)/I14</f>
        <v>5.2647064577310589E-2</v>
      </c>
      <c r="J15" s="728">
        <f>SUM(Segments!AV32:AV34)/J14</f>
        <v>5.5960787027851649E-2</v>
      </c>
      <c r="K15" s="728">
        <f>SUM(Segments!AX32:AX34)/K14</f>
        <v>5.5277119983721056E-2</v>
      </c>
      <c r="L15" s="539"/>
      <c r="M15" s="552">
        <f>((K15*K14)/(G15*G14))^(1/5)-1</f>
        <v>6.610704357393038E-2</v>
      </c>
    </row>
    <row r="16" spans="1:19" ht="15" customHeight="1" x14ac:dyDescent="0.25">
      <c r="B16" s="699" t="s">
        <v>144</v>
      </c>
      <c r="C16" s="33"/>
      <c r="D16" s="729"/>
      <c r="E16" s="729"/>
      <c r="F16" s="729"/>
      <c r="G16" s="729">
        <v>12000</v>
      </c>
      <c r="H16" s="729">
        <f>G16*1.046</f>
        <v>12552</v>
      </c>
      <c r="I16" s="729">
        <f>H16*1.046</f>
        <v>13129.392</v>
      </c>
      <c r="J16" s="729">
        <f>I16*1.046</f>
        <v>13733.344032000001</v>
      </c>
      <c r="K16" s="729">
        <f>J16*1.046</f>
        <v>14365.077857472001</v>
      </c>
      <c r="L16" s="539"/>
      <c r="M16" s="544">
        <f>(K16/G16)^(1/5)-1</f>
        <v>3.6633758196503274E-2</v>
      </c>
    </row>
    <row r="17" spans="1:19" ht="15" customHeight="1" x14ac:dyDescent="0.25">
      <c r="B17" s="548" t="s">
        <v>142</v>
      </c>
      <c r="D17" s="728"/>
      <c r="E17" s="728"/>
      <c r="F17" s="728"/>
      <c r="G17" s="728">
        <f>Segments!AL35/G16</f>
        <v>9.8943465208201867E-2</v>
      </c>
      <c r="H17" s="728">
        <f>Segments!AR35/H16</f>
        <v>0.10206508700557211</v>
      </c>
      <c r="I17" s="728">
        <f>Segments!AT35/I16</f>
        <v>0.10660396726352274</v>
      </c>
      <c r="J17" s="728">
        <f>Segments!AV35/J16</f>
        <v>0.11426899478976432</v>
      </c>
      <c r="K17" s="728">
        <f>Segments!AX35/K16</f>
        <v>0.11383201966628531</v>
      </c>
      <c r="L17" s="539"/>
      <c r="M17" s="552">
        <f>((K17*K16)/(G17*G16))^(1/5)-1</f>
        <v>6.610704357393038E-2</v>
      </c>
    </row>
    <row r="18" spans="1:19" ht="15" customHeight="1" x14ac:dyDescent="0.25">
      <c r="B18" s="551" t="s">
        <v>145</v>
      </c>
      <c r="C18" s="33"/>
      <c r="D18" s="550"/>
      <c r="E18" s="550"/>
      <c r="F18" s="550"/>
      <c r="G18" s="550"/>
      <c r="H18" s="550"/>
      <c r="I18" s="550"/>
      <c r="J18" s="550"/>
      <c r="K18" s="550"/>
      <c r="L18" s="539"/>
      <c r="M18" s="544" t="e">
        <f>(K18/G18)^(1/5)-1</f>
        <v>#DIV/0!</v>
      </c>
    </row>
    <row r="19" spans="1:19" ht="15" customHeight="1" x14ac:dyDescent="0.25">
      <c r="B19" s="548" t="s">
        <v>142</v>
      </c>
      <c r="D19" s="549"/>
      <c r="E19" s="549"/>
      <c r="F19" s="549"/>
      <c r="G19" s="549"/>
      <c r="H19" s="549"/>
      <c r="I19" s="549"/>
      <c r="J19" s="549"/>
      <c r="K19" s="549"/>
      <c r="L19" s="539"/>
      <c r="M19" s="552" t="e">
        <f>((K19*K18)/(G19*G18))^(1/5)-1</f>
        <v>#DIV/0!</v>
      </c>
    </row>
    <row r="20" spans="1:19" ht="15" customHeight="1" x14ac:dyDescent="0.25">
      <c r="B20" s="551" t="s">
        <v>145</v>
      </c>
      <c r="C20" s="33"/>
      <c r="D20" s="550"/>
      <c r="E20" s="550"/>
      <c r="F20" s="550"/>
      <c r="G20" s="550"/>
      <c r="H20" s="550"/>
      <c r="I20" s="550"/>
      <c r="J20" s="550"/>
      <c r="K20" s="550"/>
      <c r="L20" s="539"/>
      <c r="M20" s="544" t="e">
        <f t="shared" ref="M20" si="2">(K20/G20)^(1/5)-1</f>
        <v>#DIV/0!</v>
      </c>
    </row>
    <row r="21" spans="1:19" ht="15" customHeight="1" x14ac:dyDescent="0.25">
      <c r="B21" s="548" t="s">
        <v>142</v>
      </c>
      <c r="D21" s="549"/>
      <c r="E21" s="549"/>
      <c r="F21" s="549"/>
      <c r="G21" s="549"/>
      <c r="H21" s="549"/>
      <c r="I21" s="549"/>
      <c r="J21" s="549"/>
      <c r="K21" s="549"/>
      <c r="L21" s="539"/>
      <c r="M21" s="552" t="e">
        <f>((K21*K20)/(G21*G20))^(1/5)-1</f>
        <v>#DIV/0!</v>
      </c>
    </row>
    <row r="22" spans="1:19" ht="15" customHeight="1" x14ac:dyDescent="0.25">
      <c r="E22" s="540"/>
    </row>
    <row r="23" spans="1:19" ht="15" customHeight="1" x14ac:dyDescent="0.25">
      <c r="A23" s="44" t="s">
        <v>70</v>
      </c>
      <c r="B23" s="32"/>
      <c r="C23" s="32"/>
      <c r="D23" s="32"/>
      <c r="E23" s="32"/>
      <c r="F23" s="32"/>
      <c r="G23" s="32"/>
      <c r="H23" s="32"/>
      <c r="I23" s="32"/>
      <c r="J23" s="32"/>
      <c r="K23" s="32"/>
      <c r="L23" s="32"/>
      <c r="M23" s="32"/>
      <c r="O23" s="32"/>
      <c r="P23" s="32"/>
      <c r="Q23" s="32"/>
      <c r="R23" s="32"/>
      <c r="S23" s="32"/>
    </row>
    <row r="24" spans="1:19" ht="15" customHeight="1" x14ac:dyDescent="0.25">
      <c r="B24" s="32"/>
      <c r="C24" s="32"/>
      <c r="D24" s="32"/>
      <c r="E24" s="32"/>
      <c r="F24" s="32"/>
      <c r="G24" s="32"/>
      <c r="H24" s="32"/>
      <c r="I24" s="32"/>
      <c r="J24" s="32"/>
      <c r="K24" s="32"/>
      <c r="L24" s="32"/>
      <c r="M24" s="32"/>
      <c r="O24" s="32"/>
      <c r="P24" s="32"/>
      <c r="Q24" s="32"/>
      <c r="R24" s="32"/>
      <c r="S24" s="32"/>
    </row>
    <row r="25" spans="1:19" s="422" customFormat="1" ht="15" customHeight="1" x14ac:dyDescent="0.25">
      <c r="B25" s="374" t="s">
        <v>146</v>
      </c>
      <c r="C25" s="32"/>
      <c r="D25" s="374" t="s">
        <v>147</v>
      </c>
      <c r="E25" s="32"/>
      <c r="F25" s="32"/>
      <c r="G25" s="32"/>
      <c r="H25" s="32"/>
      <c r="I25" s="32"/>
      <c r="J25" s="32"/>
      <c r="K25" s="32"/>
      <c r="L25" s="32"/>
      <c r="M25" s="32"/>
      <c r="O25" s="374" t="s">
        <v>148</v>
      </c>
      <c r="P25" s="32"/>
      <c r="Q25" s="32"/>
      <c r="R25" s="32"/>
      <c r="S25" s="32"/>
    </row>
    <row r="26" spans="1:19" ht="4.3499999999999996" customHeight="1" x14ac:dyDescent="0.25">
      <c r="B26" s="36"/>
      <c r="C26" s="502"/>
      <c r="D26" s="36"/>
      <c r="E26" s="36"/>
      <c r="F26" s="36"/>
      <c r="G26" s="36"/>
      <c r="H26" s="36"/>
      <c r="I26" s="36"/>
      <c r="J26" s="36"/>
      <c r="K26" s="36"/>
      <c r="L26" s="36"/>
      <c r="M26" s="36"/>
      <c r="O26" s="36"/>
      <c r="P26" s="36"/>
      <c r="Q26" s="36"/>
      <c r="R26" s="36"/>
      <c r="S26" s="36"/>
    </row>
    <row r="27" spans="1:19" ht="24" customHeight="1" x14ac:dyDescent="0.25">
      <c r="B27" s="33" t="s">
        <v>149</v>
      </c>
      <c r="C27" s="205"/>
    </row>
    <row r="28" spans="1:19" ht="66" customHeight="1" x14ac:dyDescent="0.25">
      <c r="B28" s="767" t="s">
        <v>150</v>
      </c>
      <c r="C28" s="205"/>
      <c r="D28" s="806" t="s">
        <v>151</v>
      </c>
      <c r="E28" s="807"/>
      <c r="F28" s="807"/>
      <c r="G28" s="807"/>
      <c r="H28" s="807"/>
      <c r="I28" s="807"/>
      <c r="J28" s="807"/>
      <c r="K28" s="807"/>
      <c r="L28" s="807"/>
      <c r="M28" s="807"/>
    </row>
    <row r="29" spans="1:19" ht="66" customHeight="1" x14ac:dyDescent="0.25">
      <c r="B29" s="770" t="s">
        <v>152</v>
      </c>
      <c r="C29" s="545"/>
      <c r="D29" s="806" t="s">
        <v>153</v>
      </c>
      <c r="E29" s="807"/>
      <c r="F29" s="807"/>
      <c r="G29" s="807"/>
      <c r="H29" s="807"/>
      <c r="I29" s="807"/>
      <c r="J29" s="807"/>
      <c r="K29" s="807"/>
      <c r="L29" s="807"/>
      <c r="M29" s="807"/>
    </row>
    <row r="30" spans="1:19" ht="66" customHeight="1" x14ac:dyDescent="0.25">
      <c r="B30" s="767" t="s">
        <v>154</v>
      </c>
      <c r="C30" s="545"/>
      <c r="D30" s="806" t="s">
        <v>155</v>
      </c>
      <c r="E30" s="807"/>
      <c r="F30" s="807"/>
      <c r="G30" s="807"/>
      <c r="H30" s="807"/>
      <c r="I30" s="807"/>
      <c r="J30" s="807"/>
      <c r="K30" s="807"/>
      <c r="L30" s="807"/>
      <c r="M30" s="807"/>
    </row>
    <row r="31" spans="1:19" ht="24" customHeight="1" x14ac:dyDescent="0.25">
      <c r="B31" s="732" t="s">
        <v>156</v>
      </c>
      <c r="C31" s="545"/>
      <c r="D31" s="556"/>
      <c r="E31" s="556"/>
      <c r="F31" s="556"/>
      <c r="G31" s="556"/>
      <c r="H31" s="556"/>
      <c r="I31" s="556"/>
      <c r="J31" s="556"/>
      <c r="K31" s="556"/>
      <c r="L31" s="556"/>
      <c r="M31" s="556"/>
    </row>
    <row r="32" spans="1:19" ht="66" customHeight="1" x14ac:dyDescent="0.25">
      <c r="B32" s="770" t="s">
        <v>157</v>
      </c>
      <c r="C32" s="205"/>
      <c r="D32" s="808" t="s">
        <v>158</v>
      </c>
      <c r="E32" s="808"/>
      <c r="F32" s="808"/>
      <c r="G32" s="808"/>
      <c r="H32" s="808"/>
      <c r="I32" s="808"/>
      <c r="J32" s="808"/>
      <c r="K32" s="808"/>
      <c r="L32" s="808"/>
      <c r="M32" s="808"/>
      <c r="O32" s="377" t="s">
        <v>159</v>
      </c>
      <c r="R32" s="546">
        <f>R58</f>
        <v>3.8</v>
      </c>
    </row>
    <row r="33" spans="2:27" ht="66" customHeight="1" x14ac:dyDescent="0.25">
      <c r="B33" s="768"/>
      <c r="C33" s="205"/>
      <c r="O33" s="377" t="s">
        <v>160</v>
      </c>
      <c r="R33" s="757">
        <f>R39</f>
        <v>2.5</v>
      </c>
    </row>
    <row r="34" spans="2:27" ht="24" customHeight="1" x14ac:dyDescent="0.25">
      <c r="B34" s="769" t="s">
        <v>161</v>
      </c>
      <c r="C34" s="205"/>
      <c r="O34" s="377" t="s">
        <v>162</v>
      </c>
      <c r="R34" s="546">
        <f>R64</f>
        <v>3</v>
      </c>
    </row>
    <row r="35" spans="2:27" ht="66" customHeight="1" x14ac:dyDescent="0.25">
      <c r="B35" s="770" t="s">
        <v>163</v>
      </c>
      <c r="C35" s="205"/>
      <c r="D35" s="808" t="s">
        <v>164</v>
      </c>
      <c r="E35" s="808"/>
      <c r="F35" s="808"/>
      <c r="G35" s="808"/>
      <c r="H35" s="808"/>
      <c r="I35" s="808"/>
      <c r="J35" s="808"/>
      <c r="K35" s="808"/>
      <c r="L35" s="808"/>
      <c r="M35" s="808"/>
      <c r="O35" s="377" t="s">
        <v>165</v>
      </c>
      <c r="R35" s="546">
        <f>R52</f>
        <v>3.2</v>
      </c>
    </row>
    <row r="36" spans="2:27" ht="15" customHeight="1" x14ac:dyDescent="0.25">
      <c r="C36" s="205"/>
      <c r="O36" s="377" t="s">
        <v>166</v>
      </c>
      <c r="R36" s="546">
        <f>R46</f>
        <v>2.6</v>
      </c>
    </row>
    <row r="39" spans="2:27" ht="15" customHeight="1" x14ac:dyDescent="0.25">
      <c r="O39" s="732" t="s">
        <v>160</v>
      </c>
      <c r="P39" s="733"/>
      <c r="Q39" s="733"/>
      <c r="R39" s="734">
        <f>AVERAGE(R40:R45)</f>
        <v>2.5</v>
      </c>
    </row>
    <row r="40" spans="2:27" ht="15" customHeight="1" outlineLevel="1" x14ac:dyDescent="0.25">
      <c r="B40" s="33" t="s">
        <v>141</v>
      </c>
      <c r="D40" s="33">
        <v>2022</v>
      </c>
      <c r="E40" s="33">
        <v>2023</v>
      </c>
      <c r="F40" s="33">
        <v>2024</v>
      </c>
      <c r="G40" s="33">
        <v>2025</v>
      </c>
      <c r="H40" s="33">
        <v>2026</v>
      </c>
      <c r="I40" s="33">
        <v>2027</v>
      </c>
      <c r="J40" s="33">
        <v>2028</v>
      </c>
      <c r="K40" s="33">
        <v>2029</v>
      </c>
      <c r="O40" s="735" t="s">
        <v>167</v>
      </c>
      <c r="P40" s="733"/>
      <c r="Q40" s="733"/>
      <c r="R40" s="736">
        <v>2</v>
      </c>
      <c r="T40" s="23" t="s">
        <v>168</v>
      </c>
    </row>
    <row r="41" spans="2:27" ht="15" customHeight="1" outlineLevel="1" x14ac:dyDescent="0.25">
      <c r="B41" s="698" t="s">
        <v>169</v>
      </c>
      <c r="D41" s="23">
        <v>97000</v>
      </c>
      <c r="E41" s="23">
        <v>98240</v>
      </c>
      <c r="F41" s="23">
        <v>100150</v>
      </c>
      <c r="G41" s="23">
        <v>100300</v>
      </c>
      <c r="H41" s="23">
        <v>100730</v>
      </c>
      <c r="I41" s="23">
        <v>101830</v>
      </c>
      <c r="J41" s="23">
        <v>101890</v>
      </c>
      <c r="K41" s="23">
        <v>102620</v>
      </c>
      <c r="O41" s="735" t="s">
        <v>170</v>
      </c>
      <c r="P41" s="733"/>
      <c r="Q41" s="733"/>
      <c r="R41" s="736">
        <v>3</v>
      </c>
      <c r="T41" s="23" t="s">
        <v>171</v>
      </c>
    </row>
    <row r="42" spans="2:27" ht="15" customHeight="1" outlineLevel="1" x14ac:dyDescent="0.25">
      <c r="B42" s="698" t="s">
        <v>172</v>
      </c>
      <c r="G42" s="23">
        <f>176.02*1000</f>
        <v>176020</v>
      </c>
      <c r="H42" s="685">
        <f>G42*1.067</f>
        <v>187813.34</v>
      </c>
      <c r="I42" s="685">
        <f>H42*1.067</f>
        <v>200396.83377999999</v>
      </c>
      <c r="J42" s="685">
        <f>I42*1.067</f>
        <v>213823.42164325996</v>
      </c>
      <c r="K42" s="685">
        <f>J42*1.067</f>
        <v>228149.59089335837</v>
      </c>
      <c r="O42" s="735" t="s">
        <v>173</v>
      </c>
      <c r="P42" s="733"/>
      <c r="Q42" s="733"/>
      <c r="R42" s="736">
        <v>2</v>
      </c>
      <c r="T42" s="23" t="s">
        <v>174</v>
      </c>
    </row>
    <row r="43" spans="2:27" ht="15" customHeight="1" outlineLevel="1" x14ac:dyDescent="0.25">
      <c r="B43" s="698" t="s">
        <v>175</v>
      </c>
      <c r="G43" s="23">
        <f>151.55*1000</f>
        <v>151550</v>
      </c>
      <c r="H43" s="685">
        <f>G43*1.054</f>
        <v>159733.70000000001</v>
      </c>
      <c r="I43" s="685">
        <f>H43*1.054</f>
        <v>168359.31980000003</v>
      </c>
      <c r="J43" s="685">
        <f>I43*1.054</f>
        <v>177450.72306920003</v>
      </c>
      <c r="K43" s="685">
        <f>J43*1.054</f>
        <v>187033.06211493685</v>
      </c>
      <c r="O43" s="735" t="s">
        <v>176</v>
      </c>
      <c r="P43" s="733"/>
      <c r="Q43" s="733"/>
      <c r="R43" s="736">
        <v>2</v>
      </c>
      <c r="T43" s="23" t="s">
        <v>177</v>
      </c>
    </row>
    <row r="44" spans="2:27" ht="15" customHeight="1" outlineLevel="1" x14ac:dyDescent="0.25">
      <c r="B44" s="534" t="s">
        <v>178</v>
      </c>
      <c r="D44" s="685">
        <f>AVERAGE(D41:D43)</f>
        <v>97000</v>
      </c>
      <c r="E44" s="685">
        <f t="shared" ref="E44:K44" si="3">AVERAGE(E41:E43)</f>
        <v>98240</v>
      </c>
      <c r="F44" s="685">
        <f t="shared" si="3"/>
        <v>100150</v>
      </c>
      <c r="G44" s="685">
        <f t="shared" si="3"/>
        <v>142623.33333333334</v>
      </c>
      <c r="H44" s="685">
        <f t="shared" si="3"/>
        <v>149425.68</v>
      </c>
      <c r="I44" s="685">
        <f t="shared" si="3"/>
        <v>156862.05119333335</v>
      </c>
      <c r="J44" s="685">
        <f t="shared" si="3"/>
        <v>164388.04823748666</v>
      </c>
      <c r="K44" s="685">
        <f t="shared" si="3"/>
        <v>172600.88433609842</v>
      </c>
      <c r="M44" s="544">
        <f>(K44/G44)^(1/5)-1</f>
        <v>3.8892202943929588E-2</v>
      </c>
      <c r="O44" s="735" t="s">
        <v>179</v>
      </c>
      <c r="P44" s="733"/>
      <c r="Q44" s="733"/>
      <c r="R44" s="736">
        <v>3</v>
      </c>
      <c r="T44" s="23" t="s">
        <v>180</v>
      </c>
    </row>
    <row r="45" spans="2:27" ht="15" customHeight="1" outlineLevel="1" x14ac:dyDescent="0.25">
      <c r="O45" s="735" t="s">
        <v>181</v>
      </c>
      <c r="P45" s="733"/>
      <c r="Q45" s="733"/>
      <c r="R45" s="736">
        <v>3</v>
      </c>
      <c r="T45" s="23" t="s">
        <v>182</v>
      </c>
    </row>
    <row r="46" spans="2:27" ht="15" customHeight="1" outlineLevel="1" x14ac:dyDescent="0.25">
      <c r="O46" s="732" t="s">
        <v>166</v>
      </c>
      <c r="P46" s="733"/>
      <c r="Q46" s="733"/>
      <c r="R46" s="734">
        <f>AVERAGE(R47:R51)</f>
        <v>2.6</v>
      </c>
      <c r="T46" s="23" t="s">
        <v>183</v>
      </c>
      <c r="U46" s="23" t="s">
        <v>184</v>
      </c>
      <c r="V46" s="23" t="s">
        <v>185</v>
      </c>
      <c r="W46" s="23" t="s">
        <v>186</v>
      </c>
      <c r="X46" s="23" t="s">
        <v>187</v>
      </c>
      <c r="Y46" s="23" t="s">
        <v>188</v>
      </c>
      <c r="Z46" s="23" t="s">
        <v>189</v>
      </c>
      <c r="AA46" s="23" t="s">
        <v>190</v>
      </c>
    </row>
    <row r="47" spans="2:27" ht="15" customHeight="1" outlineLevel="1" x14ac:dyDescent="0.25">
      <c r="O47" s="735" t="s">
        <v>191</v>
      </c>
      <c r="P47" s="733"/>
      <c r="Q47" s="733"/>
      <c r="R47" s="736">
        <v>3</v>
      </c>
      <c r="T47" s="23">
        <v>16</v>
      </c>
      <c r="U47" s="23">
        <v>52</v>
      </c>
      <c r="V47" s="23">
        <v>101</v>
      </c>
      <c r="W47" s="23">
        <v>132</v>
      </c>
      <c r="X47" s="23">
        <v>150</v>
      </c>
      <c r="Y47" s="23">
        <v>164</v>
      </c>
      <c r="Z47" s="23">
        <v>245</v>
      </c>
      <c r="AA47" s="23">
        <v>372</v>
      </c>
    </row>
    <row r="48" spans="2:27" ht="15" customHeight="1" outlineLevel="1" x14ac:dyDescent="0.25">
      <c r="O48" s="735" t="s">
        <v>192</v>
      </c>
      <c r="P48" s="733"/>
      <c r="Q48" s="733"/>
      <c r="R48" s="736">
        <v>3</v>
      </c>
      <c r="T48" s="23" t="s">
        <v>193</v>
      </c>
    </row>
    <row r="49" spans="2:20" ht="15" customHeight="1" outlineLevel="1" x14ac:dyDescent="0.25">
      <c r="O49" s="735" t="s">
        <v>194</v>
      </c>
      <c r="P49" s="733"/>
      <c r="Q49" s="733"/>
      <c r="R49" s="736">
        <v>3</v>
      </c>
      <c r="T49" s="23" t="s">
        <v>195</v>
      </c>
    </row>
    <row r="50" spans="2:20" ht="15" customHeight="1" outlineLevel="1" x14ac:dyDescent="0.25">
      <c r="O50" s="735" t="s">
        <v>196</v>
      </c>
      <c r="P50" s="733"/>
      <c r="Q50" s="733"/>
      <c r="R50" s="736">
        <v>2</v>
      </c>
      <c r="T50" s="23" t="s">
        <v>197</v>
      </c>
    </row>
    <row r="51" spans="2:20" ht="15" customHeight="1" outlineLevel="1" x14ac:dyDescent="0.25">
      <c r="B51" s="33" t="s">
        <v>198</v>
      </c>
      <c r="D51" s="33">
        <v>2022</v>
      </c>
      <c r="E51" s="33">
        <v>2023</v>
      </c>
      <c r="F51" s="33">
        <v>2024</v>
      </c>
      <c r="G51" s="33">
        <v>2025</v>
      </c>
      <c r="H51" s="33">
        <v>2026</v>
      </c>
      <c r="I51" s="33">
        <v>2027</v>
      </c>
      <c r="J51" s="33">
        <v>2028</v>
      </c>
      <c r="K51" s="33">
        <v>2029</v>
      </c>
      <c r="L51" s="33">
        <v>2030</v>
      </c>
      <c r="M51" s="23" t="s">
        <v>199</v>
      </c>
      <c r="O51" s="735" t="s">
        <v>200</v>
      </c>
      <c r="P51" s="733"/>
      <c r="Q51" s="733"/>
      <c r="R51" s="736">
        <v>2</v>
      </c>
      <c r="T51" s="23" t="s">
        <v>201</v>
      </c>
    </row>
    <row r="52" spans="2:20" ht="15" customHeight="1" outlineLevel="1" x14ac:dyDescent="0.25">
      <c r="B52" s="698" t="s">
        <v>175</v>
      </c>
      <c r="D52" s="685"/>
      <c r="E52" s="685"/>
      <c r="F52" s="685"/>
      <c r="G52" s="685">
        <f>192.59*1000</f>
        <v>192590</v>
      </c>
      <c r="H52" s="685">
        <f>G52*1.0673</f>
        <v>205551.30699999997</v>
      </c>
      <c r="I52" s="685">
        <f>H52*1.0673</f>
        <v>219384.90996109994</v>
      </c>
      <c r="J52" s="685">
        <f>I52*1.0673</f>
        <v>234149.51440148195</v>
      </c>
      <c r="K52" s="685">
        <f>J52*1.0673</f>
        <v>249907.77672070166</v>
      </c>
      <c r="L52" s="685">
        <f>K52*1.0673</f>
        <v>266726.57009400486</v>
      </c>
      <c r="M52" s="685"/>
      <c r="O52" s="732" t="s">
        <v>165</v>
      </c>
      <c r="P52" s="733"/>
      <c r="Q52" s="733"/>
      <c r="R52" s="734">
        <f>AVERAGE(R53:R57)</f>
        <v>3.2</v>
      </c>
    </row>
    <row r="53" spans="2:20" ht="15" customHeight="1" outlineLevel="1" x14ac:dyDescent="0.25">
      <c r="B53" s="698" t="s">
        <v>202</v>
      </c>
      <c r="D53" s="685">
        <f>198.5*1000</f>
        <v>198500</v>
      </c>
      <c r="E53" s="685">
        <f t="shared" ref="E53:L53" si="4">D53*1.05</f>
        <v>208425</v>
      </c>
      <c r="F53" s="685">
        <f t="shared" si="4"/>
        <v>218846.25</v>
      </c>
      <c r="G53" s="685">
        <f t="shared" si="4"/>
        <v>229788.5625</v>
      </c>
      <c r="H53" s="685">
        <f t="shared" si="4"/>
        <v>241277.99062500001</v>
      </c>
      <c r="I53" s="685">
        <f t="shared" si="4"/>
        <v>253341.89015625001</v>
      </c>
      <c r="J53" s="685">
        <f t="shared" si="4"/>
        <v>266008.9846640625</v>
      </c>
      <c r="K53" s="685">
        <f t="shared" si="4"/>
        <v>279309.43389726564</v>
      </c>
      <c r="L53" s="685">
        <f t="shared" si="4"/>
        <v>293274.90559212893</v>
      </c>
      <c r="M53" s="685"/>
      <c r="O53" s="735" t="s">
        <v>203</v>
      </c>
      <c r="P53" s="733"/>
      <c r="Q53" s="733"/>
      <c r="R53" s="736">
        <v>3</v>
      </c>
      <c r="T53" s="23" t="s">
        <v>204</v>
      </c>
    </row>
    <row r="54" spans="2:20" ht="15" customHeight="1" outlineLevel="1" x14ac:dyDescent="0.25">
      <c r="B54" s="698" t="s">
        <v>205</v>
      </c>
      <c r="D54" s="685"/>
      <c r="E54" s="685"/>
      <c r="F54" s="685">
        <f>167.8*1000</f>
        <v>167800</v>
      </c>
      <c r="G54" s="685">
        <f>170.2*1000</f>
        <v>170200</v>
      </c>
      <c r="H54" s="685">
        <f>G54*1.059</f>
        <v>180241.8</v>
      </c>
      <c r="I54" s="685">
        <f>H54*1.059</f>
        <v>190876.06619999997</v>
      </c>
      <c r="J54" s="685">
        <f>I54*1.059</f>
        <v>202137.75410579995</v>
      </c>
      <c r="K54" s="685">
        <f>J54*1.059</f>
        <v>214063.88159804212</v>
      </c>
      <c r="L54" s="685">
        <f>K54*1.059</f>
        <v>226693.6506123266</v>
      </c>
      <c r="M54" s="685"/>
      <c r="O54" s="735" t="s">
        <v>206</v>
      </c>
      <c r="P54" s="733"/>
      <c r="Q54" s="733"/>
      <c r="R54" s="736">
        <v>3</v>
      </c>
      <c r="T54" s="23" t="s">
        <v>207</v>
      </c>
    </row>
    <row r="55" spans="2:20" ht="15" customHeight="1" outlineLevel="1" x14ac:dyDescent="0.25">
      <c r="B55" s="698" t="s">
        <v>208</v>
      </c>
      <c r="F55" s="685">
        <f>202.79*1000</f>
        <v>202790</v>
      </c>
      <c r="G55" s="685">
        <f t="shared" ref="G55:L55" si="5">F55*1.0448</f>
        <v>211874.992</v>
      </c>
      <c r="H55" s="685">
        <f t="shared" si="5"/>
        <v>221366.99164159998</v>
      </c>
      <c r="I55" s="685">
        <f t="shared" si="5"/>
        <v>231284.23286714364</v>
      </c>
      <c r="J55" s="685">
        <f t="shared" si="5"/>
        <v>241645.76649959167</v>
      </c>
      <c r="K55" s="685">
        <f t="shared" si="5"/>
        <v>252471.49683877337</v>
      </c>
      <c r="L55" s="685">
        <f t="shared" si="5"/>
        <v>263782.21989715041</v>
      </c>
      <c r="M55" s="685"/>
      <c r="O55" s="735" t="s">
        <v>181</v>
      </c>
      <c r="P55" s="733"/>
      <c r="Q55" s="733"/>
      <c r="R55" s="736">
        <v>2</v>
      </c>
      <c r="T55" s="23" t="s">
        <v>209</v>
      </c>
    </row>
    <row r="56" spans="2:20" ht="15" customHeight="1" outlineLevel="1" x14ac:dyDescent="0.25">
      <c r="B56" s="534" t="s">
        <v>178</v>
      </c>
      <c r="D56" s="685">
        <f>AVERAGE(D52:D55)</f>
        <v>198500</v>
      </c>
      <c r="E56" s="685">
        <f t="shared" ref="E56:L56" si="6">AVERAGE(E52:E55)</f>
        <v>208425</v>
      </c>
      <c r="F56" s="685">
        <f t="shared" si="6"/>
        <v>196478.75</v>
      </c>
      <c r="G56" s="685">
        <f t="shared" si="6"/>
        <v>201113.38862499999</v>
      </c>
      <c r="H56" s="685">
        <f t="shared" si="6"/>
        <v>212109.52231664996</v>
      </c>
      <c r="I56" s="685">
        <f t="shared" si="6"/>
        <v>223721.77479612338</v>
      </c>
      <c r="J56" s="685">
        <f t="shared" si="6"/>
        <v>235985.50491773401</v>
      </c>
      <c r="K56" s="685">
        <f t="shared" si="6"/>
        <v>248938.14726369569</v>
      </c>
      <c r="L56" s="685">
        <f t="shared" si="6"/>
        <v>262619.33654890268</v>
      </c>
      <c r="M56" s="544">
        <f>(K56/G56)^(1/5)-1</f>
        <v>4.3590444451278465E-2</v>
      </c>
      <c r="O56" s="735" t="s">
        <v>210</v>
      </c>
      <c r="P56" s="733"/>
      <c r="Q56" s="733"/>
      <c r="R56" s="736">
        <v>4</v>
      </c>
      <c r="T56" s="23" t="s">
        <v>211</v>
      </c>
    </row>
    <row r="57" spans="2:20" ht="15" customHeight="1" outlineLevel="1" x14ac:dyDescent="0.25">
      <c r="O57" s="735" t="s">
        <v>212</v>
      </c>
      <c r="P57" s="733"/>
      <c r="Q57" s="733"/>
      <c r="R57" s="736">
        <v>4</v>
      </c>
      <c r="T57" s="23" t="s">
        <v>213</v>
      </c>
    </row>
    <row r="58" spans="2:20" ht="15" customHeight="1" outlineLevel="1" x14ac:dyDescent="0.25">
      <c r="O58" s="732" t="s">
        <v>214</v>
      </c>
      <c r="P58" s="733"/>
      <c r="Q58" s="733"/>
      <c r="R58" s="762">
        <f>AVERAGE(R59:R63)</f>
        <v>3.8</v>
      </c>
    </row>
    <row r="59" spans="2:20" ht="15" customHeight="1" outlineLevel="1" x14ac:dyDescent="0.25">
      <c r="O59" s="735" t="s">
        <v>215</v>
      </c>
      <c r="P59" s="733"/>
      <c r="Q59" s="733"/>
      <c r="R59" s="736">
        <v>3</v>
      </c>
      <c r="T59" s="23" t="s">
        <v>216</v>
      </c>
    </row>
    <row r="60" spans="2:20" ht="15" customHeight="1" outlineLevel="1" x14ac:dyDescent="0.25">
      <c r="O60" s="735" t="s">
        <v>217</v>
      </c>
      <c r="P60" s="733"/>
      <c r="Q60" s="733"/>
      <c r="R60" s="736">
        <v>4</v>
      </c>
      <c r="T60" s="23" t="s">
        <v>218</v>
      </c>
    </row>
    <row r="61" spans="2:20" ht="15" customHeight="1" outlineLevel="1" x14ac:dyDescent="0.25">
      <c r="O61" s="735" t="s">
        <v>219</v>
      </c>
      <c r="P61" s="733"/>
      <c r="Q61" s="733"/>
      <c r="R61" s="736">
        <v>4</v>
      </c>
      <c r="T61" s="23" t="s">
        <v>220</v>
      </c>
    </row>
    <row r="62" spans="2:20" ht="15" customHeight="1" outlineLevel="1" x14ac:dyDescent="0.25">
      <c r="O62" s="735" t="s">
        <v>221</v>
      </c>
      <c r="P62" s="733"/>
      <c r="Q62" s="733"/>
      <c r="R62" s="736">
        <v>4</v>
      </c>
      <c r="T62" s="23" t="s">
        <v>222</v>
      </c>
    </row>
    <row r="63" spans="2:20" ht="15" customHeight="1" outlineLevel="1" x14ac:dyDescent="0.25">
      <c r="B63" s="23" t="s">
        <v>223</v>
      </c>
      <c r="O63" s="735" t="s">
        <v>224</v>
      </c>
      <c r="P63" s="733"/>
      <c r="Q63" s="733"/>
      <c r="R63" s="736">
        <v>4</v>
      </c>
      <c r="T63" s="23" t="s">
        <v>225</v>
      </c>
    </row>
    <row r="64" spans="2:20" ht="15" customHeight="1" outlineLevel="1" x14ac:dyDescent="0.25">
      <c r="B64" s="23" t="s">
        <v>226</v>
      </c>
      <c r="O64" s="732" t="s">
        <v>162</v>
      </c>
      <c r="P64" s="733"/>
      <c r="Q64" s="733"/>
      <c r="R64" s="734">
        <f>AVERAGE(R65:R68)</f>
        <v>3</v>
      </c>
    </row>
    <row r="65" spans="2:20" ht="15" customHeight="1" outlineLevel="1" x14ac:dyDescent="0.25">
      <c r="O65" s="735" t="s">
        <v>227</v>
      </c>
      <c r="P65" s="733"/>
      <c r="Q65" s="733"/>
      <c r="R65" s="736"/>
      <c r="T65" s="23" t="s">
        <v>228</v>
      </c>
    </row>
    <row r="66" spans="2:20" ht="15" customHeight="1" outlineLevel="1" x14ac:dyDescent="0.25">
      <c r="B66" s="23" t="s">
        <v>229</v>
      </c>
      <c r="O66" s="735" t="s">
        <v>230</v>
      </c>
      <c r="P66" s="733"/>
      <c r="Q66" s="733"/>
      <c r="R66" s="736">
        <v>1</v>
      </c>
      <c r="T66" s="23" t="s">
        <v>231</v>
      </c>
    </row>
    <row r="67" spans="2:20" ht="15" customHeight="1" outlineLevel="1" x14ac:dyDescent="0.25">
      <c r="O67" s="735" t="s">
        <v>232</v>
      </c>
      <c r="P67" s="733"/>
      <c r="Q67" s="733"/>
      <c r="R67" s="736">
        <v>4</v>
      </c>
      <c r="T67" s="23" t="s">
        <v>220</v>
      </c>
    </row>
    <row r="68" spans="2:20" ht="15" customHeight="1" outlineLevel="1" x14ac:dyDescent="0.25">
      <c r="O68" s="735" t="s">
        <v>233</v>
      </c>
      <c r="P68" s="733"/>
      <c r="Q68" s="733"/>
      <c r="R68" s="736">
        <v>4</v>
      </c>
      <c r="T68" s="23" t="s">
        <v>220</v>
      </c>
    </row>
    <row r="69" spans="2:20" ht="15" customHeight="1" outlineLevel="1" x14ac:dyDescent="0.25">
      <c r="B69" s="23" t="s">
        <v>234</v>
      </c>
    </row>
    <row r="70" spans="2:20" ht="15" customHeight="1" outlineLevel="1" x14ac:dyDescent="0.25"/>
    <row r="71" spans="2:20" ht="15" customHeight="1" outlineLevel="1" x14ac:dyDescent="0.25"/>
    <row r="72" spans="2:20" ht="15" customHeight="1" outlineLevel="1" x14ac:dyDescent="0.25"/>
    <row r="73" spans="2:20" ht="15" customHeight="1" outlineLevel="1" x14ac:dyDescent="0.25">
      <c r="B73" s="547" t="s">
        <v>235</v>
      </c>
      <c r="C73" s="545"/>
      <c r="D73" s="809" t="s">
        <v>236</v>
      </c>
      <c r="E73" s="809"/>
      <c r="F73" s="809"/>
      <c r="G73" s="809"/>
      <c r="H73" s="809"/>
      <c r="I73" s="809"/>
      <c r="J73" s="809"/>
      <c r="K73" s="809"/>
      <c r="L73" s="809"/>
      <c r="M73" s="809"/>
    </row>
    <row r="74" spans="2:20" ht="15" customHeight="1" outlineLevel="1" x14ac:dyDescent="0.25">
      <c r="B74" s="547" t="s">
        <v>237</v>
      </c>
      <c r="C74" s="545"/>
      <c r="D74" s="809" t="s">
        <v>238</v>
      </c>
      <c r="E74" s="809"/>
      <c r="F74" s="809"/>
      <c r="G74" s="809"/>
      <c r="H74" s="809"/>
      <c r="I74" s="809"/>
      <c r="J74" s="809"/>
      <c r="K74" s="809"/>
      <c r="L74" s="809"/>
      <c r="M74" s="809"/>
    </row>
  </sheetData>
  <mergeCells count="7">
    <mergeCell ref="D28:M28"/>
    <mergeCell ref="D32:M32"/>
    <mergeCell ref="D35:M35"/>
    <mergeCell ref="D73:M73"/>
    <mergeCell ref="D74:M74"/>
    <mergeCell ref="D29:M29"/>
    <mergeCell ref="D30:M30"/>
  </mergeCells>
  <hyperlinks>
    <hyperlink ref="B16" r:id="rId1" xr:uid="{5BEB6568-0BF7-45F3-991C-E0B45CFB7F49}"/>
    <hyperlink ref="B52" r:id="rId2" xr:uid="{C07A14A3-E816-4CE1-A7C2-F6795D702D20}"/>
    <hyperlink ref="B53" r:id="rId3" xr:uid="{750AE98E-6869-4D27-BFFB-374DEC4F4DAD}"/>
    <hyperlink ref="B54" r:id="rId4" xr:uid="{78315EA1-28B1-4F6D-A23B-4FA50275A346}"/>
    <hyperlink ref="B55" r:id="rId5" xr:uid="{25D14005-264E-43F7-B3D9-692587EE58E0}"/>
    <hyperlink ref="B41" r:id="rId6" location="global-comparison" xr:uid="{82BC49EE-E7C4-46B0-BD49-9B1FD876C32C}"/>
    <hyperlink ref="B42" r:id="rId7" xr:uid="{6BB74543-ED36-489B-859C-E72E40B42A4F}"/>
    <hyperlink ref="B43" r:id="rId8" xr:uid="{E6F3FE5B-F860-44C8-B777-594A32D92014}"/>
  </hyperlinks>
  <pageMargins left="0.7" right="0.7" top="0.75" bottom="0.75" header="0.3" footer="0.3"/>
  <pageSetup paperSize="9" orientation="portrait" r:id="rId9"/>
  <drawing r:id="rId10"/>
  <legacyDrawing r:id="rId11"/>
  <extLst>
    <ext xmlns:x14="http://schemas.microsoft.com/office/spreadsheetml/2009/9/main" uri="{05C60535-1F16-4fd2-B633-F4F36F0B64E0}">
      <x14:sparklineGroups xmlns:xm="http://schemas.microsoft.com/office/excel/2006/main">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Industry!D20:K20</xm:f>
              <xm:sqref>L20</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120"/>
  <sheetViews>
    <sheetView showGridLines="0" topLeftCell="A59" zoomScale="73" zoomScaleNormal="70" workbookViewId="0">
      <selection activeCell="H46" sqref="H46:AX46"/>
    </sheetView>
  </sheetViews>
  <sheetFormatPr defaultColWidth="9" defaultRowHeight="15" customHeight="1" outlineLevelCol="1" x14ac:dyDescent="0.25"/>
  <cols>
    <col min="1" max="1" width="2.09765625" style="97" customWidth="1"/>
    <col min="2" max="2" width="45.59765625" style="97" bestFit="1" customWidth="1"/>
    <col min="3" max="3" width="8" style="23" hidden="1" customWidth="1"/>
    <col min="4" max="5" width="9.59765625" style="97" hidden="1" customWidth="1" outlineLevel="1"/>
    <col min="6" max="7" width="6.59765625" style="97" hidden="1" customWidth="1" outlineLevel="1"/>
    <col min="8" max="8" width="11.59765625" style="97" customWidth="1" collapsed="1"/>
    <col min="9" max="9" width="8.09765625" style="23" hidden="1" customWidth="1"/>
    <col min="10" max="11" width="9.59765625" style="97" hidden="1" customWidth="1" outlineLevel="1"/>
    <col min="12" max="12" width="2.09765625" style="97" hidden="1" customWidth="1" outlineLevel="1"/>
    <col min="13" max="13" width="3" style="97" hidden="1" customWidth="1" outlineLevel="1"/>
    <col min="14" max="14" width="11.59765625" style="97" customWidth="1" collapsed="1"/>
    <col min="15" max="15" width="5.5" style="23" hidden="1" customWidth="1"/>
    <col min="16" max="19" width="9.59765625" style="97" hidden="1" customWidth="1" outlineLevel="1"/>
    <col min="20" max="20" width="11.59765625" style="97" customWidth="1" collapsed="1"/>
    <col min="21" max="21" width="12" style="23" hidden="1" customWidth="1"/>
    <col min="22" max="25" width="9.59765625" style="97" hidden="1" customWidth="1" outlineLevel="1"/>
    <col min="26" max="26" width="11.59765625" style="97" customWidth="1" collapsed="1"/>
    <col min="27" max="27" width="9.59765625" style="23" hidden="1" customWidth="1"/>
    <col min="28" max="31" width="9.59765625" style="97" hidden="1" customWidth="1" outlineLevel="1"/>
    <col min="32" max="32" width="11.59765625" style="97" customWidth="1" collapsed="1"/>
    <col min="33" max="33" width="12.5" style="23" hidden="1" customWidth="1"/>
    <col min="34" max="36" width="9.59765625" style="97" hidden="1" customWidth="1" outlineLevel="1"/>
    <col min="37" max="37" width="2.5" style="97" hidden="1" customWidth="1" outlineLevel="1"/>
    <col min="38" max="38" width="8.3984375" style="97" customWidth="1" collapsed="1"/>
    <col min="39" max="39" width="9.09765625" style="23" hidden="1" customWidth="1"/>
    <col min="40" max="42" width="9.59765625" style="97" hidden="1" customWidth="1" outlineLevel="1"/>
    <col min="43" max="43" width="9" style="97" hidden="1" customWidth="1" outlineLevel="1"/>
    <col min="44" max="44" width="11.59765625" style="97" customWidth="1" collapsed="1"/>
    <col min="45" max="45" width="8.59765625" style="23" hidden="1" customWidth="1"/>
    <col min="46" max="46" width="11.59765625" style="97" customWidth="1"/>
    <col min="47" max="47" width="11.09765625" style="23" hidden="1" customWidth="1"/>
    <col min="48" max="48" width="11.59765625" style="105" customWidth="1"/>
    <col min="49" max="49" width="10.09765625" style="23" hidden="1" customWidth="1"/>
    <col min="50" max="50" width="11.59765625" style="97" customWidth="1"/>
    <col min="51" max="51" width="12" style="97" hidden="1" customWidth="1"/>
    <col min="52" max="52" width="19" style="97" bestFit="1" customWidth="1"/>
    <col min="53" max="16384" width="9" style="97"/>
  </cols>
  <sheetData>
    <row r="1" spans="1:59" s="581" customFormat="1" ht="15" customHeight="1" x14ac:dyDescent="0.25"/>
    <row r="2" spans="1:59" s="581" customFormat="1" ht="15" customHeight="1" x14ac:dyDescent="0.25"/>
    <row r="3" spans="1:59" s="581" customFormat="1" ht="15" customHeight="1" x14ac:dyDescent="0.25"/>
    <row r="4" spans="1:59" s="581" customFormat="1" ht="15" customHeight="1" x14ac:dyDescent="0.25"/>
    <row r="5" spans="1:59" s="288" customFormat="1" ht="4.3499999999999996" customHeight="1" x14ac:dyDescent="0.25">
      <c r="C5" s="36"/>
      <c r="I5" s="36"/>
      <c r="O5" s="36"/>
      <c r="U5" s="36"/>
      <c r="AA5" s="36"/>
      <c r="AG5" s="36"/>
      <c r="AM5" s="36"/>
      <c r="AS5" s="36"/>
      <c r="AU5" s="36"/>
      <c r="AV5" s="289"/>
      <c r="AW5" s="36"/>
    </row>
    <row r="7" spans="1:59" s="41" customFormat="1" ht="15" customHeight="1" x14ac:dyDescent="0.3">
      <c r="B7" s="164" t="s">
        <v>35</v>
      </c>
      <c r="C7" s="18"/>
      <c r="D7" s="813">
        <v>2020</v>
      </c>
      <c r="E7" s="813"/>
      <c r="F7" s="813"/>
      <c r="G7" s="813"/>
      <c r="H7" s="813"/>
      <c r="I7" s="169"/>
      <c r="J7" s="813">
        <f>D7+1</f>
        <v>2021</v>
      </c>
      <c r="K7" s="813"/>
      <c r="L7" s="813"/>
      <c r="M7" s="813"/>
      <c r="N7" s="813"/>
      <c r="O7" s="169"/>
      <c r="P7" s="813">
        <f>J7+1</f>
        <v>2022</v>
      </c>
      <c r="Q7" s="813"/>
      <c r="R7" s="813"/>
      <c r="S7" s="813"/>
      <c r="T7" s="813"/>
      <c r="U7" s="169"/>
      <c r="V7" s="813">
        <f>P7+1</f>
        <v>2023</v>
      </c>
      <c r="W7" s="813"/>
      <c r="X7" s="813"/>
      <c r="Y7" s="813"/>
      <c r="Z7" s="813"/>
      <c r="AA7" s="169"/>
      <c r="AB7" s="813">
        <f>V7+1</f>
        <v>2024</v>
      </c>
      <c r="AC7" s="813"/>
      <c r="AD7" s="813"/>
      <c r="AE7" s="813"/>
      <c r="AF7" s="813"/>
      <c r="AG7" s="169"/>
      <c r="AH7" s="812">
        <f>AB7+1</f>
        <v>2025</v>
      </c>
      <c r="AI7" s="812"/>
      <c r="AJ7" s="812"/>
      <c r="AK7" s="812"/>
      <c r="AL7" s="812"/>
      <c r="AM7" s="169"/>
      <c r="AN7" s="812">
        <f>AH7+1</f>
        <v>2026</v>
      </c>
      <c r="AO7" s="812"/>
      <c r="AP7" s="812"/>
      <c r="AQ7" s="812"/>
      <c r="AR7" s="812"/>
      <c r="AS7" s="171"/>
      <c r="AT7" s="166">
        <f>AN7+1</f>
        <v>2027</v>
      </c>
      <c r="AU7" s="167"/>
      <c r="AV7" s="166">
        <f>+AT7+1</f>
        <v>2028</v>
      </c>
      <c r="AW7" s="167"/>
      <c r="AX7" s="166">
        <f>+AV7+1</f>
        <v>2029</v>
      </c>
      <c r="AY7" s="554"/>
      <c r="AZ7" s="164"/>
      <c r="BA7" s="164"/>
      <c r="BB7" s="164"/>
      <c r="BC7" s="164"/>
      <c r="BD7" s="164"/>
      <c r="BE7" s="164"/>
      <c r="BF7" s="164"/>
      <c r="BG7" s="164"/>
    </row>
    <row r="8" spans="1:59" s="41" customFormat="1" ht="15" customHeight="1" x14ac:dyDescent="0.3">
      <c r="B8" s="164"/>
      <c r="C8" s="18"/>
      <c r="D8" s="168" t="s">
        <v>36</v>
      </c>
      <c r="E8" s="168" t="s">
        <v>37</v>
      </c>
      <c r="F8" s="168" t="s">
        <v>38</v>
      </c>
      <c r="G8" s="168" t="s">
        <v>39</v>
      </c>
      <c r="H8" s="168" t="s">
        <v>40</v>
      </c>
      <c r="I8" s="18" t="s">
        <v>41</v>
      </c>
      <c r="J8" s="168" t="s">
        <v>36</v>
      </c>
      <c r="K8" s="168" t="s">
        <v>37</v>
      </c>
      <c r="L8" s="168" t="s">
        <v>38</v>
      </c>
      <c r="M8" s="168" t="s">
        <v>39</v>
      </c>
      <c r="N8" s="168" t="s">
        <v>40</v>
      </c>
      <c r="O8" s="165"/>
      <c r="P8" s="168" t="s">
        <v>36</v>
      </c>
      <c r="Q8" s="168" t="s">
        <v>37</v>
      </c>
      <c r="R8" s="168" t="s">
        <v>38</v>
      </c>
      <c r="S8" s="168" t="s">
        <v>39</v>
      </c>
      <c r="T8" s="168" t="s">
        <v>40</v>
      </c>
      <c r="U8" s="165"/>
      <c r="V8" s="168" t="s">
        <v>36</v>
      </c>
      <c r="W8" s="168" t="s">
        <v>37</v>
      </c>
      <c r="X8" s="168" t="s">
        <v>38</v>
      </c>
      <c r="Y8" s="168" t="s">
        <v>39</v>
      </c>
      <c r="Z8" s="168" t="s">
        <v>40</v>
      </c>
      <c r="AA8" s="165"/>
      <c r="AB8" s="168" t="s">
        <v>36</v>
      </c>
      <c r="AC8" s="168" t="s">
        <v>37</v>
      </c>
      <c r="AD8" s="168" t="s">
        <v>38</v>
      </c>
      <c r="AE8" s="168" t="s">
        <v>39</v>
      </c>
      <c r="AF8" s="168" t="s">
        <v>40</v>
      </c>
      <c r="AG8" s="165"/>
      <c r="AH8" s="168" t="s">
        <v>36</v>
      </c>
      <c r="AI8" s="168" t="s">
        <v>37</v>
      </c>
      <c r="AJ8" s="168" t="s">
        <v>38</v>
      </c>
      <c r="AK8" s="168" t="s">
        <v>39</v>
      </c>
      <c r="AL8" s="168" t="s">
        <v>40</v>
      </c>
      <c r="AM8" s="165" t="s">
        <v>42</v>
      </c>
      <c r="AN8" s="168" t="s">
        <v>36</v>
      </c>
      <c r="AO8" s="168" t="s">
        <v>37</v>
      </c>
      <c r="AP8" s="168" t="s">
        <v>38</v>
      </c>
      <c r="AQ8" s="168" t="s">
        <v>42</v>
      </c>
      <c r="AR8" s="168" t="s">
        <v>40</v>
      </c>
      <c r="AS8" s="165" t="s">
        <v>42</v>
      </c>
      <c r="AT8" s="168" t="s">
        <v>40</v>
      </c>
      <c r="AU8" s="165"/>
      <c r="AV8" s="168" t="s">
        <v>40</v>
      </c>
      <c r="AW8" s="165"/>
      <c r="AX8" s="168" t="s">
        <v>40</v>
      </c>
      <c r="AY8" s="555"/>
      <c r="AZ8" s="164"/>
      <c r="BA8" s="164"/>
      <c r="BB8" s="164"/>
      <c r="BC8" s="164"/>
      <c r="BD8" s="164"/>
      <c r="BE8" s="164"/>
      <c r="BF8" s="164"/>
      <c r="BG8" s="164"/>
    </row>
    <row r="9" spans="1:59" s="41" customFormat="1" ht="4.3499999999999996" customHeight="1" x14ac:dyDescent="0.3">
      <c r="A9" s="43"/>
      <c r="B9" s="176"/>
      <c r="C9" s="35"/>
      <c r="D9" s="177"/>
      <c r="E9" s="177"/>
      <c r="F9" s="177"/>
      <c r="G9" s="177"/>
      <c r="H9" s="177"/>
      <c r="I9" s="35"/>
      <c r="J9" s="177"/>
      <c r="K9" s="177"/>
      <c r="L9" s="177"/>
      <c r="M9" s="177"/>
      <c r="N9" s="177"/>
      <c r="O9" s="178"/>
      <c r="P9" s="177"/>
      <c r="Q9" s="177"/>
      <c r="R9" s="177"/>
      <c r="S9" s="177"/>
      <c r="T9" s="177"/>
      <c r="U9" s="178"/>
      <c r="V9" s="177"/>
      <c r="W9" s="177"/>
      <c r="X9" s="177"/>
      <c r="Y9" s="177"/>
      <c r="Z9" s="177"/>
      <c r="AA9" s="178"/>
      <c r="AB9" s="177"/>
      <c r="AC9" s="177"/>
      <c r="AD9" s="177"/>
      <c r="AE9" s="177"/>
      <c r="AF9" s="177"/>
      <c r="AG9" s="178"/>
      <c r="AH9" s="177"/>
      <c r="AI9" s="177"/>
      <c r="AJ9" s="177"/>
      <c r="AK9" s="177"/>
      <c r="AL9" s="179"/>
      <c r="AM9" s="180"/>
      <c r="AN9" s="179"/>
      <c r="AO9" s="179"/>
      <c r="AP9" s="179"/>
      <c r="AQ9" s="179"/>
      <c r="AR9" s="179"/>
      <c r="AS9" s="180"/>
      <c r="AT9" s="179"/>
      <c r="AU9" s="180"/>
      <c r="AV9" s="179"/>
      <c r="AW9" s="180"/>
      <c r="AX9" s="179"/>
      <c r="AY9" s="34"/>
      <c r="AZ9" s="176"/>
      <c r="BA9" s="176"/>
      <c r="BB9" s="176"/>
      <c r="BC9" s="176"/>
      <c r="BD9" s="176"/>
      <c r="BE9" s="176"/>
      <c r="BF9" s="176"/>
      <c r="BG9" s="176"/>
    </row>
    <row r="10" spans="1:59" s="41" customFormat="1" ht="4.3499999999999996" customHeight="1" x14ac:dyDescent="0.3">
      <c r="A10" s="43"/>
      <c r="B10" s="172"/>
      <c r="C10" s="19"/>
      <c r="D10" s="173"/>
      <c r="E10" s="173"/>
      <c r="F10" s="173"/>
      <c r="G10" s="173"/>
      <c r="H10" s="173"/>
      <c r="I10" s="19"/>
      <c r="J10" s="173"/>
      <c r="K10" s="173"/>
      <c r="L10" s="173"/>
      <c r="M10" s="173"/>
      <c r="N10" s="173"/>
      <c r="O10" s="174"/>
      <c r="P10" s="173"/>
      <c r="Q10" s="173"/>
      <c r="R10" s="173"/>
      <c r="S10" s="173"/>
      <c r="T10" s="173"/>
      <c r="U10" s="174"/>
      <c r="V10" s="173"/>
      <c r="W10" s="173"/>
      <c r="X10" s="173"/>
      <c r="Y10" s="173"/>
      <c r="Z10" s="173"/>
      <c r="AA10" s="174"/>
      <c r="AB10" s="173"/>
      <c r="AC10" s="173"/>
      <c r="AD10" s="173"/>
      <c r="AE10" s="173"/>
      <c r="AF10" s="173"/>
      <c r="AG10" s="204"/>
      <c r="AH10" s="173"/>
      <c r="AI10" s="173"/>
      <c r="AJ10" s="173"/>
      <c r="AK10" s="173"/>
      <c r="AL10" s="175"/>
      <c r="AM10" s="34"/>
      <c r="AN10" s="175"/>
      <c r="AO10" s="175"/>
      <c r="AP10" s="175"/>
      <c r="AQ10" s="175"/>
      <c r="AR10" s="175"/>
      <c r="AS10" s="34"/>
      <c r="AT10" s="175"/>
      <c r="AU10" s="34"/>
      <c r="AV10" s="175"/>
      <c r="AW10" s="34"/>
      <c r="AX10" s="175"/>
    </row>
    <row r="11" spans="1:59" s="54" customFormat="1" ht="15" customHeight="1" x14ac:dyDescent="0.25">
      <c r="B11" s="45" t="s">
        <v>43</v>
      </c>
      <c r="C11" s="23"/>
      <c r="D11" s="66"/>
      <c r="E11" s="66"/>
      <c r="F11" s="66"/>
      <c r="G11" s="66"/>
      <c r="H11" s="47"/>
      <c r="I11" s="48"/>
      <c r="J11" s="66"/>
      <c r="K11" s="66"/>
      <c r="L11" s="66"/>
      <c r="M11" s="66"/>
      <c r="N11" s="47"/>
      <c r="O11" s="47"/>
      <c r="P11" s="66"/>
      <c r="Q11" s="66"/>
      <c r="R11" s="66"/>
      <c r="S11" s="66"/>
      <c r="T11" s="47"/>
      <c r="U11" s="47"/>
      <c r="V11" s="66"/>
      <c r="W11" s="66"/>
      <c r="X11" s="66"/>
      <c r="Y11" s="66"/>
      <c r="Z11" s="47"/>
      <c r="AA11" s="47"/>
      <c r="AB11" s="66"/>
      <c r="AC11" s="66"/>
      <c r="AD11" s="66"/>
      <c r="AE11" s="66"/>
      <c r="AF11" s="47"/>
      <c r="AG11" s="49"/>
      <c r="AH11" s="66"/>
      <c r="AI11" s="66"/>
      <c r="AJ11" s="68"/>
      <c r="AK11" s="68"/>
      <c r="AL11" s="693"/>
      <c r="AM11" s="696"/>
      <c r="AN11" s="697"/>
      <c r="AO11" s="697"/>
      <c r="AP11" s="697"/>
      <c r="AQ11" s="697"/>
      <c r="AR11" s="693"/>
      <c r="AS11" s="696"/>
      <c r="AT11" s="693"/>
      <c r="AU11" s="696"/>
      <c r="AV11" s="693"/>
      <c r="AW11" s="696"/>
      <c r="AX11" s="693"/>
      <c r="AZ11" s="54" t="s">
        <v>44</v>
      </c>
    </row>
    <row r="12" spans="1:59" s="54" customFormat="1" ht="15" customHeight="1" x14ac:dyDescent="0.25">
      <c r="A12" s="55"/>
      <c r="B12" s="707" t="s">
        <v>45</v>
      </c>
      <c r="C12" s="708"/>
      <c r="D12" s="709"/>
      <c r="E12" s="709"/>
      <c r="F12" s="709"/>
      <c r="G12" s="709"/>
      <c r="H12" s="710">
        <v>12962</v>
      </c>
      <c r="I12" s="738">
        <f>H12/H$17</f>
        <v>0.36471581316826113</v>
      </c>
      <c r="J12" s="709"/>
      <c r="K12" s="709"/>
      <c r="L12" s="709"/>
      <c r="M12" s="709"/>
      <c r="N12" s="710">
        <v>16509</v>
      </c>
      <c r="O12" s="738">
        <f t="shared" ref="O12:O16" si="0">N12/N$17</f>
        <v>0.375</v>
      </c>
      <c r="P12" s="709"/>
      <c r="Q12" s="709"/>
      <c r="R12" s="709"/>
      <c r="S12" s="709"/>
      <c r="T12" s="710">
        <v>22002</v>
      </c>
      <c r="U12" s="738">
        <f t="shared" ref="U12:U16" si="1">T12/T$17</f>
        <v>0.41847195541776822</v>
      </c>
      <c r="V12" s="709"/>
      <c r="W12" s="709"/>
      <c r="X12" s="709"/>
      <c r="Y12" s="709"/>
      <c r="Z12" s="710">
        <v>26790</v>
      </c>
      <c r="AA12" s="738">
        <f t="shared" ref="AA12:AA16" si="2">Z12/Z$17</f>
        <v>0.437380614194054</v>
      </c>
      <c r="AB12" s="709"/>
      <c r="AC12" s="709"/>
      <c r="AD12" s="709"/>
      <c r="AE12" s="709"/>
      <c r="AF12" s="710">
        <v>20834</v>
      </c>
      <c r="AG12" s="738">
        <f t="shared" ref="AG12:AG16" si="3">AF12/AF$17</f>
        <v>0.40285404903704852</v>
      </c>
      <c r="AH12" s="709"/>
      <c r="AI12" s="709"/>
      <c r="AJ12" s="711"/>
      <c r="AK12" s="711"/>
      <c r="AL12" s="710">
        <v>17210.740000000002</v>
      </c>
      <c r="AM12" s="738">
        <f t="shared" ref="AM12:AM16" si="4">AL12/AL$17</f>
        <v>0.3813262315022633</v>
      </c>
      <c r="AN12" s="711"/>
      <c r="AO12" s="711"/>
      <c r="AP12" s="711"/>
      <c r="AQ12" s="711"/>
      <c r="AR12" s="710">
        <v>18108</v>
      </c>
      <c r="AS12" s="738">
        <f t="shared" ref="AS12:AS16" si="5">AR12/AR$17</f>
        <v>0.37793871457007178</v>
      </c>
      <c r="AT12" s="712">
        <v>20688.61</v>
      </c>
      <c r="AU12" s="738">
        <f t="shared" ref="AU12:AU16" si="6">AT12/AT$17</f>
        <v>0.38970224107971163</v>
      </c>
      <c r="AV12" s="712">
        <v>24245.9</v>
      </c>
      <c r="AW12" s="738">
        <f t="shared" ref="AW12:AW16" si="7">AV12/AV$17</f>
        <v>0.40260079258518067</v>
      </c>
      <c r="AX12" s="758">
        <f>AV12*1.039</f>
        <v>25191.490099999999</v>
      </c>
      <c r="AY12" s="738">
        <f t="shared" ref="AY12:AY16" si="8">AX12/AX$17</f>
        <v>0.39939592043451866</v>
      </c>
      <c r="AZ12" s="54" t="s">
        <v>46</v>
      </c>
    </row>
    <row r="13" spans="1:59" s="54" customFormat="1" ht="15" customHeight="1" x14ac:dyDescent="0.25">
      <c r="A13" s="55"/>
      <c r="B13" s="707" t="s">
        <v>47</v>
      </c>
      <c r="C13" s="708"/>
      <c r="D13" s="709"/>
      <c r="E13" s="709"/>
      <c r="F13" s="709"/>
      <c r="G13" s="709"/>
      <c r="H13" s="710">
        <v>9363</v>
      </c>
      <c r="I13" s="738">
        <f t="shared" ref="I13:I16" si="9">H13/H$17</f>
        <v>0.26344963421496903</v>
      </c>
      <c r="J13" s="709"/>
      <c r="K13" s="709"/>
      <c r="L13" s="709"/>
      <c r="M13" s="709"/>
      <c r="N13" s="710">
        <v>11860</v>
      </c>
      <c r="O13" s="738">
        <f t="shared" si="0"/>
        <v>0.26939850990368891</v>
      </c>
      <c r="P13" s="709"/>
      <c r="Q13" s="709"/>
      <c r="R13" s="709"/>
      <c r="S13" s="709"/>
      <c r="T13" s="710">
        <v>13381</v>
      </c>
      <c r="U13" s="738">
        <f t="shared" si="1"/>
        <v>0.25450291952755005</v>
      </c>
      <c r="V13" s="709"/>
      <c r="W13" s="709"/>
      <c r="X13" s="709"/>
      <c r="Y13" s="709"/>
      <c r="Z13" s="710">
        <v>13980</v>
      </c>
      <c r="AA13" s="738">
        <f t="shared" si="2"/>
        <v>0.22824117157270901</v>
      </c>
      <c r="AB13" s="709"/>
      <c r="AC13" s="709"/>
      <c r="AD13" s="709"/>
      <c r="AE13" s="709"/>
      <c r="AF13" s="710">
        <v>10969</v>
      </c>
      <c r="AG13" s="738">
        <f t="shared" si="3"/>
        <v>0.21210070384407148</v>
      </c>
      <c r="AH13" s="709"/>
      <c r="AI13" s="709"/>
      <c r="AJ13" s="711"/>
      <c r="AK13" s="711"/>
      <c r="AL13" s="710">
        <v>9904.2900000000009</v>
      </c>
      <c r="AM13" s="738">
        <f t="shared" si="4"/>
        <v>0.21944237036905742</v>
      </c>
      <c r="AN13" s="711"/>
      <c r="AO13" s="711"/>
      <c r="AP13" s="711"/>
      <c r="AQ13" s="711"/>
      <c r="AR13" s="710">
        <v>10668.95</v>
      </c>
      <c r="AS13" s="738">
        <f t="shared" si="5"/>
        <v>0.22267557150499048</v>
      </c>
      <c r="AT13" s="712">
        <v>11722.93</v>
      </c>
      <c r="AU13" s="738">
        <f t="shared" si="6"/>
        <v>0.2208196729031377</v>
      </c>
      <c r="AV13" s="712">
        <v>13221.84</v>
      </c>
      <c r="AW13" s="738">
        <f t="shared" si="7"/>
        <v>0.21954735701435893</v>
      </c>
      <c r="AX13" s="758">
        <f>AV13*1.039</f>
        <v>13737.491759999999</v>
      </c>
      <c r="AY13" s="738">
        <f t="shared" si="8"/>
        <v>0.21779966743399651</v>
      </c>
      <c r="AZ13" s="54" t="s">
        <v>48</v>
      </c>
    </row>
    <row r="14" spans="1:59" s="54" customFormat="1" ht="15" customHeight="1" x14ac:dyDescent="0.3">
      <c r="A14" s="55"/>
      <c r="B14" s="700" t="s">
        <v>49</v>
      </c>
      <c r="C14" s="701"/>
      <c r="D14" s="702"/>
      <c r="E14" s="702"/>
      <c r="F14" s="702"/>
      <c r="G14" s="702"/>
      <c r="H14" s="702">
        <v>9181</v>
      </c>
      <c r="I14" s="738">
        <f t="shared" si="9"/>
        <v>0.25832864378165449</v>
      </c>
      <c r="J14" s="702"/>
      <c r="K14" s="702"/>
      <c r="L14" s="702"/>
      <c r="M14" s="702"/>
      <c r="N14" s="702">
        <v>11613</v>
      </c>
      <c r="O14" s="738">
        <f t="shared" si="0"/>
        <v>0.2637879338542613</v>
      </c>
      <c r="P14" s="702"/>
      <c r="Q14" s="702"/>
      <c r="R14" s="702"/>
      <c r="S14" s="702"/>
      <c r="T14" s="702">
        <v>13065</v>
      </c>
      <c r="U14" s="738">
        <f t="shared" si="1"/>
        <v>0.24849268691633222</v>
      </c>
      <c r="V14" s="702"/>
      <c r="W14" s="702"/>
      <c r="X14" s="702"/>
      <c r="Y14" s="702"/>
      <c r="Z14" s="702">
        <v>15020</v>
      </c>
      <c r="AA14" s="738">
        <f t="shared" si="2"/>
        <v>0.24522048619614373</v>
      </c>
      <c r="AB14" s="702"/>
      <c r="AC14" s="702"/>
      <c r="AD14" s="702"/>
      <c r="AE14" s="702"/>
      <c r="AF14" s="702">
        <v>13254</v>
      </c>
      <c r="AG14" s="738">
        <f t="shared" si="3"/>
        <v>0.25628432206667184</v>
      </c>
      <c r="AH14" s="702"/>
      <c r="AI14" s="702"/>
      <c r="AJ14" s="702"/>
      <c r="AK14" s="702"/>
      <c r="AL14" s="702">
        <v>11178.87</v>
      </c>
      <c r="AM14" s="738">
        <f t="shared" si="4"/>
        <v>0.24768234076824738</v>
      </c>
      <c r="AN14" s="702"/>
      <c r="AO14" s="702"/>
      <c r="AP14" s="702"/>
      <c r="AQ14" s="702"/>
      <c r="AR14" s="702">
        <v>12062.01</v>
      </c>
      <c r="AS14" s="738">
        <f t="shared" si="5"/>
        <v>0.25175063808986919</v>
      </c>
      <c r="AT14" s="702">
        <v>13177.94</v>
      </c>
      <c r="AU14" s="738">
        <f t="shared" si="6"/>
        <v>0.24822705589278232</v>
      </c>
      <c r="AV14" s="702">
        <v>14775.23</v>
      </c>
      <c r="AW14" s="738">
        <f t="shared" si="7"/>
        <v>0.24534124567981963</v>
      </c>
      <c r="AX14" s="750">
        <f>AV14*1.042</f>
        <v>15395.78966</v>
      </c>
      <c r="AY14" s="738">
        <f t="shared" si="8"/>
        <v>0.24409098301302731</v>
      </c>
      <c r="AZ14" s="54" t="s">
        <v>50</v>
      </c>
    </row>
    <row r="15" spans="1:59" s="54" customFormat="1" ht="15" customHeight="1" x14ac:dyDescent="0.25">
      <c r="A15" s="55"/>
      <c r="B15" s="56" t="s">
        <v>51</v>
      </c>
      <c r="C15" s="23"/>
      <c r="D15" s="46"/>
      <c r="E15" s="46"/>
      <c r="F15" s="46"/>
      <c r="G15" s="46"/>
      <c r="H15" s="57">
        <v>3589</v>
      </c>
      <c r="I15" s="738">
        <f t="shared" si="9"/>
        <v>0.10098480585256049</v>
      </c>
      <c r="J15" s="46"/>
      <c r="K15" s="46"/>
      <c r="L15" s="46"/>
      <c r="M15" s="46"/>
      <c r="N15" s="57">
        <v>3548</v>
      </c>
      <c r="O15" s="738">
        <f t="shared" si="0"/>
        <v>8.0592404143194615E-2</v>
      </c>
      <c r="P15" s="46"/>
      <c r="Q15" s="46"/>
      <c r="R15" s="46"/>
      <c r="S15" s="46"/>
      <c r="T15" s="57">
        <v>3625</v>
      </c>
      <c r="U15" s="738">
        <f t="shared" si="1"/>
        <v>6.8946497517926086E-2</v>
      </c>
      <c r="V15" s="46"/>
      <c r="W15" s="46"/>
      <c r="X15" s="46"/>
      <c r="Y15" s="46"/>
      <c r="Z15" s="57">
        <v>4721</v>
      </c>
      <c r="AA15" s="738">
        <f t="shared" si="2"/>
        <v>7.7076292631957033E-2</v>
      </c>
      <c r="AB15" s="46"/>
      <c r="AC15" s="46"/>
      <c r="AD15" s="46"/>
      <c r="AE15" s="46"/>
      <c r="AF15" s="57">
        <v>5782</v>
      </c>
      <c r="AG15" s="738">
        <f t="shared" si="3"/>
        <v>0.11180292365998917</v>
      </c>
      <c r="AH15" s="46"/>
      <c r="AI15" s="46"/>
      <c r="AJ15" s="50"/>
      <c r="AK15" s="50"/>
      <c r="AL15" s="57">
        <v>5833.24</v>
      </c>
      <c r="AM15" s="738">
        <f t="shared" si="4"/>
        <v>0.12924298587093072</v>
      </c>
      <c r="AN15" s="50"/>
      <c r="AO15" s="50"/>
      <c r="AP15" s="50"/>
      <c r="AQ15" s="50"/>
      <c r="AR15" s="57">
        <v>6018.81</v>
      </c>
      <c r="AS15" s="738">
        <f t="shared" si="5"/>
        <v>0.12562079272374055</v>
      </c>
      <c r="AT15" s="58">
        <v>6364.38</v>
      </c>
      <c r="AU15" s="738">
        <f t="shared" si="6"/>
        <v>0.11988302496315098</v>
      </c>
      <c r="AV15" s="58">
        <v>6794.07</v>
      </c>
      <c r="AW15" s="738">
        <f t="shared" si="7"/>
        <v>0.11281486630231083</v>
      </c>
      <c r="AX15" s="58">
        <f>(AT15/AL15)*AV15</f>
        <v>7412.6974420047864</v>
      </c>
      <c r="AY15" s="738">
        <f t="shared" si="8"/>
        <v>0.11752385849347212</v>
      </c>
      <c r="AZ15" s="54" t="s">
        <v>52</v>
      </c>
    </row>
    <row r="16" spans="1:59" s="54" customFormat="1" ht="15" customHeight="1" x14ac:dyDescent="0.25">
      <c r="B16" s="56" t="s">
        <v>53</v>
      </c>
      <c r="C16" s="23"/>
      <c r="D16" s="46"/>
      <c r="E16" s="46"/>
      <c r="F16" s="46"/>
      <c r="G16" s="46"/>
      <c r="H16" s="57">
        <v>679</v>
      </c>
      <c r="I16" s="738">
        <f t="shared" si="9"/>
        <v>1.9105233539673607E-2</v>
      </c>
      <c r="J16" s="46"/>
      <c r="K16" s="46"/>
      <c r="L16" s="46"/>
      <c r="M16" s="46"/>
      <c r="N16" s="57">
        <v>739</v>
      </c>
      <c r="O16" s="738">
        <f t="shared" si="0"/>
        <v>1.6786298382700345E-2</v>
      </c>
      <c r="P16" s="46"/>
      <c r="Q16" s="46"/>
      <c r="R16" s="46"/>
      <c r="S16" s="46"/>
      <c r="T16" s="57">
        <v>1035</v>
      </c>
      <c r="U16" s="738">
        <f t="shared" si="1"/>
        <v>1.9685413774083727E-2</v>
      </c>
      <c r="V16" s="46"/>
      <c r="W16" s="46"/>
      <c r="X16" s="46"/>
      <c r="Y16" s="46"/>
      <c r="Z16" s="57">
        <v>965</v>
      </c>
      <c r="AA16" s="738">
        <f t="shared" si="2"/>
        <v>1.5754844818860102E-2</v>
      </c>
      <c r="AB16" s="46"/>
      <c r="AC16" s="46"/>
      <c r="AD16" s="46"/>
      <c r="AE16" s="46"/>
      <c r="AF16" s="57">
        <v>1175</v>
      </c>
      <c r="AG16" s="738">
        <f t="shared" si="3"/>
        <v>2.2720241317967359E-2</v>
      </c>
      <c r="AH16" s="46"/>
      <c r="AI16" s="46"/>
      <c r="AJ16" s="50"/>
      <c r="AK16" s="50"/>
      <c r="AL16" s="57">
        <v>1006.76</v>
      </c>
      <c r="AM16" s="738">
        <f t="shared" si="4"/>
        <v>2.2306071489501238E-2</v>
      </c>
      <c r="AN16" s="50"/>
      <c r="AO16" s="50"/>
      <c r="AP16" s="50"/>
      <c r="AQ16" s="50"/>
      <c r="AR16" s="57">
        <v>1054.76</v>
      </c>
      <c r="AS16" s="738">
        <f t="shared" si="5"/>
        <v>2.2014283111328081E-2</v>
      </c>
      <c r="AT16" s="58">
        <v>1134.3900000000001</v>
      </c>
      <c r="AU16" s="738">
        <f t="shared" si="6"/>
        <v>2.136800516121741E-2</v>
      </c>
      <c r="AV16" s="58">
        <v>1186.1400000000001</v>
      </c>
      <c r="AW16" s="738">
        <f t="shared" si="7"/>
        <v>1.9695738418329955E-2</v>
      </c>
      <c r="AX16" s="750">
        <f>(AT16/AL16)*AV16</f>
        <v>1336.510543327109</v>
      </c>
      <c r="AY16" s="738">
        <f t="shared" si="8"/>
        <v>2.1189570624985353E-2</v>
      </c>
      <c r="AZ16" s="54" t="s">
        <v>54</v>
      </c>
    </row>
    <row r="17" spans="2:52" s="54" customFormat="1" ht="15" customHeight="1" x14ac:dyDescent="0.25">
      <c r="B17" s="59" t="s">
        <v>55</v>
      </c>
      <c r="C17" s="23"/>
      <c r="D17" s="62">
        <f>IS!D18</f>
        <v>7631</v>
      </c>
      <c r="E17" s="62">
        <f>IS!E18</f>
        <v>9253</v>
      </c>
      <c r="F17" s="62">
        <f>IS!F18</f>
        <v>8925</v>
      </c>
      <c r="G17" s="62">
        <f>IS!G18</f>
        <v>9731</v>
      </c>
      <c r="H17" s="63">
        <f>IS!H18</f>
        <v>35540</v>
      </c>
      <c r="I17" s="738"/>
      <c r="J17" s="62">
        <f>IS!J18</f>
        <v>9112</v>
      </c>
      <c r="K17" s="62">
        <f>IS!K18</f>
        <v>12058</v>
      </c>
      <c r="L17" s="62">
        <f>IS!L18</f>
        <v>11527</v>
      </c>
      <c r="M17" s="62">
        <f>IS!M18</f>
        <v>11327</v>
      </c>
      <c r="N17" s="63">
        <f>IS!N18</f>
        <v>44024</v>
      </c>
      <c r="O17" s="52"/>
      <c r="P17" s="62">
        <f>IS!P18</f>
        <v>9569</v>
      </c>
      <c r="Q17" s="62">
        <f>IS!Q18</f>
        <v>13370</v>
      </c>
      <c r="R17" s="62">
        <f>IS!R18</f>
        <v>14102</v>
      </c>
      <c r="S17" s="62">
        <f>IS!S18</f>
        <v>15536</v>
      </c>
      <c r="T17" s="63">
        <f>IS!T18</f>
        <v>52577</v>
      </c>
      <c r="U17" s="52"/>
      <c r="V17" s="62">
        <f>IS!V18</f>
        <v>12652</v>
      </c>
      <c r="W17" s="62">
        <f>IS!W18</f>
        <v>17387</v>
      </c>
      <c r="X17" s="62">
        <f>IS!X18</f>
        <v>15801</v>
      </c>
      <c r="Y17" s="62">
        <f>IS!Y18</f>
        <v>15412</v>
      </c>
      <c r="Z17" s="63">
        <f>IS!Z18</f>
        <v>61251</v>
      </c>
      <c r="AA17" s="52"/>
      <c r="AB17" s="62">
        <f>IS!AB18</f>
        <v>12185</v>
      </c>
      <c r="AC17" s="62">
        <f>IS!AC18</f>
        <v>15235</v>
      </c>
      <c r="AD17" s="62">
        <f>IS!AD18</f>
        <v>13152</v>
      </c>
      <c r="AE17" s="62">
        <f>IS!AE18</f>
        <v>11143</v>
      </c>
      <c r="AF17" s="63">
        <f>IS!AF18</f>
        <v>51716</v>
      </c>
      <c r="AG17" s="538"/>
      <c r="AH17" s="62">
        <f>IS!AH18</f>
        <v>8508</v>
      </c>
      <c r="AI17" s="62">
        <f>IS!AI18</f>
        <v>12763</v>
      </c>
      <c r="AJ17" s="62">
        <f>IS!AJ18</f>
        <v>0</v>
      </c>
      <c r="AK17" s="62">
        <f>IS!AK18</f>
        <v>0</v>
      </c>
      <c r="AL17" s="63">
        <f t="shared" ref="AL17:AR17" si="10">SUM(AL12:AL16)</f>
        <v>45133.9</v>
      </c>
      <c r="AM17" s="730"/>
      <c r="AN17" s="730">
        <f t="shared" si="10"/>
        <v>0</v>
      </c>
      <c r="AO17" s="730">
        <f t="shared" si="10"/>
        <v>0</v>
      </c>
      <c r="AP17" s="730">
        <f t="shared" si="10"/>
        <v>0</v>
      </c>
      <c r="AQ17" s="730">
        <f t="shared" si="10"/>
        <v>0</v>
      </c>
      <c r="AR17" s="63">
        <f t="shared" si="10"/>
        <v>47912.53</v>
      </c>
      <c r="AS17" s="730"/>
      <c r="AT17" s="63">
        <f>SUM(AT12:AT16)</f>
        <v>53088.25</v>
      </c>
      <c r="AU17" s="730"/>
      <c r="AV17" s="63">
        <f>SUM(AV12:AV16)</f>
        <v>60223.18</v>
      </c>
      <c r="AW17" s="730"/>
      <c r="AX17" s="63">
        <f>SUM(AX12:AX16)</f>
        <v>63073.979505331896</v>
      </c>
      <c r="AZ17" s="54" t="s">
        <v>56</v>
      </c>
    </row>
    <row r="18" spans="2:52" ht="15" customHeight="1" x14ac:dyDescent="0.25">
      <c r="AG18" s="205"/>
      <c r="AZ18" s="97" t="s">
        <v>57</v>
      </c>
    </row>
    <row r="19" spans="2:52" ht="15" customHeight="1" x14ac:dyDescent="0.25">
      <c r="B19" s="45" t="s">
        <v>58</v>
      </c>
      <c r="AG19" s="205"/>
      <c r="AL19" s="693"/>
      <c r="AM19" s="694"/>
      <c r="AN19" s="695"/>
      <c r="AO19" s="695"/>
      <c r="AP19" s="695"/>
      <c r="AQ19" s="695"/>
      <c r="AR19" s="693"/>
      <c r="AT19" s="693"/>
      <c r="AV19" s="693"/>
      <c r="AX19" s="693"/>
      <c r="AZ19" s="97" t="s">
        <v>53</v>
      </c>
    </row>
    <row r="20" spans="2:52" ht="15" customHeight="1" x14ac:dyDescent="0.3">
      <c r="B20" s="56" t="s">
        <v>59</v>
      </c>
      <c r="D20" s="46"/>
      <c r="E20" s="46"/>
      <c r="F20" s="46"/>
      <c r="G20" s="46"/>
      <c r="H20" s="47">
        <v>18996</v>
      </c>
      <c r="I20" s="738">
        <f>H20/H$26</f>
        <v>0.53449634214969044</v>
      </c>
      <c r="J20" s="46"/>
      <c r="K20" s="46"/>
      <c r="L20" s="46"/>
      <c r="M20" s="46"/>
      <c r="N20" s="47">
        <v>22814</v>
      </c>
      <c r="O20" s="738">
        <f>N20/N$26</f>
        <v>0.51821733599854625</v>
      </c>
      <c r="P20" s="46"/>
      <c r="Q20" s="46"/>
      <c r="R20" s="46"/>
      <c r="S20" s="46"/>
      <c r="T20" s="47">
        <v>28238</v>
      </c>
      <c r="U20" s="738">
        <f>T20/T$26</f>
        <v>0.53707895087205437</v>
      </c>
      <c r="V20" s="46"/>
      <c r="W20" s="46"/>
      <c r="X20" s="46"/>
      <c r="Y20" s="46"/>
      <c r="Z20" s="47">
        <v>34105</v>
      </c>
      <c r="AA20" s="738">
        <f>Z20/Z$26</f>
        <v>0.55680723580023184</v>
      </c>
      <c r="AB20" s="46"/>
      <c r="AC20" s="46"/>
      <c r="AD20" s="46"/>
      <c r="AE20" s="46"/>
      <c r="AF20" s="47">
        <v>30242</v>
      </c>
      <c r="AG20" s="779">
        <f>AF20/AF$26</f>
        <v>0.58477067058550547</v>
      </c>
      <c r="AH20" s="46"/>
      <c r="AI20" s="46"/>
      <c r="AJ20" s="50"/>
      <c r="AK20" s="50"/>
      <c r="AL20" s="47">
        <f t="shared" ref="AL20:AL25" si="11">AM20*$AL$17</f>
        <v>26392.980969139146</v>
      </c>
      <c r="AM20" s="779">
        <v>0.58477067058550547</v>
      </c>
      <c r="AN20" s="50"/>
      <c r="AO20" s="50"/>
      <c r="AP20" s="50"/>
      <c r="AQ20" s="50"/>
      <c r="AR20" s="47">
        <f t="shared" ref="AR20:AR25" si="12">AS20*AR$17</f>
        <v>28747.518</v>
      </c>
      <c r="AS20" s="779">
        <v>0.6</v>
      </c>
      <c r="AT20" s="747">
        <f t="shared" ref="AT20:AT25" si="13">AU20*AT$17</f>
        <v>31852.949999999997</v>
      </c>
      <c r="AU20" s="779">
        <v>0.6</v>
      </c>
      <c r="AV20" s="747">
        <f t="shared" ref="AV20:AV25" si="14">AW20*AV$17</f>
        <v>36133.907999999996</v>
      </c>
      <c r="AW20" s="779">
        <v>0.6</v>
      </c>
      <c r="AX20" s="747">
        <f t="shared" ref="AX20:AX25" si="15">AY20*AX$17</f>
        <v>37213.647908145816</v>
      </c>
      <c r="AY20" s="780">
        <v>0.59</v>
      </c>
    </row>
    <row r="21" spans="2:52" ht="15" customHeight="1" x14ac:dyDescent="0.3">
      <c r="B21" s="56" t="s">
        <v>60</v>
      </c>
      <c r="D21" s="46"/>
      <c r="E21" s="46"/>
      <c r="F21" s="46"/>
      <c r="G21" s="46"/>
      <c r="H21" s="47">
        <v>2390</v>
      </c>
      <c r="I21" s="738">
        <f t="shared" ref="I21:I25" si="16">H21/H$26</f>
        <v>6.724817107484525E-2</v>
      </c>
      <c r="J21" s="46"/>
      <c r="K21" s="46"/>
      <c r="L21" s="46"/>
      <c r="M21" s="46"/>
      <c r="N21" s="47">
        <v>3015</v>
      </c>
      <c r="O21" s="738">
        <f t="shared" ref="O21:O25" si="17">N21/N$26</f>
        <v>6.848537161548246E-2</v>
      </c>
      <c r="P21" s="46"/>
      <c r="Q21" s="46"/>
      <c r="R21" s="46"/>
      <c r="S21" s="46"/>
      <c r="T21" s="47">
        <v>3902</v>
      </c>
      <c r="U21" s="738">
        <f t="shared" ref="U21:U25" si="18">T21/T$26</f>
        <v>7.4214960914468303E-2</v>
      </c>
      <c r="V21" s="46"/>
      <c r="W21" s="46"/>
      <c r="X21" s="46"/>
      <c r="Y21" s="46"/>
      <c r="Z21" s="47">
        <v>4287</v>
      </c>
      <c r="AA21" s="738">
        <f t="shared" ref="AA21:AA25" si="19">Z21/Z$26</f>
        <v>6.999069402948524E-2</v>
      </c>
      <c r="AB21" s="46"/>
      <c r="AC21" s="46"/>
      <c r="AD21" s="46"/>
      <c r="AE21" s="46"/>
      <c r="AF21" s="47">
        <v>3900</v>
      </c>
      <c r="AG21" s="779">
        <f t="shared" ref="AG21:AG25" si="20">AF21/AF$26</f>
        <v>7.5411864800061873E-2</v>
      </c>
      <c r="AH21" s="46"/>
      <c r="AI21" s="46"/>
      <c r="AJ21" s="50"/>
      <c r="AK21" s="50"/>
      <c r="AL21" s="47">
        <f t="shared" si="11"/>
        <v>3403.6315646995126</v>
      </c>
      <c r="AM21" s="779">
        <v>7.5411864800061873E-2</v>
      </c>
      <c r="AN21" s="50"/>
      <c r="AO21" s="50"/>
      <c r="AP21" s="50"/>
      <c r="AQ21" s="50"/>
      <c r="AR21" s="47">
        <f t="shared" si="12"/>
        <v>3353.8771000000002</v>
      </c>
      <c r="AS21" s="779">
        <v>7.0000000000000007E-2</v>
      </c>
      <c r="AT21" s="747">
        <f t="shared" si="13"/>
        <v>3716.1775000000002</v>
      </c>
      <c r="AU21" s="779">
        <v>7.0000000000000007E-2</v>
      </c>
      <c r="AV21" s="747">
        <f t="shared" si="14"/>
        <v>4215.6226000000006</v>
      </c>
      <c r="AW21" s="779">
        <v>7.0000000000000007E-2</v>
      </c>
      <c r="AX21" s="747">
        <f t="shared" si="15"/>
        <v>4415.1785653732331</v>
      </c>
      <c r="AY21" s="780">
        <v>7.0000000000000007E-2</v>
      </c>
    </row>
    <row r="22" spans="2:52" ht="15" customHeight="1" x14ac:dyDescent="0.3">
      <c r="B22" s="56" t="s">
        <v>61</v>
      </c>
      <c r="D22" s="46"/>
      <c r="E22" s="46"/>
      <c r="F22" s="46"/>
      <c r="G22" s="46"/>
      <c r="H22" s="47">
        <v>5333</v>
      </c>
      <c r="I22" s="738">
        <f t="shared" si="16"/>
        <v>0.15005627462014631</v>
      </c>
      <c r="J22" s="46"/>
      <c r="K22" s="46"/>
      <c r="L22" s="46"/>
      <c r="M22" s="46"/>
      <c r="N22" s="47">
        <v>6429</v>
      </c>
      <c r="O22" s="738">
        <f t="shared" si="17"/>
        <v>0.14603398146465565</v>
      </c>
      <c r="P22" s="46"/>
      <c r="Q22" s="46"/>
      <c r="R22" s="46"/>
      <c r="S22" s="46"/>
      <c r="T22" s="47">
        <v>6344</v>
      </c>
      <c r="U22" s="738">
        <f t="shared" si="18"/>
        <v>0.12066112558723396</v>
      </c>
      <c r="V22" s="46"/>
      <c r="W22" s="46"/>
      <c r="X22" s="46"/>
      <c r="Y22" s="46"/>
      <c r="Z22" s="47">
        <v>7321</v>
      </c>
      <c r="AA22" s="738">
        <f t="shared" si="19"/>
        <v>0.11952457919054382</v>
      </c>
      <c r="AB22" s="46"/>
      <c r="AC22" s="46"/>
      <c r="AD22" s="46"/>
      <c r="AE22" s="46"/>
      <c r="AF22" s="47">
        <v>6189</v>
      </c>
      <c r="AG22" s="779">
        <f t="shared" si="20"/>
        <v>0.11967282852502127</v>
      </c>
      <c r="AH22" s="46"/>
      <c r="AI22" s="46"/>
      <c r="AJ22" s="50"/>
      <c r="AK22" s="50"/>
      <c r="AL22" s="47">
        <f t="shared" si="11"/>
        <v>5401.3014753654579</v>
      </c>
      <c r="AM22" s="779">
        <v>0.11967282852502127</v>
      </c>
      <c r="AN22" s="50"/>
      <c r="AO22" s="50"/>
      <c r="AP22" s="50"/>
      <c r="AQ22" s="50"/>
      <c r="AR22" s="47">
        <f t="shared" si="12"/>
        <v>4312.1277</v>
      </c>
      <c r="AS22" s="779">
        <v>0.09</v>
      </c>
      <c r="AT22" s="747">
        <f t="shared" si="13"/>
        <v>4777.9425000000001</v>
      </c>
      <c r="AU22" s="779">
        <v>0.09</v>
      </c>
      <c r="AV22" s="747">
        <f t="shared" si="14"/>
        <v>5420.0861999999997</v>
      </c>
      <c r="AW22" s="779">
        <v>0.09</v>
      </c>
      <c r="AX22" s="747">
        <f t="shared" si="15"/>
        <v>5676.6581554798704</v>
      </c>
      <c r="AY22" s="780">
        <v>0.09</v>
      </c>
    </row>
    <row r="23" spans="2:52" ht="15" customHeight="1" x14ac:dyDescent="0.3">
      <c r="B23" s="56" t="s">
        <v>62</v>
      </c>
      <c r="D23" s="46"/>
      <c r="E23" s="46"/>
      <c r="F23" s="46"/>
      <c r="G23" s="46"/>
      <c r="H23" s="57">
        <v>2072</v>
      </c>
      <c r="I23" s="738">
        <f t="shared" si="16"/>
        <v>5.8300506471581318E-2</v>
      </c>
      <c r="J23" s="46"/>
      <c r="K23" s="46"/>
      <c r="L23" s="46"/>
      <c r="M23" s="46"/>
      <c r="N23" s="57">
        <v>2664</v>
      </c>
      <c r="O23" s="738">
        <f t="shared" si="17"/>
        <v>6.0512447755769583E-2</v>
      </c>
      <c r="P23" s="46"/>
      <c r="Q23" s="46"/>
      <c r="R23" s="46"/>
      <c r="S23" s="46"/>
      <c r="T23" s="57">
        <v>2289</v>
      </c>
      <c r="U23" s="738">
        <f t="shared" si="18"/>
        <v>4.3536146984422847E-2</v>
      </c>
      <c r="V23" s="46"/>
      <c r="W23" s="46"/>
      <c r="X23" s="46"/>
      <c r="Y23" s="46"/>
      <c r="Z23" s="57">
        <v>2137</v>
      </c>
      <c r="AA23" s="738">
        <f t="shared" si="19"/>
        <v>3.4889226298346149E-2</v>
      </c>
      <c r="AB23" s="46"/>
      <c r="AC23" s="46"/>
      <c r="AD23" s="46"/>
      <c r="AE23" s="46"/>
      <c r="AF23" s="57">
        <v>1488</v>
      </c>
      <c r="AG23" s="779">
        <f t="shared" si="20"/>
        <v>2.8772526877562071E-2</v>
      </c>
      <c r="AH23" s="46"/>
      <c r="AI23" s="46"/>
      <c r="AJ23" s="50"/>
      <c r="AK23" s="50"/>
      <c r="AL23" s="747">
        <f t="shared" si="11"/>
        <v>1298.6163508391987</v>
      </c>
      <c r="AM23" s="779">
        <v>2.8772526877562071E-2</v>
      </c>
      <c r="AN23" s="50"/>
      <c r="AO23" s="50"/>
      <c r="AP23" s="50"/>
      <c r="AQ23" s="50"/>
      <c r="AR23" s="747">
        <f t="shared" si="12"/>
        <v>958.25059999999996</v>
      </c>
      <c r="AS23" s="779">
        <v>0.02</v>
      </c>
      <c r="AT23" s="747">
        <f t="shared" si="13"/>
        <v>1061.7650000000001</v>
      </c>
      <c r="AU23" s="779">
        <v>0.02</v>
      </c>
      <c r="AV23" s="747">
        <f t="shared" si="14"/>
        <v>1204.4636</v>
      </c>
      <c r="AW23" s="779">
        <v>0.02</v>
      </c>
      <c r="AX23" s="747">
        <f t="shared" si="15"/>
        <v>1261.4795901066379</v>
      </c>
      <c r="AY23" s="780">
        <v>0.02</v>
      </c>
    </row>
    <row r="24" spans="2:52" ht="15" customHeight="1" x14ac:dyDescent="0.3">
      <c r="B24" s="56" t="s">
        <v>63</v>
      </c>
      <c r="D24" s="46"/>
      <c r="E24" s="46"/>
      <c r="F24" s="46"/>
      <c r="G24" s="46"/>
      <c r="H24" s="57">
        <v>3023</v>
      </c>
      <c r="I24" s="738">
        <f t="shared" si="16"/>
        <v>8.5059088351153625E-2</v>
      </c>
      <c r="J24" s="46"/>
      <c r="K24" s="46"/>
      <c r="L24" s="46"/>
      <c r="M24" s="46"/>
      <c r="N24" s="57">
        <v>4522</v>
      </c>
      <c r="O24" s="738">
        <f t="shared" si="17"/>
        <v>0.1027166999818281</v>
      </c>
      <c r="P24" s="46"/>
      <c r="Q24" s="46"/>
      <c r="R24" s="46"/>
      <c r="S24" s="46"/>
      <c r="T24" s="57">
        <v>7339</v>
      </c>
      <c r="U24" s="738">
        <f t="shared" si="18"/>
        <v>0.13958575042318885</v>
      </c>
      <c r="V24" s="46"/>
      <c r="W24" s="46"/>
      <c r="X24" s="46"/>
      <c r="Y24" s="46"/>
      <c r="Z24" s="57">
        <v>8197</v>
      </c>
      <c r="AA24" s="738">
        <f t="shared" si="19"/>
        <v>0.13382638650797538</v>
      </c>
      <c r="AB24" s="46"/>
      <c r="AC24" s="46"/>
      <c r="AD24" s="46"/>
      <c r="AE24" s="46"/>
      <c r="AF24" s="57">
        <v>5538</v>
      </c>
      <c r="AG24" s="779">
        <f t="shared" si="20"/>
        <v>0.10708484801608786</v>
      </c>
      <c r="AH24" s="46"/>
      <c r="AI24" s="46"/>
      <c r="AJ24" s="50"/>
      <c r="AK24" s="50"/>
      <c r="AL24" s="747">
        <f t="shared" si="11"/>
        <v>4833.1568218733082</v>
      </c>
      <c r="AM24" s="779">
        <v>0.10708484801608786</v>
      </c>
      <c r="AN24" s="50"/>
      <c r="AO24" s="50"/>
      <c r="AP24" s="50"/>
      <c r="AQ24" s="50"/>
      <c r="AR24" s="747">
        <f t="shared" si="12"/>
        <v>6707.7542000000003</v>
      </c>
      <c r="AS24" s="779">
        <v>0.14000000000000001</v>
      </c>
      <c r="AT24" s="747">
        <f t="shared" si="13"/>
        <v>8494.1200000000008</v>
      </c>
      <c r="AU24" s="779">
        <v>0.16</v>
      </c>
      <c r="AV24" s="747">
        <f t="shared" si="14"/>
        <v>9635.7088000000003</v>
      </c>
      <c r="AW24" s="779">
        <v>0.16</v>
      </c>
      <c r="AX24" s="747">
        <f t="shared" si="15"/>
        <v>10091.836720853104</v>
      </c>
      <c r="AY24" s="780">
        <v>0.16</v>
      </c>
    </row>
    <row r="25" spans="2:52" ht="15" customHeight="1" x14ac:dyDescent="0.3">
      <c r="B25" s="207" t="s">
        <v>64</v>
      </c>
      <c r="D25" s="46"/>
      <c r="E25" s="46"/>
      <c r="F25" s="46"/>
      <c r="G25" s="46"/>
      <c r="H25" s="57">
        <v>3726</v>
      </c>
      <c r="I25" s="738">
        <f t="shared" si="16"/>
        <v>0.104839617332583</v>
      </c>
      <c r="J25" s="46"/>
      <c r="K25" s="46"/>
      <c r="L25" s="46"/>
      <c r="M25" s="46"/>
      <c r="N25" s="57">
        <v>4580</v>
      </c>
      <c r="O25" s="738">
        <f t="shared" si="17"/>
        <v>0.10403416318371797</v>
      </c>
      <c r="P25" s="46"/>
      <c r="Q25" s="46"/>
      <c r="R25" s="46"/>
      <c r="S25" s="46"/>
      <c r="T25" s="57">
        <v>4465</v>
      </c>
      <c r="U25" s="738">
        <f t="shared" si="18"/>
        <v>8.4923065218631716E-2</v>
      </c>
      <c r="V25" s="46"/>
      <c r="W25" s="46"/>
      <c r="X25" s="46"/>
      <c r="Y25" s="46"/>
      <c r="Z25" s="57">
        <v>5204</v>
      </c>
      <c r="AA25" s="738">
        <f t="shared" si="19"/>
        <v>8.4961878173417577E-2</v>
      </c>
      <c r="AB25" s="46"/>
      <c r="AC25" s="46"/>
      <c r="AD25" s="46"/>
      <c r="AE25" s="46"/>
      <c r="AF25" s="57">
        <v>4359</v>
      </c>
      <c r="AG25" s="779">
        <f t="shared" si="20"/>
        <v>8.4287261195761465E-2</v>
      </c>
      <c r="AH25" s="46"/>
      <c r="AI25" s="46"/>
      <c r="AJ25" s="50"/>
      <c r="AK25" s="50"/>
      <c r="AL25" s="747">
        <f t="shared" si="11"/>
        <v>3804.2128180833784</v>
      </c>
      <c r="AM25" s="779">
        <v>8.4287261195761465E-2</v>
      </c>
      <c r="AN25" s="50"/>
      <c r="AO25" s="50"/>
      <c r="AP25" s="50"/>
      <c r="AQ25" s="50"/>
      <c r="AR25" s="747">
        <f t="shared" si="12"/>
        <v>4038.4159306597571</v>
      </c>
      <c r="AS25" s="779">
        <v>8.4287261195761465E-2</v>
      </c>
      <c r="AT25" s="747">
        <f t="shared" si="13"/>
        <v>3185.2950000000001</v>
      </c>
      <c r="AU25" s="779">
        <v>0.06</v>
      </c>
      <c r="AV25" s="747">
        <f t="shared" si="14"/>
        <v>3613.3907999999997</v>
      </c>
      <c r="AW25" s="779">
        <v>0.06</v>
      </c>
      <c r="AX25" s="747">
        <f t="shared" si="15"/>
        <v>4415.1785653732331</v>
      </c>
      <c r="AY25" s="780">
        <v>7.0000000000000007E-2</v>
      </c>
      <c r="AZ25"/>
    </row>
    <row r="26" spans="2:52" ht="15" customHeight="1" x14ac:dyDescent="0.25">
      <c r="B26" s="59" t="s">
        <v>55</v>
      </c>
      <c r="D26" s="62">
        <f>IS!D18</f>
        <v>7631</v>
      </c>
      <c r="E26" s="62">
        <f>IS!E18</f>
        <v>9253</v>
      </c>
      <c r="F26" s="62">
        <f>IS!F18</f>
        <v>8925</v>
      </c>
      <c r="G26" s="62">
        <f>IS!G18</f>
        <v>9731</v>
      </c>
      <c r="H26" s="63">
        <f>IS!H18</f>
        <v>35540</v>
      </c>
      <c r="I26" s="96"/>
      <c r="J26" s="62">
        <f>IS!J18</f>
        <v>9112</v>
      </c>
      <c r="K26" s="62">
        <f>IS!K18</f>
        <v>12058</v>
      </c>
      <c r="L26" s="62">
        <f>IS!L18</f>
        <v>11527</v>
      </c>
      <c r="M26" s="62">
        <f>IS!M18</f>
        <v>11327</v>
      </c>
      <c r="N26" s="63">
        <f>IS!N18</f>
        <v>44024</v>
      </c>
      <c r="O26" s="52"/>
      <c r="P26" s="62">
        <f>IS!P18</f>
        <v>9569</v>
      </c>
      <c r="Q26" s="62">
        <f>IS!Q18</f>
        <v>13370</v>
      </c>
      <c r="R26" s="62">
        <f>IS!R18</f>
        <v>14102</v>
      </c>
      <c r="S26" s="62">
        <f>IS!S18</f>
        <v>15536</v>
      </c>
      <c r="T26" s="63">
        <f>IS!T18</f>
        <v>52577</v>
      </c>
      <c r="U26" s="52"/>
      <c r="V26" s="62">
        <f>IS!V18</f>
        <v>12652</v>
      </c>
      <c r="W26" s="62">
        <f>IS!W18</f>
        <v>17387</v>
      </c>
      <c r="X26" s="62">
        <f>IS!X18</f>
        <v>15801</v>
      </c>
      <c r="Y26" s="62">
        <f>IS!Y18</f>
        <v>15412</v>
      </c>
      <c r="Z26" s="63">
        <f>IS!Z18</f>
        <v>61251</v>
      </c>
      <c r="AA26" s="52"/>
      <c r="AB26" s="62">
        <f>IS!AB18</f>
        <v>12185</v>
      </c>
      <c r="AC26" s="62">
        <f>IS!AC18</f>
        <v>15235</v>
      </c>
      <c r="AD26" s="62">
        <f>IS!AD18</f>
        <v>13152</v>
      </c>
      <c r="AE26" s="62">
        <f>IS!AE18</f>
        <v>11143</v>
      </c>
      <c r="AF26" s="63">
        <f>IS!AF18</f>
        <v>51716</v>
      </c>
      <c r="AG26" s="538"/>
      <c r="AH26" s="62">
        <f>IS!AH18</f>
        <v>8508</v>
      </c>
      <c r="AI26" s="62">
        <f>IS!AI18</f>
        <v>12763</v>
      </c>
      <c r="AJ26" s="62">
        <f>IS!AJ18</f>
        <v>0</v>
      </c>
      <c r="AK26" s="62">
        <f>IS!AK18</f>
        <v>0</v>
      </c>
      <c r="AL26" s="730">
        <f t="shared" ref="AL26:AR26" si="21">SUM(AL20:AL25)</f>
        <v>45133.9</v>
      </c>
      <c r="AM26" s="749">
        <f>SUM(AM20:AM25)</f>
        <v>1</v>
      </c>
      <c r="AN26" s="730">
        <f t="shared" si="21"/>
        <v>0</v>
      </c>
      <c r="AO26" s="730">
        <f t="shared" si="21"/>
        <v>0</v>
      </c>
      <c r="AP26" s="730">
        <f t="shared" si="21"/>
        <v>0</v>
      </c>
      <c r="AQ26" s="730">
        <f t="shared" si="21"/>
        <v>0</v>
      </c>
      <c r="AR26" s="63">
        <f t="shared" si="21"/>
        <v>48117.943530659759</v>
      </c>
      <c r="AS26" s="748">
        <f t="shared" ref="AS26:AY26" si="22">SUM(AS20:AS25)</f>
        <v>1.0042872611957614</v>
      </c>
      <c r="AT26" s="63">
        <f t="shared" si="22"/>
        <v>53088.249999999993</v>
      </c>
      <c r="AU26" s="748">
        <f t="shared" si="22"/>
        <v>1</v>
      </c>
      <c r="AV26" s="63">
        <f t="shared" si="22"/>
        <v>60223.18</v>
      </c>
      <c r="AW26" s="748">
        <f t="shared" si="22"/>
        <v>1</v>
      </c>
      <c r="AX26" s="63">
        <f t="shared" si="22"/>
        <v>63073.979505331896</v>
      </c>
      <c r="AY26" s="759">
        <f t="shared" si="22"/>
        <v>1</v>
      </c>
    </row>
    <row r="27" spans="2:52" ht="15" customHeight="1" x14ac:dyDescent="0.25">
      <c r="AG27" s="205"/>
    </row>
    <row r="28" spans="2:52" ht="15" customHeight="1" x14ac:dyDescent="0.25">
      <c r="B28" s="97" t="s">
        <v>65</v>
      </c>
      <c r="AG28" s="205"/>
    </row>
    <row r="29" spans="2:52" ht="15" customHeight="1" x14ac:dyDescent="0.25">
      <c r="B29" s="707" t="s">
        <v>44</v>
      </c>
      <c r="C29" s="708"/>
      <c r="D29" s="709"/>
      <c r="E29" s="709"/>
      <c r="F29" s="709"/>
      <c r="G29" s="709"/>
      <c r="H29" s="713">
        <v>12662</v>
      </c>
      <c r="I29" s="715">
        <f>H29/H12</f>
        <v>0.97685542354574906</v>
      </c>
      <c r="J29" s="714">
        <v>3726</v>
      </c>
      <c r="K29" s="714">
        <v>3726</v>
      </c>
      <c r="L29" s="714">
        <v>3726</v>
      </c>
      <c r="M29" s="714">
        <v>3726</v>
      </c>
      <c r="N29" s="714">
        <v>16248</v>
      </c>
      <c r="O29" s="715">
        <f>N29/N12</f>
        <v>0.9841904415773215</v>
      </c>
      <c r="P29" s="714"/>
      <c r="Q29" s="714"/>
      <c r="R29" s="714"/>
      <c r="S29" s="714"/>
      <c r="T29" s="714">
        <v>21685</v>
      </c>
      <c r="U29" s="715">
        <f>T29/T12</f>
        <v>0.98559221888919191</v>
      </c>
      <c r="V29" s="714"/>
      <c r="W29" s="714"/>
      <c r="X29" s="714"/>
      <c r="Y29" s="714"/>
      <c r="Z29" s="714">
        <v>26450</v>
      </c>
      <c r="AA29" s="715">
        <f>Z29/Z12</f>
        <v>0.98730869727510262</v>
      </c>
      <c r="AB29" s="714"/>
      <c r="AC29" s="714"/>
      <c r="AD29" s="714"/>
      <c r="AE29" s="714"/>
      <c r="AF29" s="714">
        <v>20574</v>
      </c>
      <c r="AG29" s="715">
        <f>AF29/AF12</f>
        <v>0.98752039934722091</v>
      </c>
      <c r="AH29" s="709"/>
      <c r="AI29" s="709"/>
      <c r="AJ29" s="709"/>
      <c r="AK29" s="709"/>
      <c r="AL29" s="766">
        <f>$AG$29*AL12</f>
        <v>16995.956837861191</v>
      </c>
      <c r="AM29" s="708"/>
      <c r="AN29" s="709"/>
      <c r="AO29" s="709"/>
      <c r="AP29" s="709"/>
      <c r="AQ29" s="709"/>
      <c r="AR29" s="766">
        <f>$AG$29*AR12</f>
        <v>17882.019391379476</v>
      </c>
      <c r="AS29" s="708"/>
      <c r="AT29" s="766">
        <f>$AG$29*AT12</f>
        <v>20430.424409138908</v>
      </c>
      <c r="AU29" s="708"/>
      <c r="AV29" s="766">
        <f>$AG$29*AV12</f>
        <v>23943.320850532786</v>
      </c>
      <c r="AW29" s="708"/>
      <c r="AX29" s="766">
        <f>$AG$29*AX12</f>
        <v>24877.110363703559</v>
      </c>
    </row>
    <row r="30" spans="2:52" ht="15" customHeight="1" x14ac:dyDescent="0.25">
      <c r="B30" s="707" t="s">
        <v>46</v>
      </c>
      <c r="C30" s="708"/>
      <c r="D30" s="709"/>
      <c r="E30" s="709"/>
      <c r="F30" s="709"/>
      <c r="G30" s="709"/>
      <c r="H30" s="716">
        <v>6827</v>
      </c>
      <c r="I30" s="715">
        <f>H30/H13</f>
        <v>0.72914664103385662</v>
      </c>
      <c r="J30" s="717"/>
      <c r="K30" s="717"/>
      <c r="L30" s="717"/>
      <c r="M30" s="717"/>
      <c r="N30" s="714">
        <v>8619</v>
      </c>
      <c r="O30" s="715">
        <f>N30/N13</f>
        <v>0.72672849915682969</v>
      </c>
      <c r="P30" s="714"/>
      <c r="Q30" s="714"/>
      <c r="R30" s="714"/>
      <c r="S30" s="714"/>
      <c r="T30" s="714">
        <v>10027</v>
      </c>
      <c r="U30" s="715">
        <f>T30/T13</f>
        <v>0.74934608773634259</v>
      </c>
      <c r="V30" s="714"/>
      <c r="W30" s="714"/>
      <c r="X30" s="714"/>
      <c r="Y30" s="714"/>
      <c r="Z30" s="714">
        <v>10122</v>
      </c>
      <c r="AA30" s="715">
        <f>Z30/Z13</f>
        <v>0.72403433476394852</v>
      </c>
      <c r="AB30" s="714"/>
      <c r="AC30" s="714"/>
      <c r="AD30" s="714"/>
      <c r="AE30" s="714"/>
      <c r="AF30" s="714">
        <v>7693</v>
      </c>
      <c r="AG30" s="715">
        <f>AF30/AF13</f>
        <v>0.70134014039566051</v>
      </c>
      <c r="AH30" s="709"/>
      <c r="AI30" s="709"/>
      <c r="AJ30" s="709"/>
      <c r="AK30" s="709"/>
      <c r="AL30" s="766">
        <f>$AG$30*AL13</f>
        <v>6946.2761391193371</v>
      </c>
      <c r="AM30" s="708"/>
      <c r="AN30" s="709"/>
      <c r="AO30" s="709"/>
      <c r="AP30" s="709"/>
      <c r="AQ30" s="709"/>
      <c r="AR30" s="766">
        <f>$AG$30*AR13</f>
        <v>7482.5628908742829</v>
      </c>
      <c r="AS30" s="708"/>
      <c r="AT30" s="766">
        <f>$AG$30*AT13</f>
        <v>8221.7613720485006</v>
      </c>
      <c r="AU30" s="708"/>
      <c r="AV30" s="766">
        <f>$AG$30*AV13</f>
        <v>9273.0071218889607</v>
      </c>
      <c r="AW30" s="708"/>
      <c r="AX30" s="766">
        <f>$AG$30*AX13</f>
        <v>9634.6543996426281</v>
      </c>
    </row>
    <row r="31" spans="2:52" ht="15" customHeight="1" x14ac:dyDescent="0.25">
      <c r="B31" s="707" t="s">
        <v>48</v>
      </c>
      <c r="C31" s="708"/>
      <c r="D31" s="709"/>
      <c r="E31" s="709"/>
      <c r="F31" s="709"/>
      <c r="G31" s="709"/>
      <c r="H31" s="716">
        <v>2390</v>
      </c>
      <c r="I31" s="715">
        <f>H31/H13</f>
        <v>0.2552600662180925</v>
      </c>
      <c r="J31" s="717"/>
      <c r="K31" s="717"/>
      <c r="L31" s="717"/>
      <c r="M31" s="717"/>
      <c r="N31" s="714">
        <v>2853</v>
      </c>
      <c r="O31" s="715">
        <f>N31/N13</f>
        <v>0.24055649241146712</v>
      </c>
      <c r="P31" s="714"/>
      <c r="Q31" s="714"/>
      <c r="R31" s="714"/>
      <c r="S31" s="714"/>
      <c r="T31" s="714">
        <v>3027</v>
      </c>
      <c r="U31" s="715">
        <f>T31/T13</f>
        <v>0.22621627681040282</v>
      </c>
      <c r="V31" s="714"/>
      <c r="W31" s="714"/>
      <c r="X31" s="714"/>
      <c r="Y31" s="714"/>
      <c r="Z31" s="714">
        <v>3505</v>
      </c>
      <c r="AA31" s="715">
        <f>Z31/Z13</f>
        <v>0.25071530758226035</v>
      </c>
      <c r="AB31" s="714"/>
      <c r="AC31" s="714"/>
      <c r="AD31" s="714"/>
      <c r="AE31" s="714"/>
      <c r="AF31" s="714">
        <v>3023</v>
      </c>
      <c r="AG31" s="715">
        <f>AF31/AF13</f>
        <v>0.27559485823684932</v>
      </c>
      <c r="AH31" s="709"/>
      <c r="AI31" s="709"/>
      <c r="AJ31" s="709"/>
      <c r="AK31" s="709"/>
      <c r="AL31" s="766">
        <f>$AG$31*AL13</f>
        <v>2729.5713984866447</v>
      </c>
      <c r="AM31" s="708"/>
      <c r="AN31" s="709"/>
      <c r="AO31" s="709"/>
      <c r="AP31" s="709"/>
      <c r="AQ31" s="709"/>
      <c r="AR31" s="766">
        <f>$AG$31*AR13</f>
        <v>2940.3077627860339</v>
      </c>
      <c r="AS31" s="708"/>
      <c r="AT31" s="766">
        <f>$AG$31*AT13</f>
        <v>3230.779231470508</v>
      </c>
      <c r="AU31" s="708"/>
      <c r="AV31" s="766">
        <f>$AG$31*AV13</f>
        <v>3643.871120430304</v>
      </c>
      <c r="AW31" s="708"/>
      <c r="AX31" s="766">
        <f>$AG$31*AX13</f>
        <v>3785.9820941270855</v>
      </c>
    </row>
    <row r="32" spans="2:52" ht="15" customHeight="1" x14ac:dyDescent="0.3">
      <c r="B32" s="700" t="s">
        <v>50</v>
      </c>
      <c r="C32" s="706">
        <f>AVERAGE(I32,O32,U32,AA32,AG32)</f>
        <v>0.44006141404893884</v>
      </c>
      <c r="D32" s="702"/>
      <c r="E32" s="702"/>
      <c r="F32" s="702"/>
      <c r="G32" s="702"/>
      <c r="H32" s="703">
        <v>3521</v>
      </c>
      <c r="I32" s="706">
        <f>H32/SUM(H$32:H$35)</f>
        <v>0.39947810301792602</v>
      </c>
      <c r="J32" s="704"/>
      <c r="K32" s="704"/>
      <c r="L32" s="704"/>
      <c r="M32" s="704"/>
      <c r="N32" s="705">
        <v>4684</v>
      </c>
      <c r="O32" s="718">
        <f>N32/SUM(N$32:N$35)</f>
        <v>0.41813961792537047</v>
      </c>
      <c r="P32" s="705"/>
      <c r="Q32" s="705"/>
      <c r="R32" s="705"/>
      <c r="S32" s="705"/>
      <c r="T32" s="705">
        <v>5864</v>
      </c>
      <c r="U32" s="718">
        <f>T32/SUM(T$32:T$35)</f>
        <v>0.47752442996742672</v>
      </c>
      <c r="V32" s="705"/>
      <c r="W32" s="705"/>
      <c r="X32" s="705"/>
      <c r="Y32" s="705"/>
      <c r="Z32" s="705">
        <v>6842</v>
      </c>
      <c r="AA32" s="718">
        <f>Z32/SUM(Z$32:Z$35)</f>
        <v>0.47134196748415541</v>
      </c>
      <c r="AB32" s="705"/>
      <c r="AC32" s="705"/>
      <c r="AD32" s="705"/>
      <c r="AE32" s="705"/>
      <c r="AF32" s="705">
        <v>5523</v>
      </c>
      <c r="AG32" s="718">
        <f>AF32/SUM(AF$32:AF$35)</f>
        <v>0.4338229518498154</v>
      </c>
      <c r="AH32" s="702"/>
      <c r="AI32" s="702"/>
      <c r="AJ32" s="702"/>
      <c r="AK32" s="702"/>
      <c r="AL32" s="704">
        <f>AL$14*$C32</f>
        <v>4919.3893396692611</v>
      </c>
      <c r="AM32" s="701"/>
      <c r="AN32" s="702"/>
      <c r="AO32" s="702"/>
      <c r="AP32" s="702"/>
      <c r="AQ32" s="702"/>
      <c r="AR32" s="704">
        <f>AR$14*$C32</f>
        <v>5308.0251768724411</v>
      </c>
      <c r="AS32" s="701"/>
      <c r="AT32" s="704">
        <f>AT$14*$C32</f>
        <v>5799.1029106520737</v>
      </c>
      <c r="AU32" s="701"/>
      <c r="AV32" s="704">
        <f>AV$14*$C32</f>
        <v>6502.0086066983022</v>
      </c>
      <c r="AW32" s="701"/>
      <c r="AX32" s="704">
        <f>AX$14*$C32</f>
        <v>6775.0929681796315</v>
      </c>
    </row>
    <row r="33" spans="1:53" ht="15" customHeight="1" x14ac:dyDescent="0.3">
      <c r="B33" s="700" t="s">
        <v>52</v>
      </c>
      <c r="C33" s="706">
        <f>AVERAGE(I33,O33,U33,AA33,AG33)</f>
        <v>0.15492922328946421</v>
      </c>
      <c r="D33" s="702"/>
      <c r="E33" s="702"/>
      <c r="F33" s="702"/>
      <c r="G33" s="702"/>
      <c r="H33" s="703">
        <v>1269</v>
      </c>
      <c r="I33" s="706">
        <f>H33/SUM(H$32:H$35)</f>
        <v>0.14397549353301567</v>
      </c>
      <c r="J33" s="704"/>
      <c r="K33" s="704"/>
      <c r="L33" s="704"/>
      <c r="M33" s="704"/>
      <c r="N33" s="705">
        <v>1489</v>
      </c>
      <c r="O33" s="718">
        <f>N33/SUM(N$32:N$35)</f>
        <v>0.13292269237636137</v>
      </c>
      <c r="P33" s="705"/>
      <c r="Q33" s="705"/>
      <c r="R33" s="705"/>
      <c r="S33" s="705"/>
      <c r="T33" s="705">
        <v>1667</v>
      </c>
      <c r="U33" s="718">
        <f>T33/SUM(T$32:T$35)</f>
        <v>0.13574918566775243</v>
      </c>
      <c r="V33" s="705"/>
      <c r="W33" s="705"/>
      <c r="X33" s="705"/>
      <c r="Y33" s="705"/>
      <c r="Z33" s="705">
        <v>2451</v>
      </c>
      <c r="AA33" s="718">
        <f>Z33/SUM(Z$32:Z$35)</f>
        <v>0.16884816753926701</v>
      </c>
      <c r="AB33" s="705"/>
      <c r="AC33" s="705"/>
      <c r="AD33" s="705"/>
      <c r="AE33" s="705"/>
      <c r="AF33" s="705">
        <v>2459</v>
      </c>
      <c r="AG33" s="718">
        <f>AF33/SUM(AF$32:AF$35)</f>
        <v>0.19315057733092453</v>
      </c>
      <c r="AH33" s="702"/>
      <c r="AI33" s="702"/>
      <c r="AJ33" s="702"/>
      <c r="AK33" s="702"/>
      <c r="AL33" s="704">
        <f>AL$14*$C33</f>
        <v>1731.9336463538928</v>
      </c>
      <c r="AM33" s="701"/>
      <c r="AN33" s="702"/>
      <c r="AO33" s="702"/>
      <c r="AP33" s="702"/>
      <c r="AQ33" s="702"/>
      <c r="AR33" s="704">
        <f>AR$14*$C33</f>
        <v>1868.7578406097502</v>
      </c>
      <c r="AS33" s="701"/>
      <c r="AT33" s="704">
        <f>AT$14*$C33</f>
        <v>2041.648008755162</v>
      </c>
      <c r="AU33" s="701"/>
      <c r="AV33" s="704">
        <f>AV$14*$C33</f>
        <v>2289.1149078231902</v>
      </c>
      <c r="AW33" s="701"/>
      <c r="AX33" s="704">
        <f>AX$14*$C33</f>
        <v>2385.2577339517643</v>
      </c>
    </row>
    <row r="34" spans="1:53" ht="15" customHeight="1" x14ac:dyDescent="0.3">
      <c r="B34" s="700" t="s">
        <v>54</v>
      </c>
      <c r="C34" s="706">
        <f>AVERAGE(I34,O34,U34,AA34,AG34)</f>
        <v>0.29879812820780854</v>
      </c>
      <c r="D34" s="702"/>
      <c r="E34" s="702"/>
      <c r="F34" s="702"/>
      <c r="G34" s="702"/>
      <c r="H34" s="703">
        <v>2924</v>
      </c>
      <c r="I34" s="706">
        <f>H34/SUM(H$32:H$35)</f>
        <v>0.33174495121397779</v>
      </c>
      <c r="J34" s="704"/>
      <c r="K34" s="704"/>
      <c r="L34" s="704"/>
      <c r="M34" s="704"/>
      <c r="N34" s="705">
        <v>3749</v>
      </c>
      <c r="O34" s="718">
        <f>N34/SUM(N$32:N$35)</f>
        <v>0.33467237993215498</v>
      </c>
      <c r="P34" s="705"/>
      <c r="Q34" s="705"/>
      <c r="R34" s="705"/>
      <c r="S34" s="705"/>
      <c r="T34" s="705">
        <v>3441</v>
      </c>
      <c r="U34" s="718">
        <f>T34/SUM(T$32:T$35)</f>
        <v>0.28021172638436481</v>
      </c>
      <c r="V34" s="705"/>
      <c r="W34" s="705"/>
      <c r="X34" s="705"/>
      <c r="Y34" s="705"/>
      <c r="Z34" s="705">
        <v>3794</v>
      </c>
      <c r="AA34" s="718">
        <f>Z34/SUM(Z$32:Z$35)</f>
        <v>0.26136676770460182</v>
      </c>
      <c r="AB34" s="705"/>
      <c r="AC34" s="705"/>
      <c r="AD34" s="705"/>
      <c r="AE34" s="705"/>
      <c r="AF34" s="705">
        <v>3641</v>
      </c>
      <c r="AG34" s="718">
        <f>AF34/SUM(AF$32:AF$35)</f>
        <v>0.28599481580394315</v>
      </c>
      <c r="AH34" s="702"/>
      <c r="AI34" s="702"/>
      <c r="AJ34" s="702"/>
      <c r="AK34" s="702"/>
      <c r="AL34" s="704">
        <f>AL$14*$C34</f>
        <v>3340.225431478425</v>
      </c>
      <c r="AM34" s="701"/>
      <c r="AN34" s="702"/>
      <c r="AO34" s="702"/>
      <c r="AP34" s="702"/>
      <c r="AQ34" s="702"/>
      <c r="AR34" s="704">
        <f>AR$14*$C34</f>
        <v>3604.1060104238686</v>
      </c>
      <c r="AS34" s="701"/>
      <c r="AT34" s="704">
        <f>AT$14*$C34</f>
        <v>3937.5438056348089</v>
      </c>
      <c r="AU34" s="701"/>
      <c r="AV34" s="704">
        <f>AV$14*$C34</f>
        <v>4414.8110678398589</v>
      </c>
      <c r="AW34" s="701"/>
      <c r="AX34" s="704">
        <f>AX$14*$C34</f>
        <v>4600.2331326891335</v>
      </c>
      <c r="BA34" s="97" t="s">
        <v>66</v>
      </c>
    </row>
    <row r="35" spans="1:53" ht="15" customHeight="1" x14ac:dyDescent="0.3">
      <c r="B35" s="719" t="s">
        <v>56</v>
      </c>
      <c r="C35" s="722">
        <f>AVERAGE(I35,O35,U35,AA35,AG35)</f>
        <v>0.10621123445378848</v>
      </c>
      <c r="D35" s="720"/>
      <c r="E35" s="720"/>
      <c r="F35" s="720"/>
      <c r="G35" s="720"/>
      <c r="H35" s="721">
        <v>1100</v>
      </c>
      <c r="I35" s="722">
        <f>H35/SUM(H$32:H$35)</f>
        <v>0.12480145223508056</v>
      </c>
      <c r="J35" s="723"/>
      <c r="K35" s="723"/>
      <c r="L35" s="723"/>
      <c r="M35" s="723"/>
      <c r="N35" s="724">
        <v>1280</v>
      </c>
      <c r="O35" s="725">
        <f>N35/SUM(N$32:N$35)</f>
        <v>0.1142653097661132</v>
      </c>
      <c r="P35" s="724"/>
      <c r="Q35" s="724"/>
      <c r="R35" s="724"/>
      <c r="S35" s="724"/>
      <c r="T35" s="724">
        <v>1308</v>
      </c>
      <c r="U35" s="725">
        <f>T35/SUM(T$32:T$35)</f>
        <v>0.10651465798045602</v>
      </c>
      <c r="V35" s="724"/>
      <c r="W35" s="724"/>
      <c r="X35" s="724"/>
      <c r="Y35" s="724"/>
      <c r="Z35" s="724">
        <v>1429</v>
      </c>
      <c r="AA35" s="725">
        <f>Z35/SUM(Z$32:Z$35)</f>
        <v>9.8443097271975755E-2</v>
      </c>
      <c r="AB35" s="724"/>
      <c r="AC35" s="724"/>
      <c r="AD35" s="724"/>
      <c r="AE35" s="724"/>
      <c r="AF35" s="724">
        <v>1108</v>
      </c>
      <c r="AG35" s="725">
        <f>AF35/SUM(AF$32:AF$35)</f>
        <v>8.7031655015316942E-2</v>
      </c>
      <c r="AH35" s="720"/>
      <c r="AI35" s="720"/>
      <c r="AJ35" s="720"/>
      <c r="AK35" s="720"/>
      <c r="AL35" s="723">
        <f>AL$14*$C35</f>
        <v>1187.3215824984225</v>
      </c>
      <c r="AM35" s="726"/>
      <c r="AN35" s="720"/>
      <c r="AO35" s="720"/>
      <c r="AP35" s="720"/>
      <c r="AQ35" s="720"/>
      <c r="AR35" s="723">
        <f>AR$14*$C35</f>
        <v>1281.1209720939412</v>
      </c>
      <c r="AS35" s="726"/>
      <c r="AT35" s="723">
        <f>AT$14*$C35</f>
        <v>1399.6452749579573</v>
      </c>
      <c r="AU35" s="726"/>
      <c r="AV35" s="723">
        <f>AV$14*$C35</f>
        <v>1569.295417638649</v>
      </c>
      <c r="AW35" s="726"/>
      <c r="AX35" s="723">
        <f>AX$14*$C35</f>
        <v>1635.2058251794724</v>
      </c>
      <c r="BA35" s="97" t="s">
        <v>67</v>
      </c>
    </row>
    <row r="36" spans="1:53" ht="15" customHeight="1" x14ac:dyDescent="0.25">
      <c r="B36" s="56" t="s">
        <v>57</v>
      </c>
      <c r="D36" s="46"/>
      <c r="E36" s="46"/>
      <c r="F36" s="46"/>
      <c r="G36" s="46"/>
      <c r="H36" s="687">
        <v>3720</v>
      </c>
      <c r="I36" s="685"/>
      <c r="J36" s="686"/>
      <c r="K36" s="686"/>
      <c r="L36" s="686"/>
      <c r="M36" s="686"/>
      <c r="N36" s="57">
        <v>3669</v>
      </c>
      <c r="O36" s="57"/>
      <c r="P36" s="57"/>
      <c r="Q36" s="57"/>
      <c r="R36" s="57"/>
      <c r="S36" s="57"/>
      <c r="T36" s="57">
        <v>3769</v>
      </c>
      <c r="U36" s="57"/>
      <c r="V36" s="57"/>
      <c r="W36" s="57"/>
      <c r="X36" s="57"/>
      <c r="Y36" s="57"/>
      <c r="Z36" s="57">
        <v>5094</v>
      </c>
      <c r="AA36" s="57"/>
      <c r="AB36" s="57"/>
      <c r="AC36" s="57"/>
      <c r="AD36" s="57"/>
      <c r="AE36" s="57"/>
      <c r="AF36" s="57">
        <v>6220</v>
      </c>
      <c r="AG36" s="205"/>
      <c r="AH36" s="46"/>
      <c r="AI36" s="46"/>
      <c r="AJ36" s="46"/>
      <c r="AK36" s="46"/>
      <c r="AL36" s="312">
        <f>SUM(AL12:AL14)-SUM(AL29:AL35)+AL15</f>
        <v>6276.4656245328315</v>
      </c>
      <c r="AN36" s="46"/>
      <c r="AO36" s="46"/>
      <c r="AP36" s="46"/>
      <c r="AQ36" s="46"/>
      <c r="AR36" s="312">
        <f>SUM(AR12:AR14)-SUM(AR29:AR35)+AR15</f>
        <v>6490.8699549601979</v>
      </c>
      <c r="AT36" s="312">
        <f>SUM(AT12:AT14)-SUM(AT29:AT35)+AT15</f>
        <v>6892.9549873420938</v>
      </c>
      <c r="AV36" s="312">
        <f>SUM(AV12:AV14)-SUM(AV29:AV35)+AV15</f>
        <v>7401.6109071479586</v>
      </c>
      <c r="AX36" s="312">
        <f>SUM(AX12:AX14)-SUM(AX29:AX35)+AX15</f>
        <v>8043.9324445315015</v>
      </c>
      <c r="BA36" s="97" t="s">
        <v>68</v>
      </c>
    </row>
    <row r="37" spans="1:53" ht="15" customHeight="1" x14ac:dyDescent="0.25">
      <c r="B37" s="56" t="s">
        <v>53</v>
      </c>
      <c r="D37" s="46"/>
      <c r="E37" s="46"/>
      <c r="F37" s="46"/>
      <c r="G37" s="46"/>
      <c r="H37" s="687">
        <v>1127</v>
      </c>
      <c r="I37" s="685"/>
      <c r="J37" s="686"/>
      <c r="K37" s="686"/>
      <c r="L37" s="686"/>
      <c r="M37" s="686"/>
      <c r="N37" s="57">
        <v>1433</v>
      </c>
      <c r="O37" s="57"/>
      <c r="P37" s="57"/>
      <c r="Q37" s="57"/>
      <c r="R37" s="57"/>
      <c r="S37" s="57"/>
      <c r="T37" s="57">
        <v>1789</v>
      </c>
      <c r="U37" s="57"/>
      <c r="V37" s="57"/>
      <c r="W37" s="57"/>
      <c r="X37" s="57"/>
      <c r="Y37" s="57"/>
      <c r="Z37" s="57">
        <v>1564</v>
      </c>
      <c r="AA37" s="57"/>
      <c r="AB37" s="57"/>
      <c r="AC37" s="57"/>
      <c r="AD37" s="57"/>
      <c r="AE37" s="57"/>
      <c r="AF37" s="57">
        <v>1475</v>
      </c>
      <c r="AG37" s="205"/>
      <c r="AH37" s="46"/>
      <c r="AI37" s="46"/>
      <c r="AJ37" s="46"/>
      <c r="AK37" s="46"/>
      <c r="AL37" s="312">
        <f>AL16</f>
        <v>1006.76</v>
      </c>
      <c r="AN37" s="46"/>
      <c r="AO37" s="46"/>
      <c r="AP37" s="46"/>
      <c r="AQ37" s="46"/>
      <c r="AR37" s="312">
        <f>AR16</f>
        <v>1054.76</v>
      </c>
      <c r="AT37" s="312">
        <f>AT16</f>
        <v>1134.3900000000001</v>
      </c>
      <c r="AV37" s="312">
        <f>AV16</f>
        <v>1186.1400000000001</v>
      </c>
      <c r="AX37" s="312">
        <f>AX16</f>
        <v>1336.510543327109</v>
      </c>
      <c r="BA37" s="97" t="s">
        <v>69</v>
      </c>
    </row>
    <row r="39" spans="1:53" ht="15" customHeight="1" x14ac:dyDescent="0.3">
      <c r="A39" s="44" t="s">
        <v>70</v>
      </c>
      <c r="B39" s="161" t="s">
        <v>71</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row>
    <row r="40" spans="1:53" ht="15" customHeight="1" x14ac:dyDescent="0.3">
      <c r="B40" s="164"/>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row>
    <row r="41" spans="1:53" ht="15" customHeight="1" x14ac:dyDescent="0.3">
      <c r="B41" s="164"/>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row>
    <row r="42" spans="1:53" ht="4.3499999999999996" customHeight="1" x14ac:dyDescent="0.3">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row>
    <row r="43" spans="1:53" ht="4.3499999999999996" customHeight="1" x14ac:dyDescent="0.25"/>
    <row r="44" spans="1:53" s="23" customFormat="1" ht="49.5" customHeight="1" x14ac:dyDescent="0.25">
      <c r="B44" s="23" t="s">
        <v>72</v>
      </c>
      <c r="C44" s="205"/>
    </row>
    <row r="45" spans="1:53" s="23" customFormat="1" ht="71.099999999999994" customHeight="1" x14ac:dyDescent="0.25">
      <c r="B45" s="574" t="s">
        <v>73</v>
      </c>
      <c r="C45" s="205"/>
      <c r="D45" s="97"/>
      <c r="E45" s="97"/>
      <c r="F45" s="97"/>
      <c r="G45" s="97"/>
      <c r="H45" s="810" t="s">
        <v>74</v>
      </c>
      <c r="I45" s="810"/>
      <c r="J45" s="810"/>
      <c r="K45" s="810"/>
      <c r="L45" s="810"/>
      <c r="M45" s="810"/>
      <c r="N45" s="810"/>
      <c r="O45" s="810"/>
      <c r="P45" s="810"/>
      <c r="Q45" s="810"/>
      <c r="R45" s="810"/>
      <c r="S45" s="810"/>
      <c r="T45" s="810"/>
      <c r="U45" s="810"/>
      <c r="V45" s="810"/>
      <c r="W45" s="810"/>
      <c r="X45" s="810"/>
      <c r="Y45" s="810"/>
      <c r="Z45" s="810"/>
      <c r="AA45" s="810"/>
      <c r="AB45" s="810"/>
      <c r="AC45" s="810"/>
      <c r="AD45" s="810"/>
      <c r="AE45" s="810"/>
      <c r="AF45" s="810"/>
      <c r="AG45" s="810"/>
      <c r="AH45" s="810"/>
      <c r="AI45" s="810"/>
      <c r="AJ45" s="810"/>
      <c r="AK45" s="810"/>
      <c r="AL45" s="810"/>
      <c r="AM45" s="810"/>
      <c r="AN45" s="810"/>
      <c r="AO45" s="810"/>
      <c r="AP45" s="810"/>
      <c r="AQ45" s="810"/>
      <c r="AR45" s="810"/>
      <c r="AS45" s="810"/>
      <c r="AT45" s="810"/>
      <c r="AU45" s="810"/>
      <c r="AV45" s="810"/>
      <c r="AW45" s="810"/>
      <c r="AX45" s="810"/>
    </row>
    <row r="46" spans="1:53" ht="49.5" customHeight="1" x14ac:dyDescent="0.25">
      <c r="B46" s="97" t="s">
        <v>75</v>
      </c>
      <c r="C46" s="205"/>
      <c r="H46" s="811" t="s">
        <v>76</v>
      </c>
      <c r="I46" s="811"/>
      <c r="J46" s="811"/>
      <c r="K46" s="811"/>
      <c r="L46" s="811"/>
      <c r="M46" s="811"/>
      <c r="N46" s="811"/>
      <c r="O46" s="811"/>
      <c r="P46" s="811"/>
      <c r="Q46" s="811"/>
      <c r="R46" s="811"/>
      <c r="S46" s="811"/>
      <c r="T46" s="811"/>
      <c r="U46" s="811"/>
      <c r="V46" s="811"/>
      <c r="W46" s="811"/>
      <c r="X46" s="811"/>
      <c r="Y46" s="811"/>
      <c r="Z46" s="811"/>
      <c r="AA46" s="811"/>
      <c r="AB46" s="811"/>
      <c r="AC46" s="811"/>
      <c r="AD46" s="811"/>
      <c r="AE46" s="811"/>
      <c r="AF46" s="811"/>
      <c r="AG46" s="811"/>
      <c r="AH46" s="811"/>
      <c r="AI46" s="811"/>
      <c r="AJ46" s="811"/>
      <c r="AK46" s="811"/>
      <c r="AL46" s="811"/>
      <c r="AM46" s="811"/>
      <c r="AN46" s="811"/>
      <c r="AO46" s="811"/>
      <c r="AP46" s="811"/>
      <c r="AQ46" s="811"/>
      <c r="AR46" s="811"/>
      <c r="AS46" s="811"/>
      <c r="AT46" s="811"/>
      <c r="AU46" s="811"/>
      <c r="AV46" s="811"/>
      <c r="AW46" s="811"/>
      <c r="AX46" s="811"/>
    </row>
    <row r="47" spans="1:53" ht="49.5" customHeight="1" x14ac:dyDescent="0.25">
      <c r="B47" s="761"/>
      <c r="C47" s="760"/>
      <c r="D47" s="761"/>
      <c r="E47" s="761"/>
      <c r="F47" s="761"/>
      <c r="G47" s="761"/>
      <c r="H47" s="814"/>
      <c r="I47" s="814"/>
      <c r="J47" s="814"/>
      <c r="K47" s="814"/>
      <c r="L47" s="814"/>
      <c r="M47" s="814"/>
      <c r="N47" s="814"/>
      <c r="O47" s="814"/>
      <c r="P47" s="814"/>
      <c r="Q47" s="814"/>
      <c r="R47" s="814"/>
      <c r="S47" s="814"/>
      <c r="T47" s="814"/>
      <c r="U47" s="814"/>
      <c r="V47" s="814"/>
      <c r="W47" s="814"/>
      <c r="X47" s="814"/>
      <c r="Y47" s="814"/>
      <c r="Z47" s="814"/>
      <c r="AA47" s="814"/>
      <c r="AB47" s="814"/>
      <c r="AC47" s="814"/>
      <c r="AD47" s="814"/>
      <c r="AE47" s="814"/>
      <c r="AF47" s="814"/>
      <c r="AG47" s="814"/>
      <c r="AH47" s="814"/>
      <c r="AI47" s="814"/>
      <c r="AJ47" s="814"/>
      <c r="AK47" s="814"/>
      <c r="AL47" s="814"/>
      <c r="AM47" s="814"/>
      <c r="AN47" s="814"/>
      <c r="AO47" s="814"/>
      <c r="AP47" s="814"/>
      <c r="AQ47" s="814"/>
      <c r="AR47" s="814"/>
      <c r="AS47" s="814"/>
      <c r="AT47" s="814"/>
      <c r="AU47" s="814"/>
      <c r="AV47" s="814"/>
      <c r="AW47" s="814"/>
      <c r="AX47" s="814"/>
    </row>
    <row r="48" spans="1:53" ht="49.5" customHeight="1" x14ac:dyDescent="0.25">
      <c r="C48" s="205"/>
    </row>
    <row r="49" spans="2:50" ht="49.5" customHeight="1" x14ac:dyDescent="0.25">
      <c r="C49" s="205"/>
    </row>
    <row r="50" spans="2:50" ht="49.5" customHeight="1" x14ac:dyDescent="0.25">
      <c r="C50" s="205"/>
    </row>
    <row r="51" spans="2:50" ht="49.5" customHeight="1" x14ac:dyDescent="0.25">
      <c r="B51" s="574" t="s">
        <v>77</v>
      </c>
      <c r="C51" s="545"/>
      <c r="D51" s="556"/>
      <c r="E51" s="556"/>
      <c r="F51" s="556"/>
      <c r="G51" s="556"/>
      <c r="H51" s="810" t="s">
        <v>78</v>
      </c>
      <c r="I51" s="810"/>
      <c r="J51" s="810"/>
      <c r="K51" s="810"/>
      <c r="L51" s="810"/>
      <c r="M51" s="810"/>
      <c r="N51" s="810"/>
      <c r="O51" s="810"/>
      <c r="P51" s="810"/>
      <c r="Q51" s="810"/>
      <c r="R51" s="810"/>
      <c r="S51" s="810"/>
      <c r="T51" s="810"/>
      <c r="U51" s="810"/>
      <c r="V51" s="810"/>
      <c r="W51" s="810"/>
      <c r="X51" s="810"/>
      <c r="Y51" s="810"/>
      <c r="Z51" s="810"/>
      <c r="AA51" s="810"/>
      <c r="AB51" s="810"/>
      <c r="AC51" s="810"/>
      <c r="AD51" s="810"/>
      <c r="AE51" s="810"/>
      <c r="AF51" s="810"/>
      <c r="AG51" s="810"/>
      <c r="AH51" s="810"/>
      <c r="AI51" s="810"/>
      <c r="AJ51" s="810"/>
      <c r="AK51" s="810"/>
      <c r="AL51" s="810"/>
      <c r="AM51" s="810"/>
      <c r="AN51" s="810"/>
      <c r="AO51" s="810"/>
      <c r="AP51" s="810"/>
      <c r="AQ51" s="810"/>
      <c r="AR51" s="810"/>
      <c r="AS51" s="810"/>
      <c r="AT51" s="810"/>
      <c r="AU51" s="810"/>
      <c r="AV51" s="810"/>
      <c r="AW51" s="810"/>
      <c r="AX51" s="810"/>
    </row>
    <row r="52" spans="2:50" ht="49.5" customHeight="1" x14ac:dyDescent="0.25">
      <c r="B52" s="574" t="s">
        <v>79</v>
      </c>
      <c r="C52" s="545"/>
      <c r="D52" s="556"/>
      <c r="E52" s="556"/>
      <c r="F52" s="556"/>
      <c r="G52" s="556"/>
      <c r="H52" s="810" t="s">
        <v>80</v>
      </c>
      <c r="I52" s="810"/>
      <c r="J52" s="810"/>
      <c r="K52" s="810"/>
      <c r="L52" s="810"/>
      <c r="M52" s="810"/>
      <c r="N52" s="810"/>
      <c r="O52" s="810"/>
      <c r="P52" s="810"/>
      <c r="Q52" s="810"/>
      <c r="R52" s="810"/>
      <c r="S52" s="810"/>
      <c r="T52" s="810"/>
      <c r="U52" s="810"/>
      <c r="V52" s="810"/>
      <c r="W52" s="810"/>
      <c r="X52" s="810"/>
      <c r="Y52" s="810"/>
      <c r="Z52" s="810"/>
      <c r="AA52" s="810"/>
      <c r="AB52" s="810"/>
      <c r="AC52" s="810"/>
      <c r="AD52" s="810"/>
      <c r="AE52" s="810"/>
      <c r="AF52" s="810"/>
      <c r="AG52" s="810"/>
      <c r="AH52" s="810"/>
      <c r="AI52" s="810"/>
      <c r="AJ52" s="810"/>
      <c r="AK52" s="810"/>
      <c r="AL52" s="810"/>
      <c r="AM52" s="810"/>
      <c r="AN52" s="810"/>
      <c r="AO52" s="810"/>
      <c r="AP52" s="810"/>
      <c r="AQ52" s="810"/>
      <c r="AR52" s="810"/>
      <c r="AS52" s="810"/>
      <c r="AT52" s="810"/>
      <c r="AU52" s="810"/>
      <c r="AV52" s="810"/>
      <c r="AW52" s="810"/>
      <c r="AX52" s="810"/>
    </row>
    <row r="53" spans="2:50" ht="49.5" customHeight="1" x14ac:dyDescent="0.25">
      <c r="B53" s="574" t="s">
        <v>81</v>
      </c>
      <c r="C53" s="545"/>
      <c r="D53" s="556"/>
      <c r="E53" s="556"/>
      <c r="F53" s="556"/>
      <c r="G53" s="556"/>
      <c r="H53" s="810" t="s">
        <v>82</v>
      </c>
      <c r="I53" s="810"/>
      <c r="J53" s="810"/>
      <c r="K53" s="810"/>
      <c r="L53" s="810"/>
      <c r="M53" s="810"/>
      <c r="N53" s="810"/>
      <c r="O53" s="810"/>
      <c r="P53" s="810"/>
      <c r="Q53" s="810"/>
      <c r="R53" s="810"/>
      <c r="S53" s="810"/>
      <c r="T53" s="810"/>
      <c r="U53" s="810"/>
      <c r="V53" s="810"/>
      <c r="W53" s="810"/>
      <c r="X53" s="810"/>
      <c r="Y53" s="810"/>
      <c r="Z53" s="810"/>
      <c r="AA53" s="810"/>
      <c r="AB53" s="810"/>
      <c r="AC53" s="810"/>
      <c r="AD53" s="810"/>
      <c r="AE53" s="810"/>
      <c r="AF53" s="810"/>
      <c r="AG53" s="810"/>
      <c r="AH53" s="810"/>
      <c r="AI53" s="810"/>
      <c r="AJ53" s="810"/>
      <c r="AK53" s="810"/>
      <c r="AL53" s="810"/>
      <c r="AM53" s="810"/>
      <c r="AN53" s="810"/>
      <c r="AO53" s="810"/>
      <c r="AP53" s="810"/>
      <c r="AQ53" s="810"/>
      <c r="AR53" s="810"/>
      <c r="AS53" s="810"/>
      <c r="AT53" s="810"/>
      <c r="AU53" s="810"/>
      <c r="AV53" s="810"/>
      <c r="AW53" s="810"/>
      <c r="AX53" s="810"/>
    </row>
    <row r="54" spans="2:50" ht="49.5" customHeight="1" x14ac:dyDescent="0.25">
      <c r="B54" s="574" t="s">
        <v>83</v>
      </c>
      <c r="C54" s="205"/>
      <c r="H54" s="810" t="s">
        <v>84</v>
      </c>
      <c r="I54" s="810"/>
      <c r="J54" s="810"/>
      <c r="K54" s="810"/>
      <c r="L54" s="810"/>
      <c r="M54" s="810"/>
      <c r="N54" s="810"/>
      <c r="O54" s="810"/>
      <c r="P54" s="810"/>
      <c r="Q54" s="810"/>
      <c r="R54" s="810"/>
      <c r="S54" s="810"/>
      <c r="T54" s="810"/>
      <c r="U54" s="810"/>
      <c r="V54" s="810"/>
      <c r="W54" s="810"/>
      <c r="X54" s="810"/>
      <c r="Y54" s="810"/>
      <c r="Z54" s="810"/>
      <c r="AA54" s="810"/>
      <c r="AB54" s="810"/>
      <c r="AC54" s="810"/>
      <c r="AD54" s="810"/>
      <c r="AE54" s="810"/>
      <c r="AF54" s="810"/>
      <c r="AG54" s="810"/>
      <c r="AH54" s="810"/>
      <c r="AI54" s="810"/>
      <c r="AJ54" s="810"/>
      <c r="AK54" s="810"/>
      <c r="AL54" s="810"/>
      <c r="AM54" s="810"/>
      <c r="AN54" s="810"/>
      <c r="AO54" s="810"/>
      <c r="AP54" s="810"/>
      <c r="AQ54" s="810"/>
      <c r="AR54" s="810"/>
      <c r="AS54" s="810"/>
      <c r="AT54" s="810"/>
      <c r="AU54" s="810"/>
      <c r="AV54" s="810"/>
      <c r="AW54" s="810"/>
      <c r="AX54" s="810"/>
    </row>
    <row r="55" spans="2:50" ht="49.5" customHeight="1" x14ac:dyDescent="0.25">
      <c r="B55" s="574" t="s">
        <v>85</v>
      </c>
      <c r="C55" s="205"/>
      <c r="H55" s="740"/>
      <c r="I55" s="740"/>
      <c r="J55" s="740"/>
      <c r="K55" s="740"/>
      <c r="L55" s="740"/>
      <c r="M55" s="740"/>
      <c r="N55" s="740"/>
      <c r="O55" s="740"/>
      <c r="P55" s="740"/>
      <c r="Q55" s="740"/>
      <c r="R55" s="740"/>
      <c r="S55" s="740"/>
      <c r="T55" s="740"/>
      <c r="U55" s="740"/>
      <c r="V55" s="740"/>
      <c r="W55" s="740"/>
      <c r="X55" s="740"/>
      <c r="Y55" s="740"/>
      <c r="Z55" s="740"/>
      <c r="AA55" s="740"/>
      <c r="AB55" s="740"/>
      <c r="AC55" s="740"/>
      <c r="AD55" s="740"/>
      <c r="AE55" s="740"/>
      <c r="AF55" s="740"/>
      <c r="AG55" s="740"/>
      <c r="AH55" s="740"/>
      <c r="AI55" s="740"/>
      <c r="AJ55" s="740"/>
      <c r="AK55" s="740"/>
      <c r="AL55" s="740"/>
      <c r="AM55" s="740"/>
      <c r="AN55" s="740"/>
      <c r="AO55" s="740"/>
      <c r="AP55" s="740"/>
      <c r="AQ55" s="740"/>
      <c r="AR55" s="740"/>
      <c r="AS55" s="740"/>
      <c r="AT55" s="740"/>
      <c r="AU55" s="740"/>
      <c r="AV55" s="740"/>
      <c r="AW55" s="740"/>
      <c r="AX55" s="740"/>
    </row>
    <row r="56" spans="2:50" ht="49.5" customHeight="1" x14ac:dyDescent="0.25"/>
    <row r="57" spans="2:50" ht="49.5" customHeight="1" x14ac:dyDescent="0.25">
      <c r="C57" s="205"/>
    </row>
    <row r="58" spans="2:50" ht="15" customHeight="1" x14ac:dyDescent="0.25">
      <c r="C58" s="205"/>
    </row>
    <row r="59" spans="2:50" ht="15" customHeight="1" x14ac:dyDescent="0.25">
      <c r="C59" s="205"/>
    </row>
    <row r="66" spans="2:50" ht="15" customHeight="1" x14ac:dyDescent="0.25">
      <c r="B66" s="574"/>
      <c r="C66" s="205"/>
      <c r="H66" s="810"/>
      <c r="I66" s="810"/>
      <c r="J66" s="810"/>
      <c r="K66" s="810"/>
      <c r="L66" s="810"/>
      <c r="M66" s="810"/>
      <c r="N66" s="810"/>
      <c r="O66" s="810"/>
      <c r="P66" s="810"/>
      <c r="Q66" s="810"/>
      <c r="R66" s="810"/>
      <c r="S66" s="810"/>
      <c r="T66" s="810"/>
      <c r="U66" s="810"/>
      <c r="V66" s="810"/>
      <c r="W66" s="810"/>
      <c r="X66" s="810"/>
      <c r="Y66" s="810"/>
      <c r="Z66" s="810"/>
      <c r="AA66" s="810"/>
      <c r="AB66" s="810"/>
      <c r="AC66" s="810"/>
      <c r="AD66" s="810"/>
      <c r="AE66" s="810"/>
      <c r="AF66" s="810"/>
      <c r="AG66" s="810"/>
      <c r="AH66" s="810"/>
      <c r="AI66" s="810"/>
      <c r="AJ66" s="810"/>
      <c r="AK66" s="810"/>
      <c r="AL66" s="810"/>
      <c r="AM66" s="810"/>
      <c r="AN66" s="810"/>
      <c r="AO66" s="810"/>
      <c r="AP66" s="810"/>
      <c r="AQ66" s="810"/>
      <c r="AR66" s="810"/>
      <c r="AS66" s="810"/>
      <c r="AT66" s="810"/>
      <c r="AU66" s="810"/>
      <c r="AV66" s="810"/>
      <c r="AW66" s="810"/>
      <c r="AX66" s="810"/>
    </row>
    <row r="67" spans="2:50" ht="15" customHeight="1" x14ac:dyDescent="0.25">
      <c r="B67" s="574"/>
      <c r="C67" s="205"/>
      <c r="H67" s="810"/>
      <c r="I67" s="810"/>
      <c r="J67" s="810"/>
      <c r="K67" s="810"/>
      <c r="L67" s="810"/>
      <c r="M67" s="810"/>
      <c r="N67" s="810"/>
      <c r="O67" s="810"/>
      <c r="P67" s="810"/>
      <c r="Q67" s="810"/>
      <c r="R67" s="810"/>
      <c r="S67" s="810"/>
      <c r="T67" s="810"/>
      <c r="U67" s="810"/>
      <c r="V67" s="810"/>
      <c r="W67" s="810"/>
      <c r="X67" s="810"/>
      <c r="Y67" s="810"/>
      <c r="Z67" s="810"/>
      <c r="AA67" s="810"/>
      <c r="AB67" s="810"/>
      <c r="AC67" s="810"/>
      <c r="AD67" s="810"/>
      <c r="AE67" s="810"/>
      <c r="AF67" s="810"/>
      <c r="AG67" s="810"/>
      <c r="AH67" s="810"/>
      <c r="AI67" s="810"/>
      <c r="AJ67" s="810"/>
      <c r="AK67" s="810"/>
      <c r="AL67" s="810"/>
      <c r="AM67" s="810"/>
      <c r="AN67" s="810"/>
      <c r="AO67" s="810"/>
      <c r="AP67" s="810"/>
      <c r="AQ67" s="810"/>
      <c r="AR67" s="810"/>
      <c r="AS67" s="810"/>
      <c r="AT67" s="810"/>
      <c r="AU67" s="810"/>
      <c r="AV67" s="810"/>
      <c r="AW67" s="810"/>
      <c r="AX67" s="810"/>
    </row>
    <row r="68" spans="2:50" ht="15" customHeight="1" x14ac:dyDescent="0.25">
      <c r="B68" s="574"/>
      <c r="C68" s="205"/>
      <c r="H68" s="810"/>
      <c r="I68" s="810"/>
      <c r="J68" s="810"/>
      <c r="K68" s="810"/>
      <c r="L68" s="810"/>
      <c r="M68" s="810"/>
      <c r="N68" s="810"/>
      <c r="O68" s="810"/>
      <c r="P68" s="810"/>
      <c r="Q68" s="810"/>
      <c r="R68" s="810"/>
      <c r="S68" s="810"/>
      <c r="T68" s="810"/>
      <c r="U68" s="810"/>
      <c r="V68" s="810"/>
      <c r="W68" s="810"/>
      <c r="X68" s="810"/>
      <c r="Y68" s="810"/>
      <c r="Z68" s="810"/>
      <c r="AA68" s="810"/>
      <c r="AB68" s="810"/>
      <c r="AC68" s="810"/>
      <c r="AD68" s="810"/>
      <c r="AE68" s="810"/>
      <c r="AF68" s="810"/>
      <c r="AG68" s="810"/>
      <c r="AH68" s="810"/>
      <c r="AI68" s="810"/>
      <c r="AJ68" s="810"/>
      <c r="AK68" s="810"/>
      <c r="AL68" s="810"/>
      <c r="AM68" s="810"/>
      <c r="AN68" s="810"/>
      <c r="AO68" s="810"/>
      <c r="AP68" s="810"/>
      <c r="AQ68" s="810"/>
      <c r="AR68" s="810"/>
      <c r="AS68" s="810"/>
      <c r="AT68" s="810"/>
      <c r="AU68" s="810"/>
      <c r="AV68" s="810"/>
      <c r="AW68" s="810"/>
      <c r="AX68" s="810"/>
    </row>
    <row r="69" spans="2:50" customFormat="1" ht="15" customHeight="1" x14ac:dyDescent="0.25"/>
    <row r="70" spans="2:50" customFormat="1" ht="15" customHeight="1" x14ac:dyDescent="0.25"/>
    <row r="71" spans="2:50" customFormat="1" ht="15" customHeight="1" x14ac:dyDescent="0.25">
      <c r="B71" s="1" t="s">
        <v>86</v>
      </c>
      <c r="N71" t="s">
        <v>87</v>
      </c>
    </row>
    <row r="72" spans="2:50" customFormat="1" ht="15" customHeight="1" x14ac:dyDescent="0.25">
      <c r="B72" t="s">
        <v>88</v>
      </c>
      <c r="C72" s="23"/>
      <c r="N72" t="s">
        <v>89</v>
      </c>
    </row>
    <row r="73" spans="2:50" customFormat="1" ht="15" customHeight="1" x14ac:dyDescent="0.25">
      <c r="B73" t="s">
        <v>90</v>
      </c>
      <c r="C73" s="23"/>
      <c r="N73" t="s">
        <v>91</v>
      </c>
    </row>
    <row r="74" spans="2:50" customFormat="1" ht="15" customHeight="1" x14ac:dyDescent="0.25">
      <c r="B74" t="s">
        <v>92</v>
      </c>
      <c r="C74" s="23"/>
      <c r="N74" t="s">
        <v>93</v>
      </c>
    </row>
    <row r="75" spans="2:50" customFormat="1" ht="15" customHeight="1" x14ac:dyDescent="0.25">
      <c r="C75" s="23"/>
      <c r="N75" t="s">
        <v>94</v>
      </c>
      <c r="T75" t="s">
        <v>95</v>
      </c>
    </row>
    <row r="76" spans="2:50" customFormat="1" ht="15" customHeight="1" x14ac:dyDescent="0.25">
      <c r="C76" s="23"/>
      <c r="I76" t="s">
        <v>96</v>
      </c>
      <c r="N76" t="s">
        <v>97</v>
      </c>
    </row>
    <row r="77" spans="2:50" customFormat="1" ht="15" customHeight="1" x14ac:dyDescent="0.25">
      <c r="B77" t="s">
        <v>98</v>
      </c>
      <c r="C77" s="23"/>
      <c r="N77" t="s">
        <v>99</v>
      </c>
    </row>
    <row r="78" spans="2:50" customFormat="1" ht="15" customHeight="1" x14ac:dyDescent="0.25">
      <c r="C78" s="23"/>
      <c r="N78" t="s">
        <v>100</v>
      </c>
    </row>
    <row r="79" spans="2:50" customFormat="1" ht="15" customHeight="1" x14ac:dyDescent="0.25">
      <c r="C79" s="23"/>
    </row>
    <row r="80" spans="2:50" customFormat="1" ht="15" customHeight="1" x14ac:dyDescent="0.25"/>
    <row r="81" spans="2:27" customFormat="1" ht="15" customHeight="1" x14ac:dyDescent="0.25"/>
    <row r="82" spans="2:27" customFormat="1" ht="15" customHeight="1" x14ac:dyDescent="0.25">
      <c r="B82" s="1" t="s">
        <v>101</v>
      </c>
    </row>
    <row r="83" spans="2:27" customFormat="1" ht="15" customHeight="1" x14ac:dyDescent="0.25">
      <c r="B83" t="s">
        <v>88</v>
      </c>
    </row>
    <row r="84" spans="2:27" customFormat="1" ht="15" customHeight="1" x14ac:dyDescent="0.25">
      <c r="B84" t="s">
        <v>102</v>
      </c>
      <c r="I84" s="23"/>
      <c r="N84" t="s">
        <v>103</v>
      </c>
    </row>
    <row r="85" spans="2:27" customFormat="1" ht="15" customHeight="1" x14ac:dyDescent="0.25">
      <c r="B85" t="s">
        <v>104</v>
      </c>
      <c r="I85" s="23"/>
      <c r="N85" t="s">
        <v>105</v>
      </c>
    </row>
    <row r="86" spans="2:27" customFormat="1" ht="15" customHeight="1" x14ac:dyDescent="0.25">
      <c r="I86" s="23"/>
      <c r="N86" t="s">
        <v>106</v>
      </c>
    </row>
    <row r="87" spans="2:27" customFormat="1" ht="15" customHeight="1" x14ac:dyDescent="0.25">
      <c r="B87" t="s">
        <v>107</v>
      </c>
      <c r="I87" s="23"/>
      <c r="N87" t="s">
        <v>108</v>
      </c>
    </row>
    <row r="88" spans="2:27" customFormat="1" ht="15" customHeight="1" x14ac:dyDescent="0.25">
      <c r="I88" s="23"/>
      <c r="N88" t="s">
        <v>109</v>
      </c>
    </row>
    <row r="89" spans="2:27" customFormat="1" ht="15" customHeight="1" x14ac:dyDescent="0.25">
      <c r="I89" s="23"/>
      <c r="N89" t="s">
        <v>110</v>
      </c>
    </row>
    <row r="90" spans="2:27" customFormat="1" ht="15" customHeight="1" x14ac:dyDescent="0.25">
      <c r="B90" t="s">
        <v>111</v>
      </c>
      <c r="I90" s="23"/>
      <c r="N90" t="s">
        <v>112</v>
      </c>
    </row>
    <row r="91" spans="2:27" customFormat="1" ht="15" customHeight="1" x14ac:dyDescent="0.25">
      <c r="I91" s="23"/>
      <c r="N91" t="s">
        <v>113</v>
      </c>
    </row>
    <row r="92" spans="2:27" customFormat="1" ht="15" customHeight="1" x14ac:dyDescent="0.25">
      <c r="B92" t="s">
        <v>114</v>
      </c>
      <c r="I92" s="23"/>
      <c r="N92" t="s">
        <v>115</v>
      </c>
    </row>
    <row r="93" spans="2:27" customFormat="1" ht="15" customHeight="1" x14ac:dyDescent="0.25">
      <c r="B93" t="s">
        <v>116</v>
      </c>
      <c r="I93" s="23"/>
      <c r="N93" t="s">
        <v>117</v>
      </c>
    </row>
    <row r="94" spans="2:27" ht="15" customHeight="1" x14ac:dyDescent="0.25">
      <c r="N94" s="23"/>
    </row>
    <row r="95" spans="2:27" ht="15" customHeight="1" x14ac:dyDescent="0.25">
      <c r="B95" s="97" t="s">
        <v>118</v>
      </c>
      <c r="N95" s="23" t="s">
        <v>119</v>
      </c>
    </row>
    <row r="96" spans="2:27" ht="15" customHeight="1" x14ac:dyDescent="0.25">
      <c r="N96" s="23" t="s">
        <v>120</v>
      </c>
      <c r="AA96" s="23" t="s">
        <v>121</v>
      </c>
    </row>
    <row r="97" spans="2:56" ht="15" customHeight="1" x14ac:dyDescent="0.25">
      <c r="N97" s="23" t="s">
        <v>122</v>
      </c>
    </row>
    <row r="98" spans="2:56" ht="15" customHeight="1" x14ac:dyDescent="0.25">
      <c r="N98" s="23"/>
    </row>
    <row r="99" spans="2:56" ht="15" customHeight="1" x14ac:dyDescent="0.25">
      <c r="B99" s="97" t="s">
        <v>123</v>
      </c>
      <c r="N99" s="23" t="s">
        <v>124</v>
      </c>
    </row>
    <row r="109" spans="2:56" ht="15" customHeight="1" x14ac:dyDescent="0.3">
      <c r="B109" s="105" t="s">
        <v>125</v>
      </c>
      <c r="BD109" s="739" t="s">
        <v>126</v>
      </c>
    </row>
    <row r="110" spans="2:56" ht="15" customHeight="1" x14ac:dyDescent="0.25">
      <c r="B110" s="97" t="s">
        <v>127</v>
      </c>
      <c r="BD110" s="97" t="s">
        <v>128</v>
      </c>
    </row>
    <row r="111" spans="2:56" ht="15" customHeight="1" x14ac:dyDescent="0.25">
      <c r="B111" s="97" t="s">
        <v>129</v>
      </c>
      <c r="BD111" s="97" t="s">
        <v>130</v>
      </c>
    </row>
    <row r="112" spans="2:56" ht="15" customHeight="1" x14ac:dyDescent="0.25">
      <c r="B112" s="97" t="s">
        <v>131</v>
      </c>
    </row>
    <row r="113" spans="2:2" ht="15" customHeight="1" x14ac:dyDescent="0.25">
      <c r="B113" s="97" t="s">
        <v>132</v>
      </c>
    </row>
    <row r="115" spans="2:2" ht="15" customHeight="1" x14ac:dyDescent="0.25">
      <c r="B115" s="97" t="s">
        <v>133</v>
      </c>
    </row>
    <row r="116" spans="2:2" ht="15" customHeight="1" x14ac:dyDescent="0.25">
      <c r="B116" s="97" t="s">
        <v>134</v>
      </c>
    </row>
    <row r="117" spans="2:2" ht="15" customHeight="1" x14ac:dyDescent="0.25">
      <c r="B117" s="97" t="s">
        <v>135</v>
      </c>
    </row>
    <row r="118" spans="2:2" ht="15" customHeight="1" x14ac:dyDescent="0.25">
      <c r="B118" s="97" t="s">
        <v>136</v>
      </c>
    </row>
    <row r="119" spans="2:2" ht="15" customHeight="1" x14ac:dyDescent="0.25">
      <c r="B119" s="97" t="s">
        <v>137</v>
      </c>
    </row>
    <row r="120" spans="2:2" ht="15" customHeight="1" x14ac:dyDescent="0.25">
      <c r="B120" s="97" t="s">
        <v>138</v>
      </c>
    </row>
  </sheetData>
  <mergeCells count="17">
    <mergeCell ref="AN7:AR7"/>
    <mergeCell ref="H51:AX51"/>
    <mergeCell ref="D7:H7"/>
    <mergeCell ref="J7:N7"/>
    <mergeCell ref="P7:T7"/>
    <mergeCell ref="V7:Z7"/>
    <mergeCell ref="AB7:AF7"/>
    <mergeCell ref="AH7:AL7"/>
    <mergeCell ref="H47:AX47"/>
    <mergeCell ref="H52:AX52"/>
    <mergeCell ref="H68:AX68"/>
    <mergeCell ref="H53:AX53"/>
    <mergeCell ref="H54:AX54"/>
    <mergeCell ref="H45:AX45"/>
    <mergeCell ref="H66:AX66"/>
    <mergeCell ref="H67:AX67"/>
    <mergeCell ref="H46:AX46"/>
  </mergeCell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AA57"/>
  <sheetViews>
    <sheetView showGridLines="0" topLeftCell="J1" zoomScale="47" zoomScaleNormal="100" workbookViewId="0">
      <selection activeCell="W18" sqref="W18"/>
    </sheetView>
  </sheetViews>
  <sheetFormatPr defaultColWidth="9" defaultRowHeight="15" customHeight="1" x14ac:dyDescent="0.25"/>
  <cols>
    <col min="1" max="1" width="2.09765625" style="569" customWidth="1"/>
    <col min="2" max="2" width="28.09765625" style="569" customWidth="1"/>
    <col min="3" max="4" width="10.59765625" style="569" customWidth="1"/>
    <col min="5" max="5" width="8.59765625" style="569" customWidth="1"/>
    <col min="6" max="6" width="16.59765625" style="569" customWidth="1"/>
    <col min="7" max="7" width="11.59765625" style="569" customWidth="1"/>
    <col min="8" max="8" width="1.59765625" style="569" customWidth="1"/>
    <col min="9" max="9" width="12" style="569" customWidth="1"/>
    <col min="10" max="10" width="11.59765625" style="569" customWidth="1"/>
    <col min="11" max="11" width="14.09765625" style="569" customWidth="1"/>
    <col min="12" max="12" width="11.09765625" style="569" customWidth="1"/>
    <col min="13" max="13" width="10.59765625" style="569" customWidth="1"/>
    <col min="14" max="14" width="11.5" style="569" customWidth="1"/>
    <col min="15" max="15" width="11.59765625" style="569" customWidth="1"/>
    <col min="16" max="16" width="12.09765625" style="569" customWidth="1"/>
    <col min="17" max="17" width="11.09765625" style="569" customWidth="1"/>
    <col min="18" max="18" width="1.59765625" style="569" customWidth="1"/>
    <col min="19" max="19" width="12.09765625" style="569" customWidth="1"/>
    <col min="20" max="20" width="8.59765625" style="569" customWidth="1"/>
    <col min="21" max="21" width="1.59765625" style="569" customWidth="1"/>
    <col min="22" max="22" width="12.5" style="569" customWidth="1"/>
    <col min="23" max="23" width="12.59765625" style="569" customWidth="1"/>
    <col min="24" max="24" width="12.09765625" style="569" customWidth="1"/>
    <col min="25" max="25" width="1.59765625" style="569" customWidth="1"/>
    <col min="26" max="26" width="12.59765625" style="569" customWidth="1"/>
    <col min="27" max="16384" width="9" style="569"/>
  </cols>
  <sheetData>
    <row r="1" spans="2:27" s="581" customFormat="1" ht="15" customHeight="1" x14ac:dyDescent="0.25"/>
    <row r="2" spans="2:27" s="581" customFormat="1" ht="15" customHeight="1" x14ac:dyDescent="0.25"/>
    <row r="3" spans="2:27" s="581" customFormat="1" ht="15" customHeight="1" x14ac:dyDescent="0.25"/>
    <row r="4" spans="2:27" s="581" customFormat="1" ht="15" customHeight="1" x14ac:dyDescent="0.25"/>
    <row r="5" spans="2:27" s="567" customFormat="1" ht="4.3499999999999996" customHeight="1" x14ac:dyDescent="0.25">
      <c r="B5" s="36"/>
      <c r="C5" s="36"/>
      <c r="D5" s="36"/>
      <c r="E5" s="36"/>
      <c r="F5" s="36"/>
      <c r="G5" s="36"/>
      <c r="H5" s="36"/>
      <c r="I5" s="36"/>
      <c r="J5" s="36"/>
      <c r="K5" s="36"/>
      <c r="L5" s="36"/>
      <c r="M5" s="36"/>
      <c r="N5" s="36"/>
      <c r="O5" s="36"/>
      <c r="P5" s="36"/>
      <c r="Q5" s="36"/>
      <c r="R5" s="36"/>
      <c r="S5" s="36"/>
      <c r="T5" s="36"/>
      <c r="U5" s="36"/>
      <c r="V5" s="36"/>
      <c r="W5" s="36"/>
      <c r="X5" s="36"/>
      <c r="Y5" s="36"/>
      <c r="Z5" s="36"/>
      <c r="AA5" s="36"/>
    </row>
    <row r="7" spans="2:27" s="568" customFormat="1" ht="15" customHeight="1" x14ac:dyDescent="0.25">
      <c r="B7" s="622" t="str">
        <f>"in "&amp;IF(Inputs!$R$18="k","thousands",IF(Inputs!$R$18="MLN","millions","billions")&amp;" of "&amp;Inputs!$R$17)</f>
        <v>in millions of USD</v>
      </c>
      <c r="C7" s="374"/>
      <c r="D7" s="623" t="s">
        <v>239</v>
      </c>
      <c r="E7" s="623" t="s">
        <v>240</v>
      </c>
      <c r="F7" s="623"/>
      <c r="G7" s="623"/>
      <c r="H7" s="623"/>
      <c r="I7" s="815" t="s">
        <v>241</v>
      </c>
      <c r="J7" s="815"/>
      <c r="K7" s="815"/>
      <c r="L7" s="815"/>
      <c r="M7" s="815"/>
      <c r="N7" s="815"/>
      <c r="O7" s="815"/>
      <c r="P7" s="815"/>
      <c r="Q7" s="815"/>
      <c r="R7" s="623"/>
      <c r="S7" s="623" t="s">
        <v>242</v>
      </c>
      <c r="T7" s="623" t="s">
        <v>243</v>
      </c>
      <c r="U7" s="623"/>
      <c r="V7" s="815" t="s">
        <v>244</v>
      </c>
      <c r="W7" s="815"/>
      <c r="X7" s="815"/>
      <c r="Y7" s="623"/>
      <c r="Z7" s="623" t="s">
        <v>242</v>
      </c>
      <c r="AA7" s="341"/>
    </row>
    <row r="8" spans="2:27" s="568" customFormat="1" ht="15" customHeight="1" x14ac:dyDescent="0.25">
      <c r="B8" s="374"/>
      <c r="C8" s="374"/>
      <c r="D8" s="623" t="s">
        <v>245</v>
      </c>
      <c r="E8" s="623" t="s">
        <v>246</v>
      </c>
      <c r="F8" s="623" t="s">
        <v>247</v>
      </c>
      <c r="G8" s="623" t="s">
        <v>248</v>
      </c>
      <c r="H8" s="623"/>
      <c r="I8" s="623" t="s">
        <v>242</v>
      </c>
      <c r="J8" s="532">
        <v>2025</v>
      </c>
      <c r="K8" s="532">
        <v>2026</v>
      </c>
      <c r="L8" s="623" t="s">
        <v>242</v>
      </c>
      <c r="M8" s="623" t="s">
        <v>249</v>
      </c>
      <c r="N8" s="623" t="s">
        <v>250</v>
      </c>
      <c r="O8" s="623" t="s">
        <v>242</v>
      </c>
      <c r="P8" s="623" t="s">
        <v>249</v>
      </c>
      <c r="Q8" s="623" t="s">
        <v>250</v>
      </c>
      <c r="R8" s="623"/>
      <c r="S8" s="623" t="s">
        <v>251</v>
      </c>
      <c r="T8" s="623" t="s">
        <v>252</v>
      </c>
      <c r="U8" s="623"/>
      <c r="V8" s="623" t="s">
        <v>242</v>
      </c>
      <c r="W8" s="623" t="s">
        <v>249</v>
      </c>
      <c r="X8" s="623" t="s">
        <v>250</v>
      </c>
      <c r="Y8" s="623"/>
      <c r="Z8" s="623" t="s">
        <v>253</v>
      </c>
      <c r="AA8" s="341"/>
    </row>
    <row r="9" spans="2:27" s="568" customFormat="1" ht="15" customHeight="1" x14ac:dyDescent="0.25">
      <c r="B9" s="374" t="s">
        <v>254</v>
      </c>
      <c r="C9" s="374" t="s">
        <v>13</v>
      </c>
      <c r="D9" s="623" t="s">
        <v>897</v>
      </c>
      <c r="E9" s="623" t="s">
        <v>256</v>
      </c>
      <c r="F9" s="623" t="s">
        <v>257</v>
      </c>
      <c r="G9" s="623" t="s">
        <v>257</v>
      </c>
      <c r="H9" s="623"/>
      <c r="I9" s="623" t="s">
        <v>258</v>
      </c>
      <c r="J9" s="623" t="s">
        <v>258</v>
      </c>
      <c r="K9" s="623" t="s">
        <v>258</v>
      </c>
      <c r="L9" s="623" t="s">
        <v>251</v>
      </c>
      <c r="M9" s="623" t="s">
        <v>251</v>
      </c>
      <c r="N9" s="623" t="s">
        <v>251</v>
      </c>
      <c r="O9" s="623" t="s">
        <v>259</v>
      </c>
      <c r="P9" s="623" t="s">
        <v>259</v>
      </c>
      <c r="Q9" s="623" t="s">
        <v>259</v>
      </c>
      <c r="R9" s="623"/>
      <c r="S9" s="623" t="s">
        <v>260</v>
      </c>
      <c r="T9" s="623" t="s">
        <v>251</v>
      </c>
      <c r="U9" s="623"/>
      <c r="V9" s="623" t="s">
        <v>253</v>
      </c>
      <c r="W9" s="623" t="s">
        <v>253</v>
      </c>
      <c r="X9" s="623" t="s">
        <v>253</v>
      </c>
      <c r="Y9" s="623"/>
      <c r="Z9" s="623" t="s">
        <v>261</v>
      </c>
      <c r="AA9" s="341"/>
    </row>
    <row r="10" spans="2:27" ht="4.3499999999999996" customHeight="1" x14ac:dyDescent="0.25">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23"/>
    </row>
    <row r="11" spans="2:27" ht="4.3499999999999996" customHeight="1" x14ac:dyDescent="0.25">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row>
    <row r="12" spans="2:27" s="570" customFormat="1" ht="15" customHeight="1" x14ac:dyDescent="0.25">
      <c r="B12" s="374"/>
      <c r="C12" s="32"/>
      <c r="D12" s="32"/>
      <c r="E12" s="32"/>
      <c r="F12" s="32"/>
      <c r="G12" s="32"/>
      <c r="H12" s="32"/>
      <c r="I12" s="32"/>
      <c r="J12" s="32"/>
      <c r="K12" s="32"/>
      <c r="L12" s="32"/>
      <c r="M12" s="32"/>
      <c r="N12" s="32"/>
      <c r="O12" s="32"/>
      <c r="P12" s="32"/>
      <c r="Q12" s="32"/>
      <c r="R12" s="32"/>
      <c r="S12" s="32"/>
      <c r="T12" s="32"/>
      <c r="U12" s="32"/>
      <c r="V12" s="32"/>
      <c r="W12" s="32"/>
      <c r="X12" s="32"/>
      <c r="Y12" s="32"/>
      <c r="Z12" s="32"/>
      <c r="AA12" s="422"/>
    </row>
    <row r="13" spans="2:27" ht="4.3499999999999996" customHeight="1" x14ac:dyDescent="0.25">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23"/>
    </row>
    <row r="14" spans="2:27" ht="4.3499999999999996" customHeight="1" x14ac:dyDescent="0.25">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row>
    <row r="15" spans="2:27" ht="15" customHeight="1" x14ac:dyDescent="0.25">
      <c r="B15" s="23" t="str">
        <f>+Inputs!B21</f>
        <v>AGCO CORP</v>
      </c>
      <c r="C15" s="23" t="s">
        <v>262</v>
      </c>
      <c r="D15" s="624">
        <v>109.3</v>
      </c>
      <c r="E15" s="479">
        <v>0.90211290855067683</v>
      </c>
      <c r="F15" s="625">
        <v>8155990811.0999994</v>
      </c>
      <c r="G15" s="625">
        <v>10295.065408319999</v>
      </c>
      <c r="H15" s="23"/>
      <c r="I15" s="626">
        <v>1.0120884977851179</v>
      </c>
      <c r="J15" s="626">
        <v>1.0447979044478111</v>
      </c>
      <c r="K15" s="627">
        <v>1.0004436527204703</v>
      </c>
      <c r="L15" s="626">
        <v>9.8297451798505531</v>
      </c>
      <c r="M15" s="626">
        <v>10.243846177432834</v>
      </c>
      <c r="N15" s="627">
        <v>8.59354374651085</v>
      </c>
      <c r="O15" s="626">
        <v>14.032896010816243</v>
      </c>
      <c r="P15" s="626">
        <v>14.631229908465114</v>
      </c>
      <c r="Q15" s="627">
        <v>11.990310903795018</v>
      </c>
      <c r="R15" s="23"/>
      <c r="S15" s="487">
        <v>0.1029618244692387</v>
      </c>
      <c r="T15" s="626">
        <v>8.3017957652103984</v>
      </c>
      <c r="U15" s="628"/>
      <c r="V15" s="626">
        <v>0.34780007700605542</v>
      </c>
      <c r="W15" s="626">
        <v>0.30563562056356203</v>
      </c>
      <c r="X15" s="626">
        <v>0.23289624651696444</v>
      </c>
      <c r="Y15" s="628"/>
      <c r="Z15" s="487">
        <f>(_xll.BQL(Inputs!$E21, "EARN_FOR_COMMON(fpr = 2028, fpt = a, ae = e, fa_adjusted = y, fs = mr)")/_xll.BQL(Inputs!$E21, "EARN_FOR_COMMON(fpr = 2025, fpt = a, ae = e, fa_adjusted = y, fs = mr)"))^(1/3)-1</f>
        <v>0.19927278512750402</v>
      </c>
      <c r="AA15" s="33"/>
    </row>
    <row r="16" spans="2:27" ht="15" customHeight="1" x14ac:dyDescent="0.25">
      <c r="B16" s="23" t="str">
        <f>+Inputs!B22</f>
        <v>CATTERPILLAR INC</v>
      </c>
      <c r="C16" s="23" t="s">
        <v>263</v>
      </c>
      <c r="D16" s="624">
        <v>450.66</v>
      </c>
      <c r="E16" s="479">
        <v>0.99628597957288778</v>
      </c>
      <c r="F16" s="625">
        <v>211124711439.17999</v>
      </c>
      <c r="G16" s="625">
        <v>188322.20269782998</v>
      </c>
      <c r="H16" s="23"/>
      <c r="I16" s="626">
        <v>2.9826605219884694</v>
      </c>
      <c r="J16" s="626">
        <v>3.0582474832333588</v>
      </c>
      <c r="K16" s="627">
        <v>2.8637983866929799</v>
      </c>
      <c r="L16" s="626">
        <v>13.550309591151963</v>
      </c>
      <c r="M16" s="626">
        <v>14.658529686621611</v>
      </c>
      <c r="N16" s="627">
        <v>12.953988262614395</v>
      </c>
      <c r="O16" s="626">
        <v>16.087664676049034</v>
      </c>
      <c r="P16" s="626">
        <v>17.428864684320278</v>
      </c>
      <c r="Q16" s="627">
        <v>15.076510691438703</v>
      </c>
      <c r="R16" s="23"/>
      <c r="S16" s="487">
        <v>0.22011751849094854</v>
      </c>
      <c r="T16" s="626">
        <v>2.9738724273828638</v>
      </c>
      <c r="U16" s="628"/>
      <c r="V16" s="626">
        <v>4.8693679092382501E-2</v>
      </c>
      <c r="W16" s="626">
        <v>5.2890641504119429E-2</v>
      </c>
      <c r="X16" s="626">
        <v>4.6017595434000996E-2</v>
      </c>
      <c r="Y16" s="628"/>
      <c r="Z16" s="487">
        <f>(_xll.BQL(Inputs!$E22, "EARN_FOR_COMMON(fpr = 2028, fpt = a, ae = e, fa_adjusted = y, fs = mr)")/_xll.BQL(Inputs!$E22, "EARN_FOR_COMMON(fpr = 2025, fpt = a, ae = e, fa_adjusted = y, fs = mr)"))^(1/3)-1</f>
        <v>0.15486087274856741</v>
      </c>
      <c r="AA16" s="33"/>
    </row>
    <row r="17" spans="2:27" ht="15" customHeight="1" x14ac:dyDescent="0.25">
      <c r="B17" s="23" t="str">
        <f>+Inputs!B23</f>
        <v>CNH INDUSTRIAL N</v>
      </c>
      <c r="C17" s="23" t="s">
        <v>264</v>
      </c>
      <c r="D17" s="624">
        <v>10.85</v>
      </c>
      <c r="E17" s="479">
        <v>0.76033637000700771</v>
      </c>
      <c r="F17" s="625">
        <v>13571397546.525324</v>
      </c>
      <c r="G17" s="625">
        <v>19214.627848000004</v>
      </c>
      <c r="H17" s="23"/>
      <c r="I17" s="626">
        <v>1.0634029469256741</v>
      </c>
      <c r="J17" s="626">
        <v>1.2771894692859116</v>
      </c>
      <c r="K17" s="627">
        <v>1.2025504028269234</v>
      </c>
      <c r="L17" s="626">
        <v>4.8181112958876637</v>
      </c>
      <c r="M17" s="626">
        <v>15.285424548724921</v>
      </c>
      <c r="N17" s="627">
        <v>11.840983986579499</v>
      </c>
      <c r="O17" s="626">
        <v>5.8922501833793328</v>
      </c>
      <c r="P17" s="626">
        <v>21.320323308922397</v>
      </c>
      <c r="Q17" s="627">
        <v>15.608212605886854</v>
      </c>
      <c r="R17" s="23"/>
      <c r="S17" s="487">
        <v>0.22070950246278156</v>
      </c>
      <c r="T17" s="626">
        <v>6.9758186397984883</v>
      </c>
      <c r="U17" s="628"/>
      <c r="V17" s="626">
        <v>1.2892110266159695E-2</v>
      </c>
      <c r="W17" s="626">
        <v>1.4203636363636364E-2</v>
      </c>
      <c r="X17" s="626">
        <v>1.0833464711755742E-2</v>
      </c>
      <c r="Y17" s="628"/>
      <c r="Z17" s="487">
        <f>(_xll.BQL(Inputs!$E23, "EARN_FOR_COMMON(fpr = 2028, fpt = a, ae = e, fa_adjusted = y, fs = mr)")/_xll.BQL(Inputs!$E23, "EARN_FOR_COMMON(fpr = 2025, fpt = a, ae = e, fa_adjusted = y, fs = mr)"))^(1/3)-1</f>
        <v>0.31805284307072346</v>
      </c>
      <c r="AA17" s="33"/>
    </row>
    <row r="18" spans="2:27" ht="15" customHeight="1" x14ac:dyDescent="0.25">
      <c r="B18" s="23" t="str">
        <f>+Inputs!B24</f>
        <v>TEREX CORP</v>
      </c>
      <c r="C18" s="23" t="s">
        <v>265</v>
      </c>
      <c r="D18" s="624">
        <v>52.6</v>
      </c>
      <c r="E18" s="479">
        <v>0.89669280600068202</v>
      </c>
      <c r="F18" s="625">
        <v>3450560000</v>
      </c>
      <c r="G18" s="625">
        <v>5249.1810000000005</v>
      </c>
      <c r="H18" s="23"/>
      <c r="I18" s="626">
        <v>1.0155118978525828</v>
      </c>
      <c r="J18" s="626">
        <v>0.96305609113349788</v>
      </c>
      <c r="K18" s="627">
        <v>0.9227780512361563</v>
      </c>
      <c r="L18" s="626">
        <v>8.3056661392405076</v>
      </c>
      <c r="M18" s="626">
        <v>7.765060650887575</v>
      </c>
      <c r="N18" s="627">
        <v>7.1886894001643391</v>
      </c>
      <c r="O18" s="626">
        <v>10.477407185628744</v>
      </c>
      <c r="P18" s="626">
        <v>9.5145568243610654</v>
      </c>
      <c r="Q18" s="627">
        <v>8.4732542372881365</v>
      </c>
      <c r="R18" s="23"/>
      <c r="S18" s="487">
        <v>0.12226736312633005</v>
      </c>
      <c r="T18" s="626">
        <v>5.1448412698412698</v>
      </c>
      <c r="U18" s="628"/>
      <c r="V18" s="626">
        <v>0.17872587540465043</v>
      </c>
      <c r="W18" s="626">
        <v>0.16484330484330487</v>
      </c>
      <c r="X18" s="626">
        <v>0.14454159380464651</v>
      </c>
      <c r="Y18" s="628"/>
      <c r="Z18" s="487" t="e">
        <f>(_xll.BQL(Inputs!$E24, "EARN_FOR_COMMON(fpr = 2028, fpt = a, ae = e, fa_adjusted = y, fs = mr)")/_xll.BQL(Inputs!$E24, "EARN_FOR_COMMON(fpr = 2025, fpt = a, ae = e, fa_adjusted = y, fs = mr)"))^(1/3)-1</f>
        <v>#VALUE!</v>
      </c>
      <c r="AA18" s="33"/>
    </row>
    <row r="19" spans="2:27" ht="15" customHeight="1" x14ac:dyDescent="0.25">
      <c r="B19" s="23" t="str">
        <f>+Inputs!B25</f>
        <v>ALAMO GROUP</v>
      </c>
      <c r="C19" s="23" t="s">
        <v>266</v>
      </c>
      <c r="D19" s="624">
        <v>201.74</v>
      </c>
      <c r="E19" s="479">
        <v>0.86476059839684516</v>
      </c>
      <c r="F19" s="625">
        <v>2443254983.4000001</v>
      </c>
      <c r="G19" s="625">
        <v>2645.0214000000001</v>
      </c>
      <c r="H19" s="23"/>
      <c r="I19" s="626">
        <v>1.6566100083487461</v>
      </c>
      <c r="J19" s="626">
        <v>1.6262043652013527</v>
      </c>
      <c r="K19" s="627">
        <v>1.5329014198782962</v>
      </c>
      <c r="L19" s="626">
        <v>11.479081333732603</v>
      </c>
      <c r="M19" s="626">
        <v>11.148667650158062</v>
      </c>
      <c r="N19" s="627">
        <v>10.114804588910134</v>
      </c>
      <c r="O19" s="626">
        <v>16.016357746223015</v>
      </c>
      <c r="P19" s="626">
        <v>14.355611397557666</v>
      </c>
      <c r="Q19" s="627">
        <v>12.777881159420291</v>
      </c>
      <c r="R19" s="23"/>
      <c r="S19" s="487">
        <v>0.14431555628764531</v>
      </c>
      <c r="T19" s="626">
        <v>0.98141017185698298</v>
      </c>
      <c r="U19" s="628"/>
      <c r="V19" s="626">
        <v>1.7144680657589522</v>
      </c>
      <c r="W19" s="626">
        <v>1.5638759689922481</v>
      </c>
      <c r="X19" s="626">
        <v>1.3330837004405287</v>
      </c>
      <c r="Y19" s="628"/>
      <c r="Z19" s="487" t="e">
        <f>(_xll.BQL(Inputs!$E25, "EARN_FOR_COMMON(fpr = 2028, fpt = a, ae = e, fa_adjusted = y, fs = mr)")/_xll.BQL(Inputs!$E25, "EARN_FOR_COMMON(fpr = 2025, fpt = a, ae = e, fa_adjusted = y, fs = mr)"))^(1/3)-1</f>
        <v>#VALUE!</v>
      </c>
      <c r="AA19" s="33"/>
    </row>
    <row r="20" spans="2:27" ht="15" customHeight="1" x14ac:dyDescent="0.25">
      <c r="B20" s="23" t="str">
        <f>+Inputs!H21</f>
        <v>KUBOTA CORP-ADR</v>
      </c>
      <c r="C20" s="23" t="s">
        <v>267</v>
      </c>
      <c r="D20" s="624">
        <v>62.414999999999999</v>
      </c>
      <c r="E20" s="479">
        <v>0.83275517011340894</v>
      </c>
      <c r="F20" s="625">
        <v>14366645316.134998</v>
      </c>
      <c r="G20" s="625">
        <v>3979719.1404360002</v>
      </c>
      <c r="H20" s="23"/>
      <c r="I20" s="626">
        <v>1.3762963397395573</v>
      </c>
      <c r="J20" s="626">
        <v>1.3434722998933863</v>
      </c>
      <c r="K20" s="627">
        <v>1.2848062536501581</v>
      </c>
      <c r="L20" s="626">
        <v>10.29894710531546</v>
      </c>
      <c r="M20" s="626">
        <v>10.892370151146409</v>
      </c>
      <c r="N20" s="627">
        <v>10.001498170415944</v>
      </c>
      <c r="O20" s="626">
        <v>15.206367028267499</v>
      </c>
      <c r="P20" s="626">
        <v>16.349266544640795</v>
      </c>
      <c r="Q20" s="627">
        <v>14.730083808852065</v>
      </c>
      <c r="R20" s="23"/>
      <c r="S20" s="487">
        <v>0.13363466436576099</v>
      </c>
      <c r="T20" s="626">
        <v>5.5416301000462731</v>
      </c>
      <c r="U20" s="628"/>
      <c r="V20" s="626">
        <v>3.4805382470969487E-4</v>
      </c>
      <c r="W20" s="626">
        <v>3.6982861292117551E-4</v>
      </c>
      <c r="X20" s="626">
        <v>3.266953598424017E-4</v>
      </c>
      <c r="Y20" s="628"/>
      <c r="Z20" s="487">
        <f>(_xll.BQL(Inputs!$K21, "EARN_FOR_COMMON(fpr = 2028, fpt = a, ae = e, fa_adjusted = y, fs = mr)")/_xll.BQL(Inputs!$K21, "EARN_FOR_COMMON(fpr = 2025, fpt = a, ae = e, fa_adjusted = y, fs = mr)"))^(1/3)-1</f>
        <v>0.10901521523254365</v>
      </c>
      <c r="AA20" s="33"/>
    </row>
    <row r="21" spans="2:27" ht="15" customHeight="1" x14ac:dyDescent="0.25">
      <c r="B21" s="23" t="str">
        <f>+Inputs!H22</f>
        <v>KOMATSU LTD-ADR</v>
      </c>
      <c r="C21" s="23" t="s">
        <v>268</v>
      </c>
      <c r="D21" s="624">
        <v>35.590000000000003</v>
      </c>
      <c r="E21" s="479">
        <v>0.95492353099007243</v>
      </c>
      <c r="F21" s="625">
        <v>33844421540.800011</v>
      </c>
      <c r="G21" s="625">
        <v>5483123.7766809994</v>
      </c>
      <c r="H21" s="23"/>
      <c r="I21" s="626">
        <v>1.3524945417189389</v>
      </c>
      <c r="J21" s="626">
        <v>1.3524945417189389</v>
      </c>
      <c r="K21" s="627">
        <v>1.3864023014216333</v>
      </c>
      <c r="L21" s="626">
        <v>6.7888757770022883</v>
      </c>
      <c r="M21" s="626">
        <v>7.0411057184494501</v>
      </c>
      <c r="N21" s="627">
        <v>7.4923966143744982</v>
      </c>
      <c r="O21" s="626">
        <v>8.4835002919276263</v>
      </c>
      <c r="P21" s="626">
        <v>8.9817617293489711</v>
      </c>
      <c r="Q21" s="627">
        <v>9.8017534964655706</v>
      </c>
      <c r="R21" s="23"/>
      <c r="S21" s="487">
        <v>0.19922216669519757</v>
      </c>
      <c r="T21" s="626">
        <v>1.7801181755373146</v>
      </c>
      <c r="U21" s="628"/>
      <c r="V21" s="626">
        <v>8.366724163873384E-5</v>
      </c>
      <c r="W21" s="626">
        <v>8.9560783499576934E-5</v>
      </c>
      <c r="X21" s="626">
        <v>9.6090086548575866E-5</v>
      </c>
      <c r="Y21" s="628"/>
      <c r="Z21" s="487">
        <f>(_xll.BQL(Inputs!$K22, "EARN_FOR_COMMON(fpr = 2028, fpt = a, ae = e, fa_adjusted = y, fs = mr)")/_xll.BQL(Inputs!$K22, "EARN_FOR_COMMON(fpr = 2025, fpt = a, ae = e, fa_adjusted = y, fs = mr)"))^(1/3)-1</f>
        <v>3.2789428372857587E-2</v>
      </c>
      <c r="AA21" s="33"/>
    </row>
    <row r="22" spans="2:27" ht="15" customHeight="1" x14ac:dyDescent="0.25">
      <c r="B22" s="23"/>
      <c r="C22" s="23"/>
      <c r="D22" s="23"/>
      <c r="E22" s="23"/>
      <c r="F22" s="23"/>
      <c r="G22" s="23"/>
      <c r="H22" s="23"/>
      <c r="I22" s="23"/>
      <c r="J22" s="23"/>
      <c r="K22" s="628"/>
      <c r="L22" s="23"/>
      <c r="M22" s="23"/>
      <c r="N22" s="628"/>
      <c r="O22" s="23"/>
      <c r="P22" s="23"/>
      <c r="Q22" s="628"/>
      <c r="R22" s="23"/>
      <c r="S22" s="23"/>
      <c r="T22" s="23"/>
      <c r="U22" s="628"/>
      <c r="V22" s="23"/>
      <c r="W22" s="23"/>
      <c r="X22" s="23"/>
      <c r="Y22" s="628"/>
      <c r="Z22" s="23"/>
      <c r="AA22" s="33"/>
    </row>
    <row r="23" spans="2:27" ht="15" customHeight="1" x14ac:dyDescent="0.25">
      <c r="B23" s="629" t="s">
        <v>269</v>
      </c>
      <c r="C23" s="630"/>
      <c r="D23" s="630"/>
      <c r="E23" s="630"/>
      <c r="F23" s="630"/>
      <c r="G23" s="630"/>
      <c r="H23" s="630"/>
      <c r="I23" s="631">
        <f>AVERAGE(I15:I21)</f>
        <v>1.4941521077655835</v>
      </c>
      <c r="J23" s="631">
        <f t="shared" ref="J23:Y23" si="0">AVERAGE(J15:J21)</f>
        <v>1.5236374507020367</v>
      </c>
      <c r="K23" s="631">
        <f t="shared" si="0"/>
        <v>1.4562400669180882</v>
      </c>
      <c r="L23" s="631">
        <f t="shared" si="0"/>
        <v>9.2958194888830068</v>
      </c>
      <c r="M23" s="631">
        <f t="shared" si="0"/>
        <v>11.005000654774408</v>
      </c>
      <c r="N23" s="631">
        <f t="shared" si="0"/>
        <v>9.7408435385099512</v>
      </c>
      <c r="O23" s="631">
        <f t="shared" si="0"/>
        <v>12.313777588898784</v>
      </c>
      <c r="P23" s="631">
        <f t="shared" si="0"/>
        <v>14.654516342516613</v>
      </c>
      <c r="Q23" s="631">
        <f t="shared" si="0"/>
        <v>12.636858129020947</v>
      </c>
      <c r="R23" s="631" t="e">
        <f t="shared" si="0"/>
        <v>#DIV/0!</v>
      </c>
      <c r="S23" s="631">
        <f t="shared" si="0"/>
        <v>0.16331837084255754</v>
      </c>
      <c r="T23" s="631">
        <f t="shared" si="0"/>
        <v>4.5284980785247981</v>
      </c>
      <c r="U23" s="631" t="e">
        <f t="shared" si="0"/>
        <v>#DIV/0!</v>
      </c>
      <c r="V23" s="631">
        <f>AVERAGE(V15:V21)</f>
        <v>0.32900164694207845</v>
      </c>
      <c r="W23" s="631">
        <f t="shared" si="0"/>
        <v>0.3002726516661845</v>
      </c>
      <c r="X23" s="631">
        <f t="shared" si="0"/>
        <v>0.25254219805061245</v>
      </c>
      <c r="Y23" s="631" t="e">
        <f t="shared" si="0"/>
        <v>#DIV/0!</v>
      </c>
      <c r="Z23" s="631">
        <f>AVERAGE(Z15:Z17,Z20:Z21)</f>
        <v>0.16279822891043921</v>
      </c>
      <c r="AA23" s="33"/>
    </row>
    <row r="24" spans="2:27" ht="15" customHeight="1" x14ac:dyDescent="0.25">
      <c r="B24" s="635" t="s">
        <v>270</v>
      </c>
      <c r="C24" s="636"/>
      <c r="D24" s="636"/>
      <c r="E24" s="636"/>
      <c r="F24" s="636"/>
      <c r="G24" s="636"/>
      <c r="H24" s="636"/>
      <c r="I24" s="637">
        <f>MEDIAN(I15:I21)</f>
        <v>1.3524945417189389</v>
      </c>
      <c r="J24" s="637">
        <f t="shared" ref="J24:Y24" si="1">MEDIAN(J15:J21)</f>
        <v>1.3434722998933863</v>
      </c>
      <c r="K24" s="637">
        <f t="shared" si="1"/>
        <v>1.2848062536501581</v>
      </c>
      <c r="L24" s="637">
        <f t="shared" si="1"/>
        <v>9.8297451798505531</v>
      </c>
      <c r="M24" s="637">
        <f t="shared" si="1"/>
        <v>10.892370151146409</v>
      </c>
      <c r="N24" s="637">
        <f t="shared" si="1"/>
        <v>10.001498170415944</v>
      </c>
      <c r="O24" s="637">
        <f t="shared" si="1"/>
        <v>14.032896010816243</v>
      </c>
      <c r="P24" s="637">
        <f t="shared" si="1"/>
        <v>14.631229908465114</v>
      </c>
      <c r="Q24" s="637">
        <f t="shared" si="1"/>
        <v>12.777881159420291</v>
      </c>
      <c r="R24" s="637" t="e">
        <f t="shared" si="1"/>
        <v>#NUM!</v>
      </c>
      <c r="S24" s="637">
        <f t="shared" si="1"/>
        <v>0.14431555628764531</v>
      </c>
      <c r="T24" s="637">
        <f t="shared" si="1"/>
        <v>5.1448412698412698</v>
      </c>
      <c r="U24" s="637" t="e">
        <f t="shared" si="1"/>
        <v>#NUM!</v>
      </c>
      <c r="V24" s="637">
        <f t="shared" si="1"/>
        <v>4.8693679092382501E-2</v>
      </c>
      <c r="W24" s="637">
        <f t="shared" si="1"/>
        <v>5.2890641504119429E-2</v>
      </c>
      <c r="X24" s="637">
        <f t="shared" si="1"/>
        <v>4.6017595434000996E-2</v>
      </c>
      <c r="Y24" s="637" t="e">
        <f t="shared" si="1"/>
        <v>#NUM!</v>
      </c>
      <c r="Z24" s="637">
        <f>MEDIAN(Z15:Z17,Z20:Z21)</f>
        <v>0.15486087274856741</v>
      </c>
      <c r="AA24" s="33"/>
    </row>
    <row r="25" spans="2:27" ht="15" customHeight="1" x14ac:dyDescent="0.25">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33"/>
    </row>
    <row r="26" spans="2:27" s="570" customFormat="1" ht="15" customHeight="1" x14ac:dyDescent="0.25">
      <c r="B26" s="374"/>
      <c r="C26" s="32"/>
      <c r="D26" s="32"/>
      <c r="E26" s="32"/>
      <c r="F26" s="32"/>
      <c r="G26" s="32"/>
      <c r="H26" s="32"/>
      <c r="I26" s="32"/>
      <c r="J26" s="32"/>
      <c r="K26" s="32"/>
      <c r="L26" s="32"/>
      <c r="M26" s="32"/>
      <c r="N26" s="32"/>
      <c r="O26" s="32"/>
      <c r="P26" s="32"/>
      <c r="Q26" s="32"/>
      <c r="R26" s="32"/>
      <c r="S26" s="32"/>
      <c r="T26" s="32"/>
      <c r="U26" s="32"/>
      <c r="V26" s="32"/>
      <c r="W26" s="32"/>
      <c r="X26" s="32"/>
      <c r="Y26" s="32"/>
      <c r="Z26" s="32"/>
      <c r="AA26" s="33"/>
    </row>
    <row r="27" spans="2:27" ht="4.3499999999999996" customHeight="1" x14ac:dyDescent="0.25">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3"/>
    </row>
    <row r="28" spans="2:27" ht="4.3499999999999996" customHeight="1" x14ac:dyDescent="0.25">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33"/>
    </row>
    <row r="29" spans="2:27" ht="15" customHeight="1" x14ac:dyDescent="0.25">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33"/>
    </row>
    <row r="30" spans="2:27" ht="15" customHeight="1" x14ac:dyDescent="0.25">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33"/>
    </row>
    <row r="31" spans="2:27" ht="15" customHeight="1" x14ac:dyDescent="0.25">
      <c r="B31" s="23"/>
      <c r="C31" s="23"/>
      <c r="D31" s="624"/>
      <c r="E31" s="479"/>
      <c r="F31" s="625"/>
      <c r="G31" s="625"/>
      <c r="H31" s="23"/>
      <c r="I31" s="626"/>
      <c r="J31" s="626"/>
      <c r="K31" s="627"/>
      <c r="L31" s="626"/>
      <c r="M31" s="626"/>
      <c r="N31" s="627"/>
      <c r="O31" s="626"/>
      <c r="P31" s="626"/>
      <c r="Q31" s="627"/>
      <c r="R31" s="23"/>
      <c r="S31" s="487"/>
      <c r="T31" s="626"/>
      <c r="U31" s="628"/>
      <c r="V31" s="626"/>
      <c r="W31" s="626"/>
      <c r="X31" s="626"/>
      <c r="Y31" s="628"/>
      <c r="Z31" s="487"/>
      <c r="AA31" s="33"/>
    </row>
    <row r="32" spans="2:27" ht="15" customHeight="1" x14ac:dyDescent="0.25">
      <c r="B32" s="23"/>
      <c r="C32" s="23"/>
      <c r="D32" s="624"/>
      <c r="E32" s="479"/>
      <c r="F32" s="625"/>
      <c r="G32" s="625"/>
      <c r="H32" s="23"/>
      <c r="I32" s="626"/>
      <c r="J32" s="626"/>
      <c r="K32" s="627"/>
      <c r="L32" s="626"/>
      <c r="M32" s="626"/>
      <c r="N32" s="627"/>
      <c r="O32" s="626"/>
      <c r="P32" s="626"/>
      <c r="Q32" s="627"/>
      <c r="R32" s="23"/>
      <c r="S32" s="487"/>
      <c r="T32" s="626"/>
      <c r="U32" s="628"/>
      <c r="V32" s="626"/>
      <c r="W32" s="626"/>
      <c r="X32" s="626"/>
      <c r="Y32" s="628"/>
      <c r="Z32" s="487"/>
      <c r="AA32" s="33"/>
    </row>
    <row r="33" spans="2:27" ht="15" customHeight="1" x14ac:dyDescent="0.25">
      <c r="B33" s="23"/>
      <c r="C33" s="23"/>
      <c r="D33" s="624"/>
      <c r="E33" s="479"/>
      <c r="F33" s="625"/>
      <c r="G33" s="625"/>
      <c r="H33" s="23"/>
      <c r="I33" s="626"/>
      <c r="J33" s="626"/>
      <c r="K33" s="627"/>
      <c r="L33" s="626"/>
      <c r="M33" s="626"/>
      <c r="N33" s="627"/>
      <c r="O33" s="626"/>
      <c r="P33" s="626"/>
      <c r="Q33" s="627"/>
      <c r="R33" s="23"/>
      <c r="S33" s="487"/>
      <c r="T33" s="626"/>
      <c r="U33" s="628"/>
      <c r="V33" s="626"/>
      <c r="W33" s="626"/>
      <c r="X33" s="626"/>
      <c r="Y33" s="628"/>
      <c r="Z33" s="487"/>
      <c r="AA33" s="33"/>
    </row>
    <row r="34" spans="2:27" ht="15" customHeight="1" x14ac:dyDescent="0.25">
      <c r="B34" s="23"/>
      <c r="C34" s="23"/>
      <c r="D34" s="23"/>
      <c r="E34" s="23"/>
      <c r="F34" s="23"/>
      <c r="G34" s="23"/>
      <c r="H34" s="23"/>
      <c r="I34" s="23"/>
      <c r="J34" s="23"/>
      <c r="K34" s="628"/>
      <c r="L34" s="23"/>
      <c r="M34" s="23"/>
      <c r="N34" s="628"/>
      <c r="O34" s="23"/>
      <c r="P34" s="23"/>
      <c r="Q34" s="628"/>
      <c r="R34" s="23"/>
      <c r="S34" s="23"/>
      <c r="T34" s="23"/>
      <c r="U34" s="628"/>
      <c r="V34" s="23"/>
      <c r="W34" s="23"/>
      <c r="X34" s="23"/>
      <c r="Y34" s="628"/>
      <c r="Z34" s="23"/>
      <c r="AA34" s="33"/>
    </row>
    <row r="35" spans="2:27" ht="15" customHeight="1" x14ac:dyDescent="0.25">
      <c r="B35" s="629" t="s">
        <v>269</v>
      </c>
      <c r="C35" s="630"/>
      <c r="D35" s="630"/>
      <c r="E35" s="630"/>
      <c r="F35" s="630"/>
      <c r="G35" s="630"/>
      <c r="H35" s="630"/>
      <c r="I35" s="631"/>
      <c r="J35" s="631"/>
      <c r="K35" s="632"/>
      <c r="L35" s="631"/>
      <c r="M35" s="631"/>
      <c r="N35" s="632"/>
      <c r="O35" s="631"/>
      <c r="P35" s="631"/>
      <c r="Q35" s="632"/>
      <c r="R35" s="630"/>
      <c r="S35" s="633"/>
      <c r="T35" s="631"/>
      <c r="U35" s="634"/>
      <c r="V35" s="631"/>
      <c r="W35" s="631"/>
      <c r="X35" s="631"/>
      <c r="Y35" s="634"/>
      <c r="Z35" s="633"/>
      <c r="AA35" s="33"/>
    </row>
    <row r="36" spans="2:27" ht="15" customHeight="1" x14ac:dyDescent="0.25">
      <c r="B36" s="635" t="s">
        <v>270</v>
      </c>
      <c r="C36" s="636"/>
      <c r="D36" s="636"/>
      <c r="E36" s="636"/>
      <c r="F36" s="636"/>
      <c r="G36" s="636"/>
      <c r="H36" s="636"/>
      <c r="I36" s="637"/>
      <c r="J36" s="637"/>
      <c r="K36" s="638"/>
      <c r="L36" s="637"/>
      <c r="M36" s="637"/>
      <c r="N36" s="638"/>
      <c r="O36" s="637"/>
      <c r="P36" s="637"/>
      <c r="Q36" s="638"/>
      <c r="R36" s="636"/>
      <c r="S36" s="639"/>
      <c r="T36" s="637"/>
      <c r="U36" s="640"/>
      <c r="V36" s="637"/>
      <c r="W36" s="637"/>
      <c r="X36" s="637"/>
      <c r="Y36" s="640"/>
      <c r="Z36" s="639"/>
      <c r="AA36" s="33"/>
    </row>
    <row r="37" spans="2:27" ht="15" customHeight="1" x14ac:dyDescent="0.25">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33"/>
    </row>
    <row r="38" spans="2:27" s="570" customFormat="1" ht="15" customHeight="1" x14ac:dyDescent="0.25">
      <c r="B38" s="374"/>
      <c r="C38" s="32"/>
      <c r="D38" s="32"/>
      <c r="E38" s="32"/>
      <c r="F38" s="32"/>
      <c r="G38" s="32"/>
      <c r="H38" s="32"/>
      <c r="I38" s="32"/>
      <c r="J38" s="32"/>
      <c r="K38" s="32"/>
      <c r="L38" s="32"/>
      <c r="M38" s="32"/>
      <c r="N38" s="32"/>
      <c r="O38" s="32"/>
      <c r="P38" s="32"/>
      <c r="Q38" s="32"/>
      <c r="R38" s="32"/>
      <c r="S38" s="32"/>
      <c r="T38" s="32"/>
      <c r="U38" s="32"/>
      <c r="V38" s="32"/>
      <c r="W38" s="32"/>
      <c r="X38" s="32"/>
      <c r="Y38" s="32"/>
      <c r="Z38" s="32"/>
      <c r="AA38" s="33"/>
    </row>
    <row r="39" spans="2:27" ht="4.3499999999999996" customHeight="1" x14ac:dyDescent="0.25">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3"/>
    </row>
    <row r="40" spans="2:27" ht="4.3499999999999996" customHeight="1" x14ac:dyDescent="0.25">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33"/>
    </row>
    <row r="41" spans="2:27" ht="15" customHeight="1" x14ac:dyDescent="0.25">
      <c r="B41" s="23"/>
      <c r="C41" s="23"/>
      <c r="D41" s="624"/>
      <c r="E41" s="479"/>
      <c r="F41" s="625"/>
      <c r="G41" s="625"/>
      <c r="H41" s="23"/>
      <c r="I41" s="626"/>
      <c r="J41" s="626"/>
      <c r="K41" s="627"/>
      <c r="L41" s="626"/>
      <c r="M41" s="626"/>
      <c r="N41" s="627"/>
      <c r="O41" s="626"/>
      <c r="P41" s="626"/>
      <c r="Q41" s="627"/>
      <c r="R41" s="23"/>
      <c r="S41" s="487"/>
      <c r="T41" s="626"/>
      <c r="U41" s="628"/>
      <c r="V41" s="626"/>
      <c r="W41" s="626"/>
      <c r="X41" s="626"/>
      <c r="Y41" s="628"/>
      <c r="Z41" s="487"/>
      <c r="AA41" s="33"/>
    </row>
    <row r="42" spans="2:27" ht="15" customHeight="1" x14ac:dyDescent="0.25">
      <c r="B42" s="23"/>
      <c r="C42" s="23"/>
      <c r="D42" s="624"/>
      <c r="E42" s="479"/>
      <c r="F42" s="625"/>
      <c r="G42" s="625"/>
      <c r="H42" s="23"/>
      <c r="I42" s="626"/>
      <c r="J42" s="626"/>
      <c r="K42" s="627"/>
      <c r="L42" s="626"/>
      <c r="M42" s="626"/>
      <c r="N42" s="627"/>
      <c r="O42" s="626"/>
      <c r="P42" s="626"/>
      <c r="Q42" s="627"/>
      <c r="R42" s="23"/>
      <c r="S42" s="487"/>
      <c r="T42" s="626"/>
      <c r="U42" s="628"/>
      <c r="V42" s="626"/>
      <c r="W42" s="626"/>
      <c r="X42" s="626"/>
      <c r="Y42" s="628"/>
      <c r="Z42" s="487"/>
      <c r="AA42" s="33"/>
    </row>
    <row r="43" spans="2:27" ht="15" customHeight="1" x14ac:dyDescent="0.25">
      <c r="B43" s="23"/>
      <c r="C43" s="23"/>
      <c r="D43" s="624"/>
      <c r="E43" s="479"/>
      <c r="F43" s="625"/>
      <c r="G43" s="625"/>
      <c r="H43" s="23"/>
      <c r="I43" s="626"/>
      <c r="J43" s="626"/>
      <c r="K43" s="627"/>
      <c r="L43" s="626"/>
      <c r="M43" s="626"/>
      <c r="N43" s="627"/>
      <c r="O43" s="626"/>
      <c r="P43" s="626"/>
      <c r="Q43" s="627"/>
      <c r="R43" s="23"/>
      <c r="S43" s="487"/>
      <c r="T43" s="626"/>
      <c r="U43" s="628"/>
      <c r="V43" s="626"/>
      <c r="W43" s="626"/>
      <c r="X43" s="626"/>
      <c r="Y43" s="628"/>
      <c r="Z43" s="487"/>
      <c r="AA43" s="33"/>
    </row>
    <row r="44" spans="2:27" ht="15" customHeight="1" x14ac:dyDescent="0.25">
      <c r="B44" s="23"/>
      <c r="C44" s="23"/>
      <c r="D44" s="624"/>
      <c r="E44" s="479"/>
      <c r="F44" s="625"/>
      <c r="G44" s="625"/>
      <c r="H44" s="23"/>
      <c r="I44" s="626"/>
      <c r="J44" s="626"/>
      <c r="K44" s="627"/>
      <c r="L44" s="626"/>
      <c r="M44" s="626"/>
      <c r="N44" s="627"/>
      <c r="O44" s="626"/>
      <c r="P44" s="626"/>
      <c r="Q44" s="627"/>
      <c r="R44" s="23"/>
      <c r="S44" s="487"/>
      <c r="T44" s="626"/>
      <c r="U44" s="628"/>
      <c r="V44" s="626"/>
      <c r="W44" s="626"/>
      <c r="X44" s="626"/>
      <c r="Y44" s="628"/>
      <c r="Z44" s="487"/>
      <c r="AA44" s="33"/>
    </row>
    <row r="45" spans="2:27" ht="15" customHeight="1" x14ac:dyDescent="0.25">
      <c r="B45" s="23"/>
      <c r="C45" s="23"/>
      <c r="D45" s="624"/>
      <c r="E45" s="479"/>
      <c r="F45" s="625"/>
      <c r="G45" s="625"/>
      <c r="H45" s="23"/>
      <c r="I45" s="626"/>
      <c r="J45" s="626"/>
      <c r="K45" s="627"/>
      <c r="L45" s="626"/>
      <c r="M45" s="626"/>
      <c r="N45" s="627"/>
      <c r="O45" s="626"/>
      <c r="P45" s="626"/>
      <c r="Q45" s="627"/>
      <c r="R45" s="23"/>
      <c r="S45" s="487"/>
      <c r="T45" s="626"/>
      <c r="U45" s="628"/>
      <c r="V45" s="626"/>
      <c r="W45" s="626"/>
      <c r="X45" s="626"/>
      <c r="Y45" s="628"/>
      <c r="Z45" s="487"/>
      <c r="AA45" s="33"/>
    </row>
    <row r="46" spans="2:27" ht="15" customHeight="1" x14ac:dyDescent="0.25">
      <c r="B46" s="23"/>
      <c r="C46" s="23"/>
      <c r="D46" s="23"/>
      <c r="E46" s="23"/>
      <c r="F46" s="23"/>
      <c r="G46" s="23"/>
      <c r="H46" s="23"/>
      <c r="I46" s="23"/>
      <c r="J46" s="23"/>
      <c r="K46" s="641"/>
      <c r="L46" s="23"/>
      <c r="M46" s="23"/>
      <c r="N46" s="628"/>
      <c r="O46" s="23"/>
      <c r="P46" s="23"/>
      <c r="Q46" s="628"/>
      <c r="R46" s="23"/>
      <c r="S46" s="23"/>
      <c r="T46" s="23"/>
      <c r="U46" s="628"/>
      <c r="V46" s="23"/>
      <c r="W46" s="23"/>
      <c r="X46" s="23"/>
      <c r="Y46" s="628"/>
      <c r="Z46" s="23"/>
      <c r="AA46" s="33"/>
    </row>
    <row r="47" spans="2:27" ht="15" customHeight="1" x14ac:dyDescent="0.25">
      <c r="B47" s="629" t="s">
        <v>269</v>
      </c>
      <c r="C47" s="630"/>
      <c r="D47" s="630"/>
      <c r="E47" s="630"/>
      <c r="F47" s="630"/>
      <c r="G47" s="630"/>
      <c r="H47" s="630"/>
      <c r="I47" s="631"/>
      <c r="J47" s="631"/>
      <c r="K47" s="632"/>
      <c r="L47" s="631"/>
      <c r="M47" s="631"/>
      <c r="N47" s="632"/>
      <c r="O47" s="631"/>
      <c r="P47" s="631"/>
      <c r="Q47" s="632"/>
      <c r="R47" s="630"/>
      <c r="S47" s="633"/>
      <c r="T47" s="631"/>
      <c r="U47" s="634"/>
      <c r="V47" s="631"/>
      <c r="W47" s="631"/>
      <c r="X47" s="631"/>
      <c r="Y47" s="634"/>
      <c r="Z47" s="642"/>
      <c r="AA47" s="33"/>
    </row>
    <row r="48" spans="2:27" ht="15" customHeight="1" x14ac:dyDescent="0.25">
      <c r="B48" s="635" t="s">
        <v>270</v>
      </c>
      <c r="C48" s="636"/>
      <c r="D48" s="636"/>
      <c r="E48" s="636"/>
      <c r="F48" s="636"/>
      <c r="G48" s="636"/>
      <c r="H48" s="636"/>
      <c r="I48" s="637"/>
      <c r="J48" s="637"/>
      <c r="K48" s="638"/>
      <c r="L48" s="637"/>
      <c r="M48" s="637"/>
      <c r="N48" s="638"/>
      <c r="O48" s="637"/>
      <c r="P48" s="637"/>
      <c r="Q48" s="638"/>
      <c r="R48" s="636"/>
      <c r="S48" s="639"/>
      <c r="T48" s="637"/>
      <c r="U48" s="640"/>
      <c r="V48" s="637"/>
      <c r="W48" s="637"/>
      <c r="X48" s="637"/>
      <c r="Y48" s="640"/>
      <c r="Z48" s="643"/>
      <c r="AA48" s="33"/>
    </row>
    <row r="49" spans="2:27" ht="15" customHeight="1" x14ac:dyDescent="0.25">
      <c r="B49" s="23"/>
      <c r="C49" s="23"/>
      <c r="D49" s="23"/>
      <c r="E49" s="23"/>
      <c r="F49" s="23"/>
      <c r="G49" s="23"/>
      <c r="H49" s="23"/>
      <c r="I49" s="23"/>
      <c r="J49" s="644"/>
      <c r="K49" s="23"/>
      <c r="L49" s="23"/>
      <c r="M49" s="23"/>
      <c r="N49" s="23"/>
      <c r="O49" s="23"/>
      <c r="P49" s="23"/>
      <c r="Q49" s="23"/>
      <c r="R49" s="23"/>
      <c r="S49" s="23"/>
      <c r="T49" s="23"/>
      <c r="U49" s="23"/>
      <c r="V49" s="23"/>
      <c r="W49" s="23"/>
      <c r="X49" s="23"/>
      <c r="Y49" s="23"/>
      <c r="Z49" s="23"/>
      <c r="AA49" s="33"/>
    </row>
    <row r="50" spans="2:27" s="570" customFormat="1" ht="15" customHeight="1" x14ac:dyDescent="0.25">
      <c r="B50" s="374" t="s">
        <v>271</v>
      </c>
      <c r="C50" s="32"/>
      <c r="D50" s="32"/>
      <c r="E50" s="32"/>
      <c r="F50" s="32"/>
      <c r="G50" s="32"/>
      <c r="H50" s="32"/>
      <c r="I50" s="32"/>
      <c r="J50" s="645"/>
      <c r="K50" s="32"/>
      <c r="L50" s="32"/>
      <c r="M50" s="32"/>
      <c r="N50" s="32"/>
      <c r="O50" s="32"/>
      <c r="P50" s="32"/>
      <c r="Q50" s="32"/>
      <c r="R50" s="32"/>
      <c r="S50" s="32"/>
      <c r="T50" s="32"/>
      <c r="U50" s="32"/>
      <c r="V50" s="32"/>
      <c r="W50" s="32"/>
      <c r="X50" s="32"/>
      <c r="Y50" s="32"/>
      <c r="Z50" s="32"/>
      <c r="AA50" s="33"/>
    </row>
    <row r="51" spans="2:27" ht="4.3499999999999996" customHeight="1" x14ac:dyDescent="0.25">
      <c r="B51" s="36"/>
      <c r="C51" s="36"/>
      <c r="D51" s="36"/>
      <c r="E51" s="36"/>
      <c r="F51" s="36"/>
      <c r="G51" s="36"/>
      <c r="H51" s="36"/>
      <c r="I51" s="36"/>
      <c r="J51" s="646"/>
      <c r="K51" s="36"/>
      <c r="L51" s="36"/>
      <c r="M51" s="36"/>
      <c r="N51" s="36"/>
      <c r="O51" s="36"/>
      <c r="P51" s="36"/>
      <c r="Q51" s="36"/>
      <c r="R51" s="36"/>
      <c r="S51" s="36"/>
      <c r="T51" s="36"/>
      <c r="U51" s="36"/>
      <c r="V51" s="36"/>
      <c r="W51" s="36"/>
      <c r="X51" s="36"/>
      <c r="Y51" s="36"/>
      <c r="Z51" s="36"/>
      <c r="AA51" s="33"/>
    </row>
    <row r="52" spans="2:27" ht="15" customHeight="1" x14ac:dyDescent="0.25">
      <c r="B52" s="23"/>
      <c r="C52" s="23"/>
      <c r="D52" s="23"/>
      <c r="E52" s="23"/>
      <c r="F52" s="23"/>
      <c r="G52" s="23"/>
      <c r="H52" s="23"/>
      <c r="I52" s="23"/>
      <c r="J52" s="644"/>
      <c r="K52" s="23"/>
      <c r="L52" s="23"/>
      <c r="M52" s="23"/>
      <c r="N52" s="23"/>
      <c r="O52" s="23"/>
      <c r="P52" s="23"/>
      <c r="Q52" s="23"/>
      <c r="R52" s="23"/>
      <c r="S52" s="23"/>
      <c r="T52" s="23"/>
      <c r="U52" s="23"/>
      <c r="V52" s="23"/>
      <c r="W52" s="23"/>
      <c r="X52" s="23"/>
      <c r="Y52" s="23"/>
      <c r="Z52" s="23"/>
      <c r="AA52" s="33"/>
    </row>
    <row r="53" spans="2:27" ht="15" customHeight="1" x14ac:dyDescent="0.25">
      <c r="B53" s="629" t="s">
        <v>269</v>
      </c>
      <c r="C53" s="630"/>
      <c r="D53" s="630"/>
      <c r="E53" s="630"/>
      <c r="F53" s="630"/>
      <c r="G53" s="630"/>
      <c r="H53" s="630"/>
      <c r="I53" s="631">
        <f t="shared" ref="I53:Q53" si="2">AVERAGE(I41:I45,I20:I34,I15:I19)</f>
        <v>1.4784123782048455</v>
      </c>
      <c r="J53" s="631">
        <f t="shared" si="2"/>
        <v>1.5036191006121866</v>
      </c>
      <c r="K53" s="632">
        <f t="shared" si="2"/>
        <v>1.4371918654438738</v>
      </c>
      <c r="L53" s="631">
        <f t="shared" si="2"/>
        <v>9.3551445656571772</v>
      </c>
      <c r="M53" s="631">
        <f t="shared" si="2"/>
        <v>10.992486154371298</v>
      </c>
      <c r="N53" s="632">
        <f t="shared" si="2"/>
        <v>9.7698051642772814</v>
      </c>
      <c r="O53" s="631">
        <f t="shared" si="2"/>
        <v>12.504790746889613</v>
      </c>
      <c r="P53" s="631">
        <f t="shared" si="2"/>
        <v>14.651928960955335</v>
      </c>
      <c r="Q53" s="631">
        <f t="shared" si="2"/>
        <v>12.652527354620874</v>
      </c>
      <c r="R53" s="630"/>
      <c r="S53" s="633">
        <f>AVERAGE(S41:S45,S20:S34,S15:S19)</f>
        <v>0.16120694700312285</v>
      </c>
      <c r="T53" s="631">
        <f>AVERAGE(T41:T45,T20:T34,T15:T19)</f>
        <v>4.5969806553377408</v>
      </c>
      <c r="U53" s="634"/>
      <c r="V53" s="631">
        <f>AVERAGE(V41:V45,V20:V34,V15:V19)</f>
        <v>0.29785631718100108</v>
      </c>
      <c r="W53" s="631">
        <f>AVERAGE(W41:W45,W20:W34,W15:W19)</f>
        <v>0.27278576164817731</v>
      </c>
      <c r="X53" s="631">
        <f>AVERAGE(X41:X45,X20:X34,X15:X19)</f>
        <v>0.22959501998210008</v>
      </c>
      <c r="Y53" s="634"/>
      <c r="Z53" s="642">
        <f>AVERAGE(Z41:Z45,Z27:Z34,Z15:Z17)</f>
        <v>0.22406216698226497</v>
      </c>
      <c r="AA53" s="33"/>
    </row>
    <row r="54" spans="2:27" ht="15" customHeight="1" x14ac:dyDescent="0.25">
      <c r="B54" s="635" t="s">
        <v>270</v>
      </c>
      <c r="C54" s="636"/>
      <c r="D54" s="636"/>
      <c r="E54" s="636"/>
      <c r="F54" s="636"/>
      <c r="G54" s="636"/>
      <c r="H54" s="636"/>
      <c r="I54" s="637">
        <f t="shared" ref="I54:Q54" si="3">MEDIAN(I41:I45,I20:I33,I15:I19)</f>
        <v>1.3524945417189389</v>
      </c>
      <c r="J54" s="637">
        <f t="shared" si="3"/>
        <v>1.3434722998933863</v>
      </c>
      <c r="K54" s="638">
        <f t="shared" si="3"/>
        <v>1.2848062536501581</v>
      </c>
      <c r="L54" s="637">
        <f t="shared" si="3"/>
        <v>9.8297451798505531</v>
      </c>
      <c r="M54" s="637">
        <f t="shared" si="3"/>
        <v>10.892370151146409</v>
      </c>
      <c r="N54" s="638">
        <f t="shared" si="3"/>
        <v>10.001498170415944</v>
      </c>
      <c r="O54" s="637">
        <f t="shared" si="3"/>
        <v>14.032896010816243</v>
      </c>
      <c r="P54" s="637">
        <f t="shared" si="3"/>
        <v>14.631229908465114</v>
      </c>
      <c r="Q54" s="637">
        <f t="shared" si="3"/>
        <v>12.777881159420291</v>
      </c>
      <c r="R54" s="636"/>
      <c r="S54" s="639">
        <f>MEDIAN(S41:S45,S20:S33,S15:S19)</f>
        <v>0.14431555628764531</v>
      </c>
      <c r="T54" s="637">
        <f>MEDIAN(T41:T45,T20:T33,T15:T19)</f>
        <v>5.1448412698412698</v>
      </c>
      <c r="U54" s="640"/>
      <c r="V54" s="637">
        <f>MEDIAN(V41:V45,V20:V33,V15:V19)</f>
        <v>4.8693679092382501E-2</v>
      </c>
      <c r="W54" s="637">
        <f>MEDIAN(W41:W45,W20:W33,W15:W19)</f>
        <v>5.2890641504119429E-2</v>
      </c>
      <c r="X54" s="637">
        <f>MEDIAN(X41:X45,X20:X33,X15:X19)</f>
        <v>4.6017595434000996E-2</v>
      </c>
      <c r="Y54" s="640"/>
      <c r="Z54" s="643">
        <f>MEDIAN(Z41:Z45,Z27:Z33,Z15:Z17)</f>
        <v>0.19927278512750402</v>
      </c>
      <c r="AA54" s="33"/>
    </row>
    <row r="55" spans="2:27" ht="15" customHeight="1" x14ac:dyDescent="0.25">
      <c r="B55" s="23"/>
      <c r="C55" s="23"/>
      <c r="D55" s="23"/>
      <c r="E55" s="23"/>
      <c r="F55" s="23"/>
      <c r="G55" s="23"/>
      <c r="H55" s="23"/>
      <c r="I55" s="23"/>
      <c r="J55" s="644"/>
      <c r="K55" s="23"/>
      <c r="L55" s="23"/>
      <c r="M55" s="23"/>
      <c r="N55" s="23"/>
      <c r="O55" s="23"/>
      <c r="P55" s="23"/>
      <c r="Q55" s="23"/>
      <c r="R55" s="23"/>
      <c r="S55" s="23"/>
      <c r="T55" s="23"/>
      <c r="U55" s="23"/>
      <c r="V55" s="23"/>
      <c r="W55" s="23"/>
      <c r="X55" s="23"/>
      <c r="Y55" s="23"/>
      <c r="Z55" s="23"/>
      <c r="AA55" s="33"/>
    </row>
    <row r="56" spans="2:27" ht="15" customHeight="1" x14ac:dyDescent="0.25">
      <c r="B56" s="629" t="s">
        <v>256</v>
      </c>
      <c r="C56" s="630"/>
      <c r="D56" s="630"/>
      <c r="E56" s="630"/>
      <c r="F56" s="630"/>
      <c r="G56" s="630"/>
      <c r="H56" s="630"/>
      <c r="I56" s="631">
        <f t="shared" ref="I56:T56" si="4">MAX(I41:I45,I20:I33,I15:I19)</f>
        <v>2.9826605219884694</v>
      </c>
      <c r="J56" s="631">
        <f t="shared" si="4"/>
        <v>3.0582474832333588</v>
      </c>
      <c r="K56" s="632">
        <f t="shared" si="4"/>
        <v>2.8637983866929799</v>
      </c>
      <c r="L56" s="631">
        <f t="shared" si="4"/>
        <v>13.550309591151963</v>
      </c>
      <c r="M56" s="631">
        <f t="shared" si="4"/>
        <v>15.285424548724921</v>
      </c>
      <c r="N56" s="632">
        <f t="shared" si="4"/>
        <v>12.953988262614395</v>
      </c>
      <c r="O56" s="631">
        <f t="shared" si="4"/>
        <v>16.087664676049034</v>
      </c>
      <c r="P56" s="631">
        <f t="shared" si="4"/>
        <v>21.320323308922397</v>
      </c>
      <c r="Q56" s="631">
        <f t="shared" si="4"/>
        <v>15.608212605886854</v>
      </c>
      <c r="R56" s="630" t="e">
        <f t="shared" si="4"/>
        <v>#DIV/0!</v>
      </c>
      <c r="S56" s="633">
        <f t="shared" si="4"/>
        <v>0.22070950246278156</v>
      </c>
      <c r="T56" s="631">
        <f t="shared" si="4"/>
        <v>8.3017957652103984</v>
      </c>
      <c r="U56" s="634"/>
      <c r="V56" s="631">
        <f>MAX(V41:V45,V20:V33,V15:V19)</f>
        <v>1.7144680657589522</v>
      </c>
      <c r="W56" s="631">
        <f>MAX(W41:W45,W20:W33,W15:W19)</f>
        <v>1.5638759689922481</v>
      </c>
      <c r="X56" s="631">
        <f>MAX(X41:X45,X20:X33,X15:X19)</f>
        <v>1.3330837004405287</v>
      </c>
      <c r="Y56" s="634"/>
      <c r="Z56" s="642">
        <f>MAX(Z41:Z45,Z27:Z33,Z15:Z17)</f>
        <v>0.31805284307072346</v>
      </c>
      <c r="AA56" s="33"/>
    </row>
    <row r="57" spans="2:27" ht="15" customHeight="1" x14ac:dyDescent="0.25">
      <c r="B57" s="635" t="s">
        <v>272</v>
      </c>
      <c r="C57" s="636"/>
      <c r="D57" s="636"/>
      <c r="E57" s="636"/>
      <c r="F57" s="636"/>
      <c r="G57" s="636"/>
      <c r="H57" s="636"/>
      <c r="I57" s="637">
        <f t="shared" ref="I57:T57" si="5">MIN(I41:I45,I20:I33,I15:I19)</f>
        <v>1.0120884977851179</v>
      </c>
      <c r="J57" s="637">
        <f t="shared" si="5"/>
        <v>0.96305609113349788</v>
      </c>
      <c r="K57" s="638">
        <f t="shared" si="5"/>
        <v>0.9227780512361563</v>
      </c>
      <c r="L57" s="637">
        <f t="shared" si="5"/>
        <v>4.8181112958876637</v>
      </c>
      <c r="M57" s="637">
        <f t="shared" si="5"/>
        <v>7.0411057184494501</v>
      </c>
      <c r="N57" s="638">
        <f t="shared" si="5"/>
        <v>7.1886894001643391</v>
      </c>
      <c r="O57" s="637">
        <f t="shared" si="5"/>
        <v>5.8922501833793328</v>
      </c>
      <c r="P57" s="637">
        <f t="shared" si="5"/>
        <v>8.9817617293489711</v>
      </c>
      <c r="Q57" s="637">
        <f t="shared" si="5"/>
        <v>8.4732542372881365</v>
      </c>
      <c r="R57" s="636" t="e">
        <f t="shared" si="5"/>
        <v>#DIV/0!</v>
      </c>
      <c r="S57" s="639">
        <f t="shared" si="5"/>
        <v>0.1029618244692387</v>
      </c>
      <c r="T57" s="637">
        <f t="shared" si="5"/>
        <v>0.98141017185698298</v>
      </c>
      <c r="U57" s="640"/>
      <c r="V57" s="637">
        <f>MIN(V41:V45,V20:V33,V15:V19)</f>
        <v>8.366724163873384E-5</v>
      </c>
      <c r="W57" s="637">
        <f>MIN(W41:W45,W20:W33,W15:W19)</f>
        <v>8.9560783499576934E-5</v>
      </c>
      <c r="X57" s="637">
        <f>MIN(X41:X45,X20:X33,X15:X19)</f>
        <v>9.6090086548575866E-5</v>
      </c>
      <c r="Y57" s="640"/>
      <c r="Z57" s="643">
        <f>MIN(Z41:Z45,Z27:Z33,Z15:Z17)</f>
        <v>0.15486087274856741</v>
      </c>
      <c r="AA57" s="33"/>
    </row>
  </sheetData>
  <mergeCells count="2">
    <mergeCell ref="I7:Q7"/>
    <mergeCell ref="V7:X7"/>
  </mergeCells>
  <conditionalFormatting sqref="I31:I33 I15:I21 I41:I45">
    <cfRule type="colorScale" priority="70">
      <colorScale>
        <cfvo type="min"/>
        <cfvo type="percentile" val="50"/>
        <cfvo type="max"/>
        <color rgb="FF8DEB91"/>
        <color theme="0"/>
        <color theme="4" tint="0.79998168889431442"/>
      </colorScale>
    </cfRule>
  </conditionalFormatting>
  <conditionalFormatting sqref="J31:J33 J15:J21 J41:J45">
    <cfRule type="colorScale" priority="74">
      <colorScale>
        <cfvo type="min"/>
        <cfvo type="percentile" val="50"/>
        <cfvo type="max"/>
        <color rgb="FF8DEB91"/>
        <color theme="0"/>
        <color theme="4" tint="0.79998168889431442"/>
      </colorScale>
    </cfRule>
  </conditionalFormatting>
  <conditionalFormatting sqref="K31:K33 K15:K21 K41:K45">
    <cfRule type="colorScale" priority="78">
      <colorScale>
        <cfvo type="min"/>
        <cfvo type="percentile" val="50"/>
        <cfvo type="max"/>
        <color rgb="FF8DEB91"/>
        <color theme="0"/>
        <color theme="4" tint="0.79998168889431442"/>
      </colorScale>
    </cfRule>
  </conditionalFormatting>
  <conditionalFormatting sqref="L31:L33 L15:L21 L41:L45">
    <cfRule type="colorScale" priority="82">
      <colorScale>
        <cfvo type="min"/>
        <cfvo type="percentile" val="50"/>
        <cfvo type="max"/>
        <color rgb="FF8DEB91"/>
        <color theme="0"/>
        <color theme="4" tint="0.79998168889431442"/>
      </colorScale>
    </cfRule>
  </conditionalFormatting>
  <conditionalFormatting sqref="M31:M33 M15:M21 M41:M45">
    <cfRule type="colorScale" priority="86">
      <colorScale>
        <cfvo type="min"/>
        <cfvo type="percentile" val="50"/>
        <cfvo type="max"/>
        <color rgb="FF8DEB91"/>
        <color theme="0"/>
        <color theme="4" tint="0.79998168889431442"/>
      </colorScale>
    </cfRule>
  </conditionalFormatting>
  <conditionalFormatting sqref="N31:N33 N15:N21 N41:N45">
    <cfRule type="colorScale" priority="90">
      <colorScale>
        <cfvo type="min"/>
        <cfvo type="percentile" val="50"/>
        <cfvo type="max"/>
        <color rgb="FF8DEB91"/>
        <color theme="0"/>
        <color theme="4" tint="0.79998168889431442"/>
      </colorScale>
    </cfRule>
  </conditionalFormatting>
  <conditionalFormatting sqref="O31:O33 O15:O21 O41:O45">
    <cfRule type="colorScale" priority="94">
      <colorScale>
        <cfvo type="min"/>
        <cfvo type="percentile" val="50"/>
        <cfvo type="max"/>
        <color rgb="FF8DEB91"/>
        <color theme="0"/>
        <color theme="4" tint="0.79998168889431442"/>
      </colorScale>
    </cfRule>
  </conditionalFormatting>
  <conditionalFormatting sqref="P31:P33 P15:P21 P41:P45">
    <cfRule type="colorScale" priority="98">
      <colorScale>
        <cfvo type="min"/>
        <cfvo type="percentile" val="50"/>
        <cfvo type="max"/>
        <color rgb="FF8DEB91"/>
        <color theme="0"/>
        <color theme="4" tint="0.79998168889431442"/>
      </colorScale>
    </cfRule>
  </conditionalFormatting>
  <conditionalFormatting sqref="Q31:Q33 Q15:Q21 Q41:Q45">
    <cfRule type="colorScale" priority="102">
      <colorScale>
        <cfvo type="min"/>
        <cfvo type="percentile" val="50"/>
        <cfvo type="max"/>
        <color rgb="FF8DEB91"/>
        <color theme="0"/>
        <color theme="4" tint="0.79998168889431442"/>
      </colorScale>
    </cfRule>
  </conditionalFormatting>
  <conditionalFormatting sqref="S31:S33 S15:S21 S41:S45">
    <cfRule type="colorScale" priority="106">
      <colorScale>
        <cfvo type="min"/>
        <cfvo type="percentile" val="50"/>
        <cfvo type="max"/>
        <color theme="4" tint="0.79998168889431442"/>
        <color theme="0"/>
        <color rgb="FF8DEB91"/>
      </colorScale>
    </cfRule>
  </conditionalFormatting>
  <conditionalFormatting sqref="T31:T33 T15:T21 T41:T45">
    <cfRule type="colorScale" priority="110">
      <colorScale>
        <cfvo type="min"/>
        <cfvo type="percentile" val="50"/>
        <cfvo type="max"/>
        <color rgb="FF8DEB91"/>
        <color theme="0"/>
        <color theme="4" tint="0.79998168889431442"/>
      </colorScale>
    </cfRule>
  </conditionalFormatting>
  <conditionalFormatting sqref="V31:V33 V41:V45 V15:V21">
    <cfRule type="colorScale" priority="114">
      <colorScale>
        <cfvo type="min"/>
        <cfvo type="percentile" val="50"/>
        <cfvo type="max"/>
        <color rgb="FF8DEB91"/>
        <color theme="0"/>
        <color theme="4" tint="0.79998168889431442"/>
      </colorScale>
    </cfRule>
  </conditionalFormatting>
  <conditionalFormatting sqref="W31:W33 W41:W45 W15:W21">
    <cfRule type="colorScale" priority="118">
      <colorScale>
        <cfvo type="min"/>
        <cfvo type="percentile" val="50"/>
        <cfvo type="max"/>
        <color rgb="FF8DEB91"/>
        <color theme="0"/>
        <color theme="4" tint="0.79998168889431442"/>
      </colorScale>
    </cfRule>
  </conditionalFormatting>
  <conditionalFormatting sqref="X31:X33 X41:X45 X15:X21">
    <cfRule type="colorScale" priority="122">
      <colorScale>
        <cfvo type="min"/>
        <cfvo type="percentile" val="50"/>
        <cfvo type="max"/>
        <color rgb="FF8DEB91"/>
        <color theme="0"/>
        <color theme="4" tint="0.79998168889431442"/>
      </colorScale>
    </cfRule>
  </conditionalFormatting>
  <conditionalFormatting sqref="Z31:Z33 Z15:Z21 Z41:Z45">
    <cfRule type="colorScale" priority="126">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U91"/>
  <sheetViews>
    <sheetView showGridLines="0" zoomScale="71" zoomScaleNormal="59" workbookViewId="0">
      <selection activeCell="D18" sqref="D18"/>
    </sheetView>
  </sheetViews>
  <sheetFormatPr defaultColWidth="11.59765625" defaultRowHeight="15" customHeight="1" x14ac:dyDescent="0.25"/>
  <cols>
    <col min="1" max="1" width="2.09765625" style="23" customWidth="1"/>
    <col min="2" max="2" width="31.09765625" style="23" customWidth="1"/>
    <col min="3" max="3" width="12.09765625" style="23" customWidth="1"/>
    <col min="4" max="4" width="23.09765625" style="23" customWidth="1"/>
    <col min="5" max="5" width="17.09765625" style="23" customWidth="1"/>
    <col min="6" max="6" width="15.09765625" style="23" customWidth="1"/>
    <col min="7" max="8" width="12.09765625" style="23" customWidth="1"/>
    <col min="9" max="9" width="14.3984375" style="23" customWidth="1"/>
    <col min="10" max="10" width="14.59765625" style="23" customWidth="1"/>
    <col min="11" max="18" width="12.09765625" style="23" customWidth="1"/>
    <col min="19" max="16384" width="11.59765625" style="23"/>
  </cols>
  <sheetData>
    <row r="1" spans="1:21" s="581" customFormat="1" ht="15" customHeight="1" x14ac:dyDescent="0.25"/>
    <row r="2" spans="1:21" s="581" customFormat="1" ht="15" customHeight="1" x14ac:dyDescent="0.25"/>
    <row r="3" spans="1:21" s="581" customFormat="1" ht="15" customHeight="1" x14ac:dyDescent="0.25"/>
    <row r="4" spans="1:21" s="581" customFormat="1" ht="15" customHeight="1" x14ac:dyDescent="0.25"/>
    <row r="5" spans="1:21" s="36" customFormat="1" ht="4.3499999999999996" customHeight="1" x14ac:dyDescent="0.25"/>
    <row r="7" spans="1:21" ht="15" customHeight="1" x14ac:dyDescent="0.25">
      <c r="B7" s="591" t="s">
        <v>273</v>
      </c>
      <c r="C7" s="581"/>
      <c r="D7" s="581"/>
      <c r="E7" s="581"/>
      <c r="F7" s="581"/>
      <c r="G7" s="581"/>
      <c r="H7" s="581"/>
      <c r="I7" s="581"/>
      <c r="J7" s="581"/>
      <c r="K7" s="581"/>
      <c r="L7" s="581"/>
      <c r="M7" s="581"/>
      <c r="N7" s="581"/>
      <c r="O7" s="581"/>
      <c r="P7" s="581"/>
      <c r="Q7" s="581"/>
      <c r="R7" s="581"/>
    </row>
    <row r="8" spans="1:21" ht="15" customHeight="1" x14ac:dyDescent="0.25">
      <c r="B8" s="581"/>
      <c r="C8" s="581"/>
      <c r="D8" s="581"/>
      <c r="E8" s="581"/>
      <c r="F8" s="581"/>
      <c r="G8" s="581"/>
      <c r="H8" s="581"/>
      <c r="I8" s="581"/>
      <c r="J8" s="581"/>
      <c r="K8" s="581"/>
      <c r="L8" s="581"/>
      <c r="M8" s="581"/>
      <c r="N8" s="581"/>
      <c r="O8" s="581"/>
      <c r="P8" s="581"/>
      <c r="Q8" s="581"/>
      <c r="R8" s="581"/>
    </row>
    <row r="9" spans="1:21" ht="15" customHeight="1" x14ac:dyDescent="0.25">
      <c r="B9" s="581"/>
      <c r="C9" s="581"/>
      <c r="D9" s="581"/>
      <c r="E9" s="581"/>
      <c r="F9" s="581"/>
      <c r="G9" s="581"/>
      <c r="H9" s="581"/>
      <c r="I9" s="581"/>
      <c r="J9" s="581"/>
      <c r="K9" s="581"/>
      <c r="L9" s="581"/>
      <c r="M9" s="581"/>
      <c r="N9" s="581"/>
      <c r="O9" s="581"/>
      <c r="P9" s="581"/>
      <c r="Q9" s="581"/>
      <c r="R9" s="581"/>
    </row>
    <row r="10" spans="1:21" ht="4.3499999999999996" customHeight="1" x14ac:dyDescent="0.25">
      <c r="B10" s="36"/>
      <c r="C10" s="36"/>
      <c r="D10" s="36"/>
      <c r="E10" s="36"/>
      <c r="F10" s="36"/>
      <c r="G10" s="36"/>
      <c r="H10" s="36"/>
      <c r="I10" s="36"/>
      <c r="J10" s="36"/>
      <c r="K10" s="36"/>
      <c r="L10" s="36"/>
      <c r="M10" s="36"/>
      <c r="N10" s="36"/>
      <c r="O10" s="36"/>
      <c r="P10" s="36"/>
      <c r="Q10" s="36"/>
      <c r="R10" s="36"/>
    </row>
    <row r="11" spans="1:21" ht="4.3499999999999996" customHeight="1" x14ac:dyDescent="0.25"/>
    <row r="12" spans="1:21" ht="15" customHeight="1" x14ac:dyDescent="0.25">
      <c r="A12" s="382" t="s">
        <v>70</v>
      </c>
      <c r="B12" s="596" t="s">
        <v>261</v>
      </c>
      <c r="C12" s="597" t="str">
        <f>C21</f>
        <v>DEERE &amp; CO</v>
      </c>
      <c r="D12" s="597" t="str" cm="1">
        <f t="array" ref="D12:H12">TRANSPOSE(Inputs!B21:B25)</f>
        <v>AGCO CORP</v>
      </c>
      <c r="E12" s="597" t="str">
        <v>CATTERPILLAR INC</v>
      </c>
      <c r="F12" s="597" t="str">
        <v>CNH INDUSTRIAL N</v>
      </c>
      <c r="G12" s="597" t="str">
        <v>TEREX CORP</v>
      </c>
      <c r="H12" s="597" t="str">
        <v>ALAMO GROUP</v>
      </c>
      <c r="I12" s="597" t="str" cm="1">
        <f t="array" ref="I12:J12">TRANSPOSE(Inputs!H21:H22)</f>
        <v>KUBOTA CORP-ADR</v>
      </c>
      <c r="J12" s="597" t="str">
        <v>KOMATSU LTD-ADR</v>
      </c>
      <c r="K12" s="597"/>
      <c r="L12" s="597"/>
      <c r="M12" s="597"/>
      <c r="N12" s="597"/>
      <c r="O12" s="597"/>
      <c r="P12" s="597"/>
      <c r="Q12" s="597"/>
      <c r="R12" s="597"/>
      <c r="U12" s="33"/>
    </row>
    <row r="13" spans="1:21" ht="4.3499999999999996" customHeight="1" x14ac:dyDescent="0.25">
      <c r="A13" s="382"/>
      <c r="B13" s="595"/>
      <c r="C13" s="36"/>
      <c r="D13" s="36"/>
      <c r="E13" s="36"/>
      <c r="F13" s="36"/>
      <c r="G13" s="36"/>
      <c r="H13" s="36"/>
      <c r="I13" s="36"/>
      <c r="J13" s="36"/>
      <c r="K13" s="36"/>
      <c r="L13" s="36"/>
      <c r="M13" s="36"/>
      <c r="N13" s="36"/>
      <c r="O13" s="36"/>
      <c r="P13" s="36"/>
      <c r="Q13" s="36"/>
      <c r="R13" s="36"/>
      <c r="U13" s="33"/>
    </row>
    <row r="14" spans="1:21" ht="15" customHeight="1" x14ac:dyDescent="0.25">
      <c r="B14" s="377" t="s">
        <v>274</v>
      </c>
      <c r="C14" s="582">
        <v>-0.2097</v>
      </c>
      <c r="D14" s="582">
        <v>-0.2427</v>
      </c>
      <c r="E14" s="744">
        <v>-4.87E-2</v>
      </c>
      <c r="F14" s="582">
        <v>-0.2172</v>
      </c>
      <c r="G14" s="582">
        <v>-3.5000000000000001E-3</v>
      </c>
      <c r="H14" s="582">
        <v>-4.9000000000000002E-2</v>
      </c>
      <c r="I14" s="744">
        <v>-6.1199999999999997E-2</v>
      </c>
      <c r="J14" s="756" t="s">
        <v>275</v>
      </c>
      <c r="K14" s="582"/>
      <c r="L14" s="582"/>
      <c r="M14" s="582"/>
      <c r="N14" s="582"/>
      <c r="O14" s="582"/>
      <c r="P14" s="582"/>
      <c r="Q14" s="582"/>
      <c r="R14" s="582"/>
      <c r="U14" s="33"/>
    </row>
    <row r="15" spans="1:21" ht="15" customHeight="1" x14ac:dyDescent="0.25">
      <c r="B15" s="377" t="s">
        <v>276</v>
      </c>
      <c r="C15" s="582">
        <f>(51716/52577)^(1/3)-1</f>
        <v>-5.4887316884575377E-3</v>
      </c>
      <c r="D15" s="582">
        <f>(11661900/12651400)^(1/3)-1</f>
        <v>-2.6781755204336788E-2</v>
      </c>
      <c r="E15" s="744">
        <f>(64809/59427)^(1/3)-1</f>
        <v>2.9320220935446839E-2</v>
      </c>
      <c r="F15" s="582">
        <f>(19836000/23551000)^(1/3)-1</f>
        <v>-5.5616807798945622E-2</v>
      </c>
      <c r="G15" s="582">
        <f>(5127/4418)^(1/3)-1</f>
        <v>5.0862437349152412E-2</v>
      </c>
      <c r="H15" s="582">
        <f>(1628513/1513616)^(1/3)-1</f>
        <v>2.4688447581546313E-2</v>
      </c>
      <c r="I15" s="744">
        <f>(20291160/18008610)^(1/3)-1</f>
        <v>4.0580206844402555E-2</v>
      </c>
      <c r="J15" s="756" t="s">
        <v>275</v>
      </c>
      <c r="K15" s="582"/>
      <c r="L15" s="582"/>
      <c r="M15" s="582"/>
      <c r="N15" s="582"/>
      <c r="O15" s="582"/>
      <c r="P15" s="582"/>
      <c r="Q15" s="582"/>
      <c r="R15" s="582"/>
      <c r="U15" s="33"/>
    </row>
    <row r="16" spans="1:21" ht="15" customHeight="1" x14ac:dyDescent="0.25">
      <c r="B16" s="377" t="s">
        <v>277</v>
      </c>
      <c r="C16" s="582">
        <v>-0.184</v>
      </c>
      <c r="D16" s="582">
        <v>-0.29880000000000001</v>
      </c>
      <c r="E16" s="744">
        <v>-7.8600000000000003E-2</v>
      </c>
      <c r="F16" s="744">
        <v>-0.2112</v>
      </c>
      <c r="G16" s="582">
        <v>-0.18459999999999999</v>
      </c>
      <c r="H16" s="582">
        <v>-8.8099999999999998E-2</v>
      </c>
      <c r="I16" s="744">
        <v>-4.7500000000000001E-2</v>
      </c>
      <c r="J16" s="756" t="s">
        <v>275</v>
      </c>
      <c r="K16" s="582"/>
      <c r="L16" s="582"/>
      <c r="M16" s="582"/>
      <c r="N16" s="582"/>
      <c r="O16" s="582"/>
      <c r="P16" s="582"/>
      <c r="Q16" s="582"/>
      <c r="R16" s="582"/>
      <c r="U16" s="33"/>
    </row>
    <row r="17" spans="1:21" ht="15" customHeight="1" x14ac:dyDescent="0.25">
      <c r="B17" s="377" t="s">
        <v>278</v>
      </c>
      <c r="C17" s="582">
        <v>-0.27429999999999999</v>
      </c>
      <c r="D17" s="744">
        <v>-0.93</v>
      </c>
      <c r="E17" s="744">
        <v>-0.1527</v>
      </c>
      <c r="F17" s="744">
        <v>-0.2727</v>
      </c>
      <c r="G17" s="744">
        <v>-0.40789999999999998</v>
      </c>
      <c r="H17" s="744">
        <v>-0.1018</v>
      </c>
      <c r="I17" s="744">
        <v>-0.28520000000000001</v>
      </c>
      <c r="J17" s="756" t="s">
        <v>275</v>
      </c>
      <c r="K17" s="582"/>
      <c r="L17" s="582"/>
      <c r="M17" s="582"/>
      <c r="N17" s="582"/>
      <c r="O17" s="582"/>
      <c r="P17" s="582"/>
      <c r="Q17" s="582"/>
      <c r="R17" s="582"/>
      <c r="U17" s="33"/>
    </row>
    <row r="18" spans="1:21" ht="15" customHeight="1" x14ac:dyDescent="0.25">
      <c r="B18" s="377" t="s">
        <v>279</v>
      </c>
      <c r="C18" s="744">
        <v>-0.25740000000000002</v>
      </c>
      <c r="D18" s="744">
        <v>-0.69910000000000005</v>
      </c>
      <c r="E18" s="744">
        <v>-0.12770000000000001</v>
      </c>
      <c r="F18" s="744">
        <v>-0.25390000000000001</v>
      </c>
      <c r="G18" s="744">
        <v>-0.2707</v>
      </c>
      <c r="H18" s="744">
        <v>-6.3700000000000007E-2</v>
      </c>
      <c r="I18" s="744">
        <v>-0.12839999999999999</v>
      </c>
      <c r="J18" s="756" t="s">
        <v>275</v>
      </c>
      <c r="K18" s="582"/>
      <c r="L18" s="582"/>
      <c r="M18" s="582"/>
      <c r="N18" s="582"/>
      <c r="O18" s="582"/>
      <c r="P18" s="582"/>
      <c r="Q18" s="582"/>
      <c r="R18" s="582"/>
      <c r="U18" s="33"/>
    </row>
    <row r="19" spans="1:21" ht="15" customHeight="1" x14ac:dyDescent="0.25">
      <c r="B19" s="377" t="s">
        <v>280</v>
      </c>
      <c r="C19" s="582">
        <v>7.4739140985197766E-2</v>
      </c>
      <c r="D19" s="582">
        <v>-0.49299145299145297</v>
      </c>
      <c r="E19" s="582">
        <v>-9.9356683345246596E-2</v>
      </c>
      <c r="F19" s="582" t="e">
        <v>#VALUE!</v>
      </c>
      <c r="G19" s="582">
        <v>-0.43089430894308944</v>
      </c>
      <c r="H19" s="582">
        <v>0.97823550193236219</v>
      </c>
      <c r="I19" s="582" t="e">
        <v>#VALUE!</v>
      </c>
      <c r="J19" s="582">
        <v>0.34284025863667955</v>
      </c>
      <c r="K19" s="582"/>
      <c r="L19" s="582"/>
      <c r="M19" s="582"/>
      <c r="N19" s="582"/>
      <c r="O19" s="582"/>
      <c r="P19" s="582"/>
      <c r="Q19" s="582"/>
      <c r="R19" s="582"/>
      <c r="U19" s="33"/>
    </row>
    <row r="20" spans="1:21" ht="15" customHeight="1" x14ac:dyDescent="0.25">
      <c r="B20" s="377"/>
      <c r="U20" s="33"/>
    </row>
    <row r="21" spans="1:21" ht="15" customHeight="1" x14ac:dyDescent="0.25">
      <c r="A21" s="382" t="s">
        <v>70</v>
      </c>
      <c r="B21" s="596" t="s">
        <v>281</v>
      </c>
      <c r="C21" s="597" t="s">
        <v>189</v>
      </c>
      <c r="D21" s="597" t="str">
        <f t="shared" ref="D21:J21" si="0">D12</f>
        <v>AGCO CORP</v>
      </c>
      <c r="E21" s="597" t="str">
        <f t="shared" si="0"/>
        <v>CATTERPILLAR INC</v>
      </c>
      <c r="F21" s="597" t="str">
        <f t="shared" si="0"/>
        <v>CNH INDUSTRIAL N</v>
      </c>
      <c r="G21" s="597" t="str">
        <f t="shared" si="0"/>
        <v>TEREX CORP</v>
      </c>
      <c r="H21" s="597" t="str">
        <f t="shared" si="0"/>
        <v>ALAMO GROUP</v>
      </c>
      <c r="I21" s="597" t="str">
        <f t="shared" si="0"/>
        <v>KUBOTA CORP-ADR</v>
      </c>
      <c r="J21" s="597" t="str">
        <f t="shared" si="0"/>
        <v>KOMATSU LTD-ADR</v>
      </c>
      <c r="K21" s="597"/>
      <c r="L21" s="597"/>
      <c r="M21" s="597"/>
      <c r="N21" s="597"/>
      <c r="O21" s="597"/>
      <c r="P21" s="597"/>
      <c r="Q21" s="597"/>
      <c r="R21" s="597"/>
      <c r="U21" s="33"/>
    </row>
    <row r="22" spans="1:21" ht="4.3499999999999996" customHeight="1" x14ac:dyDescent="0.25">
      <c r="A22" s="382"/>
      <c r="B22" s="595"/>
      <c r="C22" s="36"/>
      <c r="D22" s="36"/>
      <c r="E22" s="36"/>
      <c r="F22" s="36"/>
      <c r="G22" s="36"/>
      <c r="H22" s="36"/>
      <c r="I22" s="36"/>
      <c r="J22" s="36"/>
      <c r="K22" s="36"/>
      <c r="L22" s="36"/>
      <c r="M22" s="36"/>
      <c r="N22" s="36"/>
      <c r="O22" s="36"/>
      <c r="P22" s="36"/>
      <c r="Q22" s="36"/>
      <c r="R22" s="36"/>
      <c r="U22" s="33"/>
    </row>
    <row r="23" spans="1:21" ht="15" customHeight="1" x14ac:dyDescent="0.25">
      <c r="B23" s="377" t="s">
        <v>282</v>
      </c>
      <c r="C23" s="582">
        <v>0.40492304122515277</v>
      </c>
      <c r="D23" s="582">
        <v>0.24859585487785019</v>
      </c>
      <c r="E23" s="582">
        <v>0.35988828712061588</v>
      </c>
      <c r="F23" s="582">
        <v>0.32698124621899571</v>
      </c>
      <c r="G23" s="582">
        <v>0.20830895260386195</v>
      </c>
      <c r="H23" s="582">
        <v>0.25329119264015687</v>
      </c>
      <c r="I23" s="582">
        <v>0.30765701206220508</v>
      </c>
      <c r="J23" s="582">
        <v>0.32218707020157666</v>
      </c>
      <c r="K23" s="582"/>
      <c r="L23" s="582"/>
      <c r="M23" s="582"/>
      <c r="N23" s="582"/>
      <c r="O23" s="582"/>
      <c r="P23" s="582"/>
      <c r="Q23" s="582"/>
      <c r="R23" s="582"/>
      <c r="U23" s="33"/>
    </row>
    <row r="24" spans="1:21" ht="15" customHeight="1" x14ac:dyDescent="0.25">
      <c r="B24" s="377" t="s">
        <v>283</v>
      </c>
      <c r="C24" s="582">
        <v>0.24274885915384017</v>
      </c>
      <c r="D24" s="582">
        <v>-1.04699920253132E-2</v>
      </c>
      <c r="E24" s="582">
        <v>0.20170038111990618</v>
      </c>
      <c r="F24" s="582">
        <v>0.18814277071990321</v>
      </c>
      <c r="G24" s="582">
        <v>0.10259410961575971</v>
      </c>
      <c r="H24" s="582">
        <v>0.10120152556350487</v>
      </c>
      <c r="I24" s="582">
        <v>0.10464409648835767</v>
      </c>
      <c r="J24" s="582">
        <v>0.16010276788661909</v>
      </c>
      <c r="K24" s="582"/>
      <c r="L24" s="582"/>
      <c r="M24" s="582"/>
      <c r="N24" s="582"/>
      <c r="O24" s="582"/>
      <c r="P24" s="582"/>
      <c r="Q24" s="582"/>
      <c r="R24" s="582"/>
      <c r="U24" s="33"/>
    </row>
    <row r="25" spans="1:21" ht="15" customHeight="1" x14ac:dyDescent="0.25">
      <c r="B25" s="377" t="s">
        <v>284</v>
      </c>
      <c r="C25" s="582">
        <v>0.26591195534749729</v>
      </c>
      <c r="D25" s="582">
        <v>3.667875856509472E-2</v>
      </c>
      <c r="E25" s="582">
        <v>0.21701325646589273</v>
      </c>
      <c r="F25" s="582">
        <v>0.21971332115778405</v>
      </c>
      <c r="G25" s="582">
        <v>9.7504352872896105E-2</v>
      </c>
      <c r="H25" s="582">
        <v>0.14488863223993784</v>
      </c>
      <c r="I25" s="582">
        <v>0.13004013328192032</v>
      </c>
      <c r="J25" s="582">
        <v>0.19779027656569353</v>
      </c>
      <c r="K25" s="582"/>
      <c r="L25" s="582"/>
      <c r="M25" s="582"/>
      <c r="N25" s="582"/>
      <c r="O25" s="582"/>
      <c r="P25" s="582"/>
      <c r="Q25" s="582"/>
      <c r="R25" s="582"/>
      <c r="U25" s="33"/>
    </row>
    <row r="26" spans="1:21" ht="15" customHeight="1" x14ac:dyDescent="0.25">
      <c r="B26" s="377" t="s">
        <v>285</v>
      </c>
      <c r="C26" s="582">
        <v>0.13728826668729213</v>
      </c>
      <c r="D26" s="582">
        <v>-3.6426311321482781E-2</v>
      </c>
      <c r="E26" s="582">
        <v>0.16652008208736441</v>
      </c>
      <c r="F26" s="582">
        <v>6.2815083686227055E-2</v>
      </c>
      <c r="G26" s="582">
        <v>6.5340354983421098E-2</v>
      </c>
      <c r="H26" s="582">
        <v>7.1187641732058646E-2</v>
      </c>
      <c r="I26" s="582">
        <v>7.6397722891202779E-2</v>
      </c>
      <c r="J26" s="582">
        <v>0.10702088858406658</v>
      </c>
      <c r="K26" s="582"/>
      <c r="L26" s="582"/>
      <c r="M26" s="582"/>
      <c r="N26" s="582"/>
      <c r="O26" s="582"/>
      <c r="P26" s="582"/>
      <c r="Q26" s="582"/>
      <c r="R26" s="582"/>
      <c r="U26" s="33"/>
    </row>
    <row r="27" spans="1:21" ht="15" customHeight="1" x14ac:dyDescent="0.25">
      <c r="B27" s="377" t="s">
        <v>286</v>
      </c>
      <c r="C27" s="582" t="e">
        <v>#VALUE!</v>
      </c>
      <c r="D27" s="582">
        <v>0.1198518251742855</v>
      </c>
      <c r="E27" s="582">
        <v>0.10287151475875264</v>
      </c>
      <c r="F27" s="582">
        <v>8.6307723331316796E-2</v>
      </c>
      <c r="G27" s="582">
        <v>0.10571484298810221</v>
      </c>
      <c r="H27" s="582">
        <v>0.14212536221694269</v>
      </c>
      <c r="I27" s="582">
        <v>0.16086266498379959</v>
      </c>
      <c r="J27" s="582">
        <v>0.13360897282059839</v>
      </c>
      <c r="K27" s="582"/>
      <c r="L27" s="582"/>
      <c r="M27" s="582"/>
      <c r="N27" s="582"/>
      <c r="O27" s="582"/>
      <c r="P27" s="582"/>
      <c r="Q27" s="582"/>
      <c r="R27" s="582"/>
      <c r="U27" s="33"/>
    </row>
    <row r="28" spans="1:21" ht="15" customHeight="1" x14ac:dyDescent="0.25">
      <c r="B28" s="377" t="s">
        <v>287</v>
      </c>
      <c r="C28" s="582">
        <v>5.0796723082463087E-2</v>
      </c>
      <c r="D28" s="582">
        <v>4.5034948535700586E-2</v>
      </c>
      <c r="E28" s="582">
        <v>3.299070305199639E-2</v>
      </c>
      <c r="F28" s="582">
        <v>4.7650672422380878E-2</v>
      </c>
      <c r="G28" s="582" t="e">
        <v>#VALUE!</v>
      </c>
      <c r="H28" s="582" t="e">
        <v>#VALUE!</v>
      </c>
      <c r="I28" s="582" t="e">
        <v>#VALUE!</v>
      </c>
      <c r="J28" s="582" t="e">
        <v>#VALUE!</v>
      </c>
      <c r="K28" s="582"/>
      <c r="L28" s="582"/>
      <c r="M28" s="582"/>
      <c r="N28" s="582"/>
      <c r="O28" s="582"/>
      <c r="P28" s="582"/>
      <c r="Q28" s="582"/>
      <c r="R28" s="582"/>
      <c r="U28" s="33"/>
    </row>
    <row r="29" spans="1:21" ht="15" customHeight="1" x14ac:dyDescent="0.25">
      <c r="B29" s="377"/>
      <c r="U29" s="33"/>
    </row>
    <row r="30" spans="1:21" ht="15" customHeight="1" x14ac:dyDescent="0.25">
      <c r="A30" s="382" t="s">
        <v>70</v>
      </c>
      <c r="B30" s="596" t="s">
        <v>288</v>
      </c>
      <c r="C30" s="597" t="s">
        <v>189</v>
      </c>
      <c r="D30" s="597" t="str">
        <f t="shared" ref="D30:J30" si="1">D21</f>
        <v>AGCO CORP</v>
      </c>
      <c r="E30" s="597" t="str">
        <f t="shared" si="1"/>
        <v>CATTERPILLAR INC</v>
      </c>
      <c r="F30" s="597" t="str">
        <f t="shared" si="1"/>
        <v>CNH INDUSTRIAL N</v>
      </c>
      <c r="G30" s="597" t="str">
        <f t="shared" si="1"/>
        <v>TEREX CORP</v>
      </c>
      <c r="H30" s="597" t="str">
        <f t="shared" si="1"/>
        <v>ALAMO GROUP</v>
      </c>
      <c r="I30" s="597" t="str">
        <f t="shared" si="1"/>
        <v>KUBOTA CORP-ADR</v>
      </c>
      <c r="J30" s="597" t="str">
        <f t="shared" si="1"/>
        <v>KOMATSU LTD-ADR</v>
      </c>
      <c r="K30" s="597"/>
      <c r="L30" s="597"/>
      <c r="M30" s="597"/>
      <c r="N30" s="597"/>
      <c r="O30" s="597"/>
      <c r="P30" s="597"/>
      <c r="Q30" s="597"/>
      <c r="R30" s="597"/>
      <c r="U30" s="33"/>
    </row>
    <row r="31" spans="1:21" ht="4.3499999999999996" customHeight="1" x14ac:dyDescent="0.25">
      <c r="A31" s="382"/>
      <c r="B31" s="595"/>
      <c r="C31" s="36"/>
      <c r="D31" s="36"/>
      <c r="E31" s="36"/>
      <c r="F31" s="36"/>
      <c r="G31" s="36"/>
      <c r="H31" s="36"/>
      <c r="I31" s="36"/>
      <c r="J31" s="36"/>
      <c r="K31" s="36"/>
      <c r="L31" s="36"/>
      <c r="M31" s="36"/>
      <c r="N31" s="36"/>
      <c r="O31" s="36"/>
      <c r="P31" s="36"/>
      <c r="Q31" s="36"/>
      <c r="R31" s="36"/>
      <c r="U31" s="33"/>
    </row>
    <row r="32" spans="1:21" ht="15" customHeight="1" x14ac:dyDescent="0.25">
      <c r="B32" s="377" t="s">
        <v>289</v>
      </c>
      <c r="C32" s="582">
        <v>8.3838299821006074E-2</v>
      </c>
      <c r="D32" s="582">
        <v>3.764170947500748E-2</v>
      </c>
      <c r="E32" s="582">
        <v>0.15931688259445573</v>
      </c>
      <c r="F32" s="582">
        <v>6.8481719981213565E-2</v>
      </c>
      <c r="G32" s="582">
        <v>8.8644542930771758E-2</v>
      </c>
      <c r="H32" s="582">
        <v>9.6869641550573107E-2</v>
      </c>
      <c r="I32" s="582">
        <v>4.0713576788021524E-2</v>
      </c>
      <c r="J32" s="582">
        <v>0.10192899338435674</v>
      </c>
      <c r="K32" s="582"/>
      <c r="L32" s="582"/>
      <c r="M32" s="582"/>
      <c r="N32" s="582"/>
      <c r="O32" s="582"/>
      <c r="P32" s="582"/>
      <c r="Q32" s="582"/>
      <c r="R32" s="582"/>
      <c r="U32" s="33"/>
    </row>
    <row r="33" spans="1:21" ht="15" customHeight="1" x14ac:dyDescent="0.25">
      <c r="B33" s="377" t="s">
        <v>290</v>
      </c>
      <c r="C33" s="582">
        <v>5.0127327259351477E-2</v>
      </c>
      <c r="D33" s="582">
        <v>4.4171084767975211E-2</v>
      </c>
      <c r="E33" s="582">
        <v>0.15075634561148621</v>
      </c>
      <c r="F33" s="582">
        <v>2.2368421052631579E-2</v>
      </c>
      <c r="G33" s="582">
        <v>4.1456459749945163E-2</v>
      </c>
      <c r="H33" s="582">
        <v>0.14434625290297784</v>
      </c>
      <c r="I33" s="582">
        <v>1.9935633386481588E-2</v>
      </c>
      <c r="J33" s="582">
        <v>6.8127943416376346E-2</v>
      </c>
      <c r="K33" s="582"/>
      <c r="L33" s="582"/>
      <c r="M33" s="582"/>
      <c r="N33" s="582"/>
      <c r="O33" s="582"/>
      <c r="P33" s="582"/>
      <c r="Q33" s="582"/>
      <c r="R33" s="582"/>
      <c r="U33" s="33"/>
    </row>
    <row r="34" spans="1:21" ht="15" customHeight="1" x14ac:dyDescent="0.25">
      <c r="B34" s="377" t="s">
        <v>291</v>
      </c>
      <c r="C34" s="582">
        <v>2.0733278282411232</v>
      </c>
      <c r="D34" s="582">
        <v>-3.0751794484321873E-2</v>
      </c>
      <c r="E34" s="582">
        <v>0.50830190146595633</v>
      </c>
      <c r="F34" s="582">
        <v>0.11082405345211581</v>
      </c>
      <c r="G34" s="582">
        <v>0.24660103141115799</v>
      </c>
      <c r="H34" s="582">
        <v>0.18039286081746392</v>
      </c>
      <c r="I34" s="582">
        <v>0.15849700115293919</v>
      </c>
      <c r="J34" s="582">
        <v>0.24881909143403477</v>
      </c>
      <c r="K34" s="582"/>
      <c r="L34" s="582"/>
      <c r="M34" s="582"/>
      <c r="N34" s="582"/>
      <c r="O34" s="582"/>
      <c r="P34" s="582"/>
      <c r="Q34" s="582"/>
      <c r="R34" s="582"/>
      <c r="U34" s="33"/>
    </row>
    <row r="35" spans="1:21" ht="15" customHeight="1" x14ac:dyDescent="0.25">
      <c r="B35" s="377" t="s">
        <v>292</v>
      </c>
      <c r="C35" s="582">
        <v>0.54761177753544166</v>
      </c>
      <c r="D35" s="582">
        <v>-3.0201093274629599E-2</v>
      </c>
      <c r="E35" s="582">
        <v>0.67056530214424948</v>
      </c>
      <c r="F35" s="582">
        <v>0.48043254376930999</v>
      </c>
      <c r="G35" s="582">
        <v>0.28711790393013098</v>
      </c>
      <c r="H35" s="582">
        <v>0.16185352574112155</v>
      </c>
      <c r="I35" s="582">
        <v>0.11520545915235096</v>
      </c>
      <c r="J35" s="582">
        <v>0.19645855886641356</v>
      </c>
      <c r="K35" s="582"/>
      <c r="L35" s="582"/>
      <c r="M35" s="582"/>
      <c r="N35" s="582"/>
      <c r="O35" s="582"/>
      <c r="P35" s="582"/>
      <c r="Q35" s="582"/>
      <c r="R35" s="582"/>
      <c r="U35" s="33"/>
    </row>
    <row r="36" spans="1:21" ht="15" customHeight="1" x14ac:dyDescent="0.25">
      <c r="B36" s="377" t="s">
        <v>293</v>
      </c>
      <c r="C36" s="582">
        <v>0.21589236478222112</v>
      </c>
      <c r="D36" s="582">
        <v>2.4226797854614891E-2</v>
      </c>
      <c r="E36" s="582">
        <v>0.52733927523679136</v>
      </c>
      <c r="F36" s="582">
        <v>0.10792734902629336</v>
      </c>
      <c r="G36" s="582">
        <v>9.4486526432473822E-2</v>
      </c>
      <c r="H36" s="582">
        <v>0.11301734704397665</v>
      </c>
      <c r="I36" s="582">
        <v>6.9996935559929321E-2</v>
      </c>
      <c r="J36" s="582">
        <v>0.13444476888099668</v>
      </c>
      <c r="K36" s="582"/>
      <c r="L36" s="582"/>
      <c r="M36" s="582"/>
      <c r="N36" s="582"/>
      <c r="O36" s="582"/>
      <c r="P36" s="582"/>
      <c r="Q36" s="582"/>
      <c r="R36" s="582"/>
      <c r="U36" s="33"/>
    </row>
    <row r="37" spans="1:21" ht="15" customHeight="1" x14ac:dyDescent="0.25">
      <c r="B37" s="377" t="s">
        <v>294</v>
      </c>
      <c r="C37" s="582">
        <v>4.8289421213217221E-2</v>
      </c>
      <c r="D37" s="582">
        <v>7.6838215440161103E-3</v>
      </c>
      <c r="E37" s="582">
        <v>0.10868300885057672</v>
      </c>
      <c r="F37" s="582">
        <v>1.8780092645414508E-2</v>
      </c>
      <c r="G37" s="582">
        <v>3.6046921411669937E-2</v>
      </c>
      <c r="H37" s="582">
        <v>7.7288984041422926E-2</v>
      </c>
      <c r="I37" s="582">
        <v>2.9304755271700077E-2</v>
      </c>
      <c r="J37" s="582">
        <v>7.086291767992528E-2</v>
      </c>
      <c r="K37" s="582"/>
      <c r="L37" s="582"/>
      <c r="M37" s="582"/>
      <c r="N37" s="582"/>
      <c r="O37" s="582"/>
      <c r="P37" s="582"/>
      <c r="Q37" s="582"/>
      <c r="R37" s="582"/>
      <c r="U37" s="33"/>
    </row>
    <row r="38" spans="1:21" ht="15" customHeight="1" x14ac:dyDescent="0.25">
      <c r="B38" s="377"/>
      <c r="U38" s="33"/>
    </row>
    <row r="39" spans="1:21" ht="15" customHeight="1" x14ac:dyDescent="0.25">
      <c r="A39" s="382" t="s">
        <v>70</v>
      </c>
      <c r="B39" s="596" t="s">
        <v>295</v>
      </c>
      <c r="C39" s="597" t="s">
        <v>189</v>
      </c>
      <c r="D39" s="597" t="str">
        <f t="shared" ref="D39:J39" si="2">D30</f>
        <v>AGCO CORP</v>
      </c>
      <c r="E39" s="597" t="str">
        <f t="shared" si="2"/>
        <v>CATTERPILLAR INC</v>
      </c>
      <c r="F39" s="597" t="str">
        <f t="shared" si="2"/>
        <v>CNH INDUSTRIAL N</v>
      </c>
      <c r="G39" s="597" t="str">
        <f t="shared" si="2"/>
        <v>TEREX CORP</v>
      </c>
      <c r="H39" s="597" t="str">
        <f t="shared" si="2"/>
        <v>ALAMO GROUP</v>
      </c>
      <c r="I39" s="597" t="str">
        <f t="shared" si="2"/>
        <v>KUBOTA CORP-ADR</v>
      </c>
      <c r="J39" s="597" t="str">
        <f t="shared" si="2"/>
        <v>KOMATSU LTD-ADR</v>
      </c>
      <c r="K39" s="597"/>
      <c r="L39" s="597"/>
      <c r="M39" s="597"/>
      <c r="N39" s="597"/>
      <c r="O39" s="597"/>
      <c r="P39" s="597"/>
      <c r="Q39" s="597"/>
      <c r="R39" s="597"/>
      <c r="U39" s="33"/>
    </row>
    <row r="40" spans="1:21" ht="4.3499999999999996" customHeight="1" x14ac:dyDescent="0.25">
      <c r="A40" s="382"/>
      <c r="B40" s="595"/>
      <c r="C40" s="36"/>
      <c r="D40" s="36"/>
      <c r="E40" s="36"/>
      <c r="F40" s="36"/>
      <c r="G40" s="36"/>
      <c r="H40" s="36"/>
      <c r="I40" s="36"/>
      <c r="J40" s="36"/>
      <c r="K40" s="36"/>
      <c r="L40" s="36"/>
      <c r="M40" s="36"/>
      <c r="N40" s="36"/>
      <c r="O40" s="36"/>
      <c r="P40" s="36"/>
      <c r="Q40" s="36"/>
      <c r="R40" s="36"/>
      <c r="U40" s="33"/>
    </row>
    <row r="41" spans="1:21" ht="15" customHeight="1" x14ac:dyDescent="0.25">
      <c r="B41" s="377" t="s">
        <v>296</v>
      </c>
      <c r="C41" s="583">
        <v>0.41205983548025116</v>
      </c>
      <c r="D41" s="583">
        <v>0.78474499124383801</v>
      </c>
      <c r="E41" s="583">
        <v>0.72715232550774211</v>
      </c>
      <c r="F41" s="583">
        <v>0.41231773269744199</v>
      </c>
      <c r="G41" s="583">
        <v>1.0409303730554298</v>
      </c>
      <c r="H41" s="583">
        <v>1.0423273912323954</v>
      </c>
      <c r="I41" s="583">
        <v>0.49234260199740293</v>
      </c>
      <c r="J41" s="583">
        <v>0.6822699236795382</v>
      </c>
      <c r="K41" s="583"/>
      <c r="L41" s="583"/>
      <c r="M41" s="583"/>
      <c r="N41" s="583"/>
      <c r="O41" s="583"/>
      <c r="P41" s="583"/>
      <c r="Q41" s="583"/>
      <c r="R41" s="583"/>
      <c r="U41" s="33"/>
    </row>
    <row r="42" spans="1:21" ht="15" customHeight="1" x14ac:dyDescent="0.25">
      <c r="B42" s="377" t="s">
        <v>297</v>
      </c>
      <c r="C42" s="583">
        <v>1.5493573803888672</v>
      </c>
      <c r="D42" s="583">
        <v>1.5045089210842053</v>
      </c>
      <c r="E42" s="583">
        <v>1.5480842728836233</v>
      </c>
      <c r="F42" s="583">
        <v>1.5770392749244713</v>
      </c>
      <c r="G42" s="583">
        <v>1.9538871951219512</v>
      </c>
      <c r="H42" s="583">
        <v>1.6056374827827933</v>
      </c>
      <c r="I42" s="583">
        <v>0.8921973430022424</v>
      </c>
      <c r="J42" s="583">
        <v>0.98491643893865799</v>
      </c>
      <c r="K42" s="583"/>
      <c r="L42" s="583"/>
      <c r="M42" s="583"/>
      <c r="N42" s="583"/>
      <c r="O42" s="583"/>
      <c r="P42" s="583"/>
      <c r="Q42" s="583"/>
      <c r="R42" s="583"/>
      <c r="U42" s="33"/>
    </row>
    <row r="43" spans="1:21" ht="15" customHeight="1" x14ac:dyDescent="0.25">
      <c r="B43" s="377" t="s">
        <v>298</v>
      </c>
      <c r="C43" s="583">
        <v>3.0189909971122812</v>
      </c>
      <c r="D43" s="583">
        <v>4.9424712113114042</v>
      </c>
      <c r="E43" s="583">
        <v>4.7691668555026814</v>
      </c>
      <c r="F43" s="583">
        <v>4.7947459201273714</v>
      </c>
      <c r="G43" s="583">
        <v>7.8526395746297002</v>
      </c>
      <c r="H43" s="583">
        <v>8.9376910245071155</v>
      </c>
      <c r="I43" s="583">
        <v>3.4911776264437586</v>
      </c>
      <c r="J43" s="583">
        <v>4.0704799283915252</v>
      </c>
      <c r="K43" s="583"/>
      <c r="L43" s="583"/>
      <c r="M43" s="583"/>
      <c r="N43" s="583"/>
      <c r="O43" s="583"/>
      <c r="P43" s="583"/>
      <c r="Q43" s="583"/>
      <c r="R43" s="583"/>
      <c r="U43" s="33"/>
    </row>
    <row r="44" spans="1:21" ht="15" customHeight="1" x14ac:dyDescent="0.25">
      <c r="B44" s="377" t="s">
        <v>299</v>
      </c>
      <c r="C44" s="584">
        <f>51716000/75800</f>
        <v>682.26912928759896</v>
      </c>
      <c r="D44" s="771">
        <f>11661900/24000</f>
        <v>485.91250000000002</v>
      </c>
      <c r="E44" s="771">
        <f>64800000/112900</f>
        <v>573.95925597874225</v>
      </c>
      <c r="F44" s="771">
        <f>19836000/35850</f>
        <v>553.30543933054389</v>
      </c>
      <c r="G44" s="771">
        <f>5127000/11400</f>
        <v>449.73684210526318</v>
      </c>
      <c r="H44" s="771">
        <f>1628513/3750</f>
        <v>434.27013333333332</v>
      </c>
      <c r="I44" s="772">
        <f>20291160/52094</f>
        <v>389.5105002495489</v>
      </c>
      <c r="J44" s="772">
        <f>27611130/65738</f>
        <v>420.0177979250966</v>
      </c>
      <c r="K44" s="584"/>
      <c r="L44" s="584"/>
      <c r="M44" s="584"/>
      <c r="N44" s="584"/>
      <c r="O44" s="584"/>
      <c r="P44" s="584"/>
      <c r="Q44" s="584"/>
      <c r="R44" s="584"/>
      <c r="U44" s="33"/>
    </row>
    <row r="45" spans="1:21" ht="15" customHeight="1" x14ac:dyDescent="0.25">
      <c r="B45" s="377" t="s">
        <v>300</v>
      </c>
      <c r="C45" s="584">
        <f>9039000/75800</f>
        <v>119.24802110817942</v>
      </c>
      <c r="D45" s="771">
        <f>122100/24000</f>
        <v>5.0875000000000004</v>
      </c>
      <c r="E45" s="771">
        <f>13072000/112900</f>
        <v>115.78387953941541</v>
      </c>
      <c r="F45" s="771">
        <f>3068000/35850</f>
        <v>85.578800557880058</v>
      </c>
      <c r="G45" s="771">
        <f>526000/11400</f>
        <v>46.140350877192979</v>
      </c>
      <c r="H45" s="771">
        <f>164808/3750</f>
        <v>43.948799999999999</v>
      </c>
      <c r="I45" s="772">
        <f>2255610/52094</f>
        <v>43.298844396667562</v>
      </c>
      <c r="J45" s="772">
        <f>4420620/65738</f>
        <v>67.246037299583193</v>
      </c>
      <c r="K45" s="584"/>
      <c r="L45" s="584"/>
      <c r="M45" s="584"/>
      <c r="N45" s="584"/>
      <c r="O45" s="584"/>
      <c r="P45" s="584"/>
      <c r="Q45" s="584"/>
      <c r="R45" s="584"/>
      <c r="U45" s="33"/>
    </row>
    <row r="46" spans="1:21" ht="15" customHeight="1" x14ac:dyDescent="0.25">
      <c r="B46" s="377"/>
      <c r="U46" s="33"/>
    </row>
    <row r="47" spans="1:21" ht="15" customHeight="1" x14ac:dyDescent="0.25">
      <c r="A47" s="382" t="s">
        <v>70</v>
      </c>
      <c r="B47" s="596" t="s">
        <v>301</v>
      </c>
      <c r="C47" s="597" t="s">
        <v>189</v>
      </c>
      <c r="D47" s="597" t="str">
        <f t="shared" ref="D47:J47" si="3">D39</f>
        <v>AGCO CORP</v>
      </c>
      <c r="E47" s="597" t="str">
        <f t="shared" si="3"/>
        <v>CATTERPILLAR INC</v>
      </c>
      <c r="F47" s="597" t="str">
        <f t="shared" si="3"/>
        <v>CNH INDUSTRIAL N</v>
      </c>
      <c r="G47" s="597" t="str">
        <f t="shared" si="3"/>
        <v>TEREX CORP</v>
      </c>
      <c r="H47" s="597" t="str">
        <f t="shared" si="3"/>
        <v>ALAMO GROUP</v>
      </c>
      <c r="I47" s="597" t="str">
        <f t="shared" si="3"/>
        <v>KUBOTA CORP-ADR</v>
      </c>
      <c r="J47" s="597" t="str">
        <f t="shared" si="3"/>
        <v>KOMATSU LTD-ADR</v>
      </c>
      <c r="K47" s="597"/>
      <c r="L47" s="597"/>
      <c r="M47" s="597"/>
      <c r="N47" s="597"/>
      <c r="O47" s="597"/>
      <c r="P47" s="597"/>
      <c r="Q47" s="597"/>
      <c r="R47" s="597"/>
      <c r="U47" s="33"/>
    </row>
    <row r="48" spans="1:21" ht="4.3499999999999996" customHeight="1" x14ac:dyDescent="0.25">
      <c r="A48" s="382"/>
      <c r="B48" s="595"/>
      <c r="C48" s="36"/>
      <c r="D48" s="36"/>
      <c r="E48" s="36"/>
      <c r="F48" s="36"/>
      <c r="G48" s="36"/>
      <c r="H48" s="36"/>
      <c r="I48" s="36"/>
      <c r="J48" s="36"/>
      <c r="K48" s="36"/>
      <c r="L48" s="36"/>
      <c r="M48" s="36"/>
      <c r="N48" s="36"/>
      <c r="O48" s="36"/>
      <c r="P48" s="36"/>
      <c r="Q48" s="36"/>
      <c r="R48" s="36"/>
      <c r="U48" s="33"/>
    </row>
    <row r="49" spans="1:21" ht="15" customHeight="1" x14ac:dyDescent="0.25">
      <c r="B49" s="377" t="s">
        <v>302</v>
      </c>
      <c r="C49" s="584">
        <v>55.59290601368383</v>
      </c>
      <c r="D49" s="584">
        <v>47.931793828216399</v>
      </c>
      <c r="E49" s="584">
        <v>112.11469931421151</v>
      </c>
      <c r="F49" s="584">
        <v>481.79838397254969</v>
      </c>
      <c r="G49" s="584">
        <v>57.316792416328113</v>
      </c>
      <c r="H49" s="584">
        <v>85.126211366695344</v>
      </c>
      <c r="I49" s="584">
        <v>207.55354274341499</v>
      </c>
      <c r="J49" s="584">
        <v>112.17661852917627</v>
      </c>
      <c r="K49" s="584"/>
      <c r="L49" s="584"/>
      <c r="M49" s="584"/>
      <c r="N49" s="584"/>
      <c r="O49" s="584"/>
      <c r="P49" s="584"/>
      <c r="Q49" s="584"/>
      <c r="R49" s="584"/>
      <c r="U49" s="33"/>
    </row>
    <row r="50" spans="1:21" ht="15" customHeight="1" x14ac:dyDescent="0.25">
      <c r="B50" s="377" t="s">
        <v>303</v>
      </c>
      <c r="C50" s="584">
        <v>104.69399335498562</v>
      </c>
      <c r="D50" s="584">
        <v>156.30669644596227</v>
      </c>
      <c r="E50" s="584">
        <v>156.91173635377757</v>
      </c>
      <c r="F50" s="584">
        <v>166.85586212542984</v>
      </c>
      <c r="G50" s="584">
        <v>107.94662387066097</v>
      </c>
      <c r="H50" s="584">
        <v>115.85035784376601</v>
      </c>
      <c r="I50" s="584">
        <v>126.42069001604688</v>
      </c>
      <c r="J50" s="584">
        <v>205.55986029972243</v>
      </c>
      <c r="K50" s="584"/>
      <c r="L50" s="584"/>
      <c r="M50" s="584"/>
      <c r="N50" s="584"/>
      <c r="O50" s="584"/>
      <c r="P50" s="584"/>
      <c r="Q50" s="584"/>
      <c r="R50" s="584"/>
      <c r="U50" s="33"/>
    </row>
    <row r="51" spans="1:21" ht="15" customHeight="1" x14ac:dyDescent="0.25">
      <c r="B51" s="377" t="s">
        <v>304</v>
      </c>
      <c r="C51" s="584">
        <v>38.608118191314723</v>
      </c>
      <c r="D51" s="584">
        <v>53.406400295967437</v>
      </c>
      <c r="E51" s="584">
        <v>68.47993396577381</v>
      </c>
      <c r="F51" s="584">
        <v>84.707727153933263</v>
      </c>
      <c r="G51" s="584">
        <v>63.436036611323978</v>
      </c>
      <c r="H51" s="584">
        <v>33.222361090273836</v>
      </c>
      <c r="I51" s="584">
        <v>52.350076828738239</v>
      </c>
      <c r="J51" s="584">
        <v>43.85552831653964</v>
      </c>
      <c r="K51" s="584"/>
      <c r="L51" s="584"/>
      <c r="M51" s="584"/>
      <c r="N51" s="584"/>
      <c r="O51" s="584"/>
      <c r="P51" s="584"/>
      <c r="Q51" s="584"/>
      <c r="R51" s="584"/>
      <c r="U51" s="33"/>
    </row>
    <row r="52" spans="1:21" ht="15" customHeight="1" x14ac:dyDescent="0.25">
      <c r="B52" s="377" t="s">
        <v>305</v>
      </c>
      <c r="C52" s="584">
        <v>96.227493441773802</v>
      </c>
      <c r="D52" s="584">
        <v>128.06525954859256</v>
      </c>
      <c r="E52" s="584">
        <v>185.35944803886201</v>
      </c>
      <c r="F52" s="584">
        <v>494.68250267756969</v>
      </c>
      <c r="G52" s="584">
        <v>89.299967819341248</v>
      </c>
      <c r="H52" s="584">
        <v>154.97829053228014</v>
      </c>
      <c r="I52" s="584">
        <v>259.05174602915713</v>
      </c>
      <c r="J52" s="584">
        <v>256.01050792767955</v>
      </c>
      <c r="K52" s="584"/>
      <c r="L52" s="584"/>
      <c r="M52" s="584"/>
      <c r="N52" s="584"/>
      <c r="O52" s="584"/>
      <c r="P52" s="584"/>
      <c r="Q52" s="584"/>
      <c r="R52" s="584"/>
      <c r="U52" s="33"/>
    </row>
    <row r="53" spans="1:21" ht="15" customHeight="1" x14ac:dyDescent="0.25">
      <c r="B53" s="377" t="s">
        <v>306</v>
      </c>
      <c r="C53" s="582">
        <v>-0.22493923298523585</v>
      </c>
      <c r="D53" s="582">
        <v>0.2015316404675534</v>
      </c>
      <c r="E53" s="582">
        <v>0.16909517097198246</v>
      </c>
      <c r="F53" s="582">
        <v>1.6497592561846257</v>
      </c>
      <c r="G53" s="582">
        <v>0.26162700715805765</v>
      </c>
      <c r="H53" s="582">
        <v>0.44956962935451611</v>
      </c>
      <c r="I53" s="582">
        <v>0.41403627384696789</v>
      </c>
      <c r="J53" s="582">
        <v>0.42374315566384696</v>
      </c>
      <c r="K53" s="582"/>
      <c r="L53" s="582"/>
      <c r="M53" s="582"/>
      <c r="N53" s="582"/>
      <c r="O53" s="582"/>
      <c r="P53" s="582"/>
      <c r="Q53" s="582"/>
      <c r="R53" s="582"/>
      <c r="U53" s="33"/>
    </row>
    <row r="54" spans="1:21" ht="15" customHeight="1" x14ac:dyDescent="0.25">
      <c r="B54" s="377" t="s">
        <v>307</v>
      </c>
      <c r="C54" s="583">
        <v>0.73530348892783182</v>
      </c>
      <c r="D54" s="583">
        <v>-5.6502866502866507</v>
      </c>
      <c r="E54" s="583">
        <v>0.92067013463892289</v>
      </c>
      <c r="F54" s="583">
        <v>0.52733118971061088</v>
      </c>
      <c r="G54" s="583">
        <v>0.61977186311787069</v>
      </c>
      <c r="H54" s="583">
        <v>1.2728629678170962</v>
      </c>
      <c r="I54" s="583">
        <v>0.89370033836444507</v>
      </c>
      <c r="J54" s="583">
        <v>0.78701464713715052</v>
      </c>
      <c r="K54" s="583"/>
      <c r="L54" s="583"/>
      <c r="M54" s="583"/>
      <c r="N54" s="583"/>
      <c r="O54" s="583"/>
      <c r="P54" s="583"/>
      <c r="Q54" s="583"/>
      <c r="R54" s="583"/>
      <c r="U54" s="33"/>
    </row>
    <row r="55" spans="1:21" ht="15" customHeight="1" x14ac:dyDescent="0.25">
      <c r="B55" s="377" t="s">
        <v>308</v>
      </c>
      <c r="C55" s="582">
        <v>0.17849408306906953</v>
      </c>
      <c r="D55" s="582">
        <v>5.915845616923486E-2</v>
      </c>
      <c r="E55" s="582">
        <v>0.18569951704238608</v>
      </c>
      <c r="F55" s="582">
        <v>9.9213551119177248E-2</v>
      </c>
      <c r="G55" s="582">
        <v>6.3584942461478444E-2</v>
      </c>
      <c r="H55" s="582">
        <v>0.12881567417638054</v>
      </c>
      <c r="I55" s="582">
        <v>9.3520464439486903E-2</v>
      </c>
      <c r="J55" s="582">
        <v>0.12600322337396863</v>
      </c>
      <c r="K55" s="582"/>
      <c r="L55" s="582"/>
      <c r="M55" s="582"/>
      <c r="N55" s="582"/>
      <c r="O55" s="582"/>
      <c r="P55" s="582"/>
      <c r="Q55" s="582"/>
      <c r="R55" s="582"/>
      <c r="U55" s="33"/>
    </row>
    <row r="56" spans="1:21" ht="15" customHeight="1" x14ac:dyDescent="0.25">
      <c r="B56" s="377"/>
      <c r="U56" s="33"/>
    </row>
    <row r="57" spans="1:21" ht="15" customHeight="1" x14ac:dyDescent="0.25">
      <c r="A57" s="382" t="s">
        <v>70</v>
      </c>
      <c r="B57" s="596" t="s">
        <v>309</v>
      </c>
      <c r="C57" s="597" t="s">
        <v>189</v>
      </c>
      <c r="D57" s="597" t="str">
        <f t="shared" ref="D57:J57" si="4">D47</f>
        <v>AGCO CORP</v>
      </c>
      <c r="E57" s="597" t="str">
        <f t="shared" si="4"/>
        <v>CATTERPILLAR INC</v>
      </c>
      <c r="F57" s="597" t="str">
        <f t="shared" si="4"/>
        <v>CNH INDUSTRIAL N</v>
      </c>
      <c r="G57" s="597" t="str">
        <f t="shared" si="4"/>
        <v>TEREX CORP</v>
      </c>
      <c r="H57" s="597" t="str">
        <f t="shared" si="4"/>
        <v>ALAMO GROUP</v>
      </c>
      <c r="I57" s="597" t="str">
        <f t="shared" si="4"/>
        <v>KUBOTA CORP-ADR</v>
      </c>
      <c r="J57" s="597" t="str">
        <f t="shared" si="4"/>
        <v>KOMATSU LTD-ADR</v>
      </c>
      <c r="K57" s="597"/>
      <c r="L57" s="597"/>
      <c r="M57" s="597"/>
      <c r="N57" s="597"/>
      <c r="O57" s="597"/>
      <c r="P57" s="597"/>
      <c r="Q57" s="597"/>
      <c r="R57" s="597"/>
      <c r="U57" s="33"/>
    </row>
    <row r="58" spans="1:21" ht="4.3499999999999996" customHeight="1" x14ac:dyDescent="0.25">
      <c r="A58" s="382"/>
      <c r="B58" s="595"/>
      <c r="C58" s="36"/>
      <c r="D58" s="36"/>
      <c r="E58" s="36"/>
      <c r="F58" s="36"/>
      <c r="G58" s="36"/>
      <c r="H58" s="36"/>
      <c r="I58" s="36"/>
      <c r="J58" s="36"/>
      <c r="K58" s="36"/>
      <c r="L58" s="36"/>
      <c r="M58" s="36"/>
      <c r="N58" s="36"/>
      <c r="O58" s="36"/>
      <c r="P58" s="36"/>
      <c r="Q58" s="36"/>
      <c r="R58" s="36"/>
      <c r="U58" s="33"/>
    </row>
    <row r="59" spans="1:21" ht="15" customHeight="1" x14ac:dyDescent="0.25">
      <c r="B59" s="377" t="s">
        <v>310</v>
      </c>
      <c r="C59" s="583">
        <v>0.20050782903089293</v>
      </c>
      <c r="D59" s="583">
        <v>6.2007504690431512</v>
      </c>
      <c r="E59" s="583">
        <v>0.47088016347978395</v>
      </c>
      <c r="F59" s="583">
        <v>0.7261964735516373</v>
      </c>
      <c r="G59" s="583">
        <v>4.4027777777777777</v>
      </c>
      <c r="H59" s="583">
        <v>0.12266563413482202</v>
      </c>
      <c r="I59" s="583">
        <v>5.0074675687319496</v>
      </c>
      <c r="J59" s="583">
        <v>1.2203045925837244</v>
      </c>
      <c r="K59" s="583"/>
      <c r="L59" s="583"/>
      <c r="M59" s="583"/>
      <c r="N59" s="583"/>
      <c r="O59" s="583"/>
      <c r="P59" s="583"/>
      <c r="Q59" s="583"/>
      <c r="R59" s="583"/>
      <c r="U59" s="33"/>
    </row>
    <row r="60" spans="1:21" ht="15" customHeight="1" x14ac:dyDescent="0.25">
      <c r="B60" s="377" t="s">
        <v>311</v>
      </c>
      <c r="C60" s="583">
        <v>0.4009934522465568</v>
      </c>
      <c r="D60" s="583">
        <v>7.4642616318273767</v>
      </c>
      <c r="E60" s="583">
        <v>0.27721088435374147</v>
      </c>
      <c r="F60" s="583">
        <v>2.1879795396419439</v>
      </c>
      <c r="G60" s="583">
        <v>12.328042328042327</v>
      </c>
      <c r="H60" s="583">
        <v>0.22449874178098861</v>
      </c>
      <c r="I60" s="583">
        <v>20.29145897951701</v>
      </c>
      <c r="J60" s="583">
        <v>2.6826238628771133</v>
      </c>
      <c r="K60" s="583"/>
      <c r="L60" s="583"/>
      <c r="M60" s="583"/>
      <c r="N60" s="583"/>
      <c r="O60" s="583"/>
      <c r="P60" s="583"/>
      <c r="Q60" s="583"/>
      <c r="R60" s="583"/>
      <c r="U60" s="33"/>
    </row>
    <row r="61" spans="1:21" ht="15" customHeight="1" x14ac:dyDescent="0.25">
      <c r="B61" s="377" t="s">
        <v>312</v>
      </c>
      <c r="C61" s="583">
        <v>3.7497013142174431</v>
      </c>
      <c r="D61" s="583">
        <v>-0.76647834274952908</v>
      </c>
      <c r="E61" s="583">
        <v>25.53125</v>
      </c>
      <c r="F61" s="583">
        <v>2.3165735567970205</v>
      </c>
      <c r="G61" s="583">
        <v>5.9101123595505616</v>
      </c>
      <c r="H61" s="583">
        <v>8.0206346116410359</v>
      </c>
      <c r="I61" s="583">
        <v>55.815384615384616</v>
      </c>
      <c r="J61" s="583">
        <v>11.409608639788868</v>
      </c>
      <c r="K61" s="583"/>
      <c r="L61" s="583"/>
      <c r="M61" s="583"/>
      <c r="N61" s="583"/>
      <c r="O61" s="583"/>
      <c r="P61" s="583"/>
      <c r="Q61" s="583"/>
      <c r="R61" s="583"/>
      <c r="U61" s="33"/>
    </row>
    <row r="62" spans="1:21" ht="15" customHeight="1" x14ac:dyDescent="0.25">
      <c r="B62" s="377" t="s">
        <v>313</v>
      </c>
      <c r="C62" s="582">
        <v>0.7406322125175363</v>
      </c>
      <c r="D62" s="582">
        <v>0.41147099497780038</v>
      </c>
      <c r="E62" s="582">
        <v>0.66679770959747031</v>
      </c>
      <c r="F62" s="582">
        <v>0.77762510019466391</v>
      </c>
      <c r="G62" s="582">
        <v>0.59736263736263739</v>
      </c>
      <c r="H62" s="582">
        <v>0.18994090748537007</v>
      </c>
      <c r="I62" s="582">
        <v>0.46094848116149156</v>
      </c>
      <c r="J62" s="582">
        <v>0.26737209386372524</v>
      </c>
      <c r="K62" s="582"/>
      <c r="L62" s="582"/>
      <c r="M62" s="582"/>
      <c r="N62" s="582"/>
      <c r="O62" s="582"/>
      <c r="P62" s="582"/>
      <c r="Q62" s="582"/>
      <c r="R62" s="582"/>
      <c r="U62" s="33"/>
    </row>
    <row r="63" spans="1:21" ht="15" customHeight="1" x14ac:dyDescent="0.25">
      <c r="B63" s="377" t="s">
        <v>314</v>
      </c>
      <c r="C63" s="582">
        <v>0.33964224065502652</v>
      </c>
      <c r="D63" s="582">
        <v>0.16298733460694828</v>
      </c>
      <c r="E63" s="582">
        <v>0.28712414447207196</v>
      </c>
      <c r="F63" s="582">
        <v>0</v>
      </c>
      <c r="G63" s="582">
        <v>1.2877115526122149E-2</v>
      </c>
      <c r="H63" s="582">
        <v>8.9869239983581706E-2</v>
      </c>
      <c r="I63" s="582">
        <v>0.39551869940353473</v>
      </c>
      <c r="J63" s="582">
        <v>0.55197746870243514</v>
      </c>
      <c r="K63" s="582"/>
      <c r="L63" s="582"/>
      <c r="M63" s="582"/>
      <c r="N63" s="582"/>
      <c r="O63" s="582"/>
      <c r="P63" s="582"/>
      <c r="Q63" s="582"/>
      <c r="R63" s="582"/>
      <c r="U63" s="33"/>
    </row>
    <row r="64" spans="1:21" ht="15" customHeight="1" x14ac:dyDescent="0.25">
      <c r="B64" s="377"/>
      <c r="U64" s="33"/>
    </row>
    <row r="65" spans="1:21" ht="15" customHeight="1" x14ac:dyDescent="0.25">
      <c r="A65" s="382" t="s">
        <v>70</v>
      </c>
      <c r="B65" s="596" t="s">
        <v>315</v>
      </c>
      <c r="C65" s="597" t="s">
        <v>189</v>
      </c>
      <c r="D65" s="597" t="str">
        <f t="shared" ref="D65:J65" si="5">D57</f>
        <v>AGCO CORP</v>
      </c>
      <c r="E65" s="597" t="str">
        <f t="shared" si="5"/>
        <v>CATTERPILLAR INC</v>
      </c>
      <c r="F65" s="597" t="str">
        <f t="shared" si="5"/>
        <v>CNH INDUSTRIAL N</v>
      </c>
      <c r="G65" s="597" t="str">
        <f t="shared" si="5"/>
        <v>TEREX CORP</v>
      </c>
      <c r="H65" s="597" t="str">
        <f t="shared" si="5"/>
        <v>ALAMO GROUP</v>
      </c>
      <c r="I65" s="597" t="str">
        <f t="shared" si="5"/>
        <v>KUBOTA CORP-ADR</v>
      </c>
      <c r="J65" s="597" t="str">
        <f t="shared" si="5"/>
        <v>KOMATSU LTD-ADR</v>
      </c>
      <c r="K65" s="597"/>
      <c r="L65" s="597"/>
      <c r="M65" s="597"/>
      <c r="N65" s="597"/>
      <c r="O65" s="597"/>
      <c r="P65" s="597"/>
      <c r="Q65" s="597"/>
      <c r="R65" s="597"/>
      <c r="U65" s="33"/>
    </row>
    <row r="66" spans="1:21" ht="4.3499999999999996" customHeight="1" x14ac:dyDescent="0.25">
      <c r="A66" s="382"/>
      <c r="B66" s="595"/>
      <c r="C66" s="36"/>
      <c r="D66" s="36"/>
      <c r="E66" s="36"/>
      <c r="F66" s="36"/>
      <c r="G66" s="36"/>
      <c r="H66" s="36"/>
      <c r="I66" s="36"/>
      <c r="J66" s="36"/>
      <c r="K66" s="36"/>
      <c r="L66" s="36"/>
      <c r="M66" s="36"/>
      <c r="N66" s="36"/>
      <c r="O66" s="36"/>
      <c r="P66" s="36"/>
      <c r="Q66" s="36"/>
      <c r="R66" s="36"/>
      <c r="U66" s="33"/>
    </row>
    <row r="67" spans="1:21" ht="15" customHeight="1" x14ac:dyDescent="0.25">
      <c r="B67" s="377" t="s">
        <v>316</v>
      </c>
      <c r="C67" s="583">
        <v>0.72276549702796722</v>
      </c>
      <c r="D67" s="583">
        <v>1.3429168844746471</v>
      </c>
      <c r="E67" s="583">
        <v>1.4155304908279622</v>
      </c>
      <c r="F67" s="583">
        <v>13.442485306465155</v>
      </c>
      <c r="G67" s="583">
        <v>2.1621621621621623</v>
      </c>
      <c r="H67" s="583">
        <v>4.5058037192145406</v>
      </c>
      <c r="I67" s="583">
        <v>1.6151435372471354</v>
      </c>
      <c r="J67" s="583">
        <v>1.9997471746616871</v>
      </c>
      <c r="K67" s="583"/>
      <c r="L67" s="583"/>
      <c r="M67" s="583"/>
      <c r="N67" s="583"/>
      <c r="O67" s="583"/>
      <c r="P67" s="583"/>
      <c r="Q67" s="583"/>
      <c r="R67" s="583"/>
      <c r="U67" s="33"/>
    </row>
    <row r="68" spans="1:21" ht="15" customHeight="1" x14ac:dyDescent="0.25">
      <c r="B68" s="377" t="s">
        <v>317</v>
      </c>
      <c r="C68" s="583">
        <v>0.37811926479853181</v>
      </c>
      <c r="D68" s="583">
        <v>0.4914009409304757</v>
      </c>
      <c r="E68" s="583">
        <v>0.79747149231531977</v>
      </c>
      <c r="F68" s="583">
        <v>11.083543240973972</v>
      </c>
      <c r="G68" s="583">
        <v>0.96085740913327122</v>
      </c>
      <c r="H68" s="583">
        <v>2.6422029436337744</v>
      </c>
      <c r="I68" s="583">
        <v>1.0837898609745189</v>
      </c>
      <c r="J68" s="583">
        <v>1.0063163893873988</v>
      </c>
      <c r="K68" s="583"/>
      <c r="L68" s="583"/>
      <c r="M68" s="583"/>
      <c r="N68" s="583"/>
      <c r="O68" s="583"/>
      <c r="P68" s="583"/>
      <c r="Q68" s="583"/>
      <c r="R68" s="583"/>
      <c r="U68" s="33"/>
    </row>
    <row r="69" spans="1:21" ht="15" customHeight="1" x14ac:dyDescent="0.25">
      <c r="B69" s="377" t="s">
        <v>318</v>
      </c>
      <c r="C69" s="583">
        <v>0.23222943545073549</v>
      </c>
      <c r="D69" s="583">
        <v>0.1601411395713539</v>
      </c>
      <c r="E69" s="583">
        <v>0.21346678235002478</v>
      </c>
      <c r="F69" s="583">
        <v>1.3396305625524769</v>
      </c>
      <c r="G69" s="583">
        <v>0.36160298229263749</v>
      </c>
      <c r="H69" s="583">
        <v>1.0365983742229743</v>
      </c>
      <c r="I69" s="583">
        <v>0.16623689419260793</v>
      </c>
      <c r="J69" s="583">
        <v>0.23376885579861278</v>
      </c>
      <c r="K69" s="583"/>
      <c r="L69" s="583"/>
      <c r="M69" s="583"/>
      <c r="N69" s="583"/>
      <c r="O69" s="583"/>
      <c r="P69" s="583"/>
      <c r="Q69" s="583"/>
      <c r="R69" s="583"/>
      <c r="U69" s="33"/>
    </row>
    <row r="70" spans="1:21" ht="15" customHeight="1" x14ac:dyDescent="0.25">
      <c r="U70" s="33"/>
    </row>
    <row r="71" spans="1:21" ht="15" customHeight="1" x14ac:dyDescent="0.25">
      <c r="A71" s="382" t="s">
        <v>70</v>
      </c>
      <c r="B71" s="596" t="s">
        <v>319</v>
      </c>
      <c r="C71" s="597" t="s">
        <v>189</v>
      </c>
      <c r="D71" s="597" t="str">
        <f t="shared" ref="D71:J71" si="6">D65</f>
        <v>AGCO CORP</v>
      </c>
      <c r="E71" s="597" t="str">
        <f t="shared" si="6"/>
        <v>CATTERPILLAR INC</v>
      </c>
      <c r="F71" s="597" t="str">
        <f t="shared" si="6"/>
        <v>CNH INDUSTRIAL N</v>
      </c>
      <c r="G71" s="597" t="str">
        <f t="shared" si="6"/>
        <v>TEREX CORP</v>
      </c>
      <c r="H71" s="597" t="str">
        <f t="shared" si="6"/>
        <v>ALAMO GROUP</v>
      </c>
      <c r="I71" s="597" t="str">
        <f t="shared" si="6"/>
        <v>KUBOTA CORP-ADR</v>
      </c>
      <c r="J71" s="597" t="str">
        <f t="shared" si="6"/>
        <v>KOMATSU LTD-ADR</v>
      </c>
      <c r="K71" s="597"/>
      <c r="L71" s="597"/>
      <c r="M71" s="597"/>
      <c r="N71" s="597"/>
      <c r="O71" s="597"/>
      <c r="P71" s="597"/>
      <c r="Q71" s="597"/>
      <c r="R71" s="597"/>
      <c r="U71" s="33"/>
    </row>
    <row r="72" spans="1:21" ht="4.3499999999999996" customHeight="1" x14ac:dyDescent="0.25">
      <c r="A72" s="382"/>
      <c r="B72" s="595"/>
      <c r="C72" s="36"/>
      <c r="D72" s="36"/>
      <c r="E72" s="36"/>
      <c r="F72" s="36"/>
      <c r="G72" s="36"/>
      <c r="H72" s="36"/>
      <c r="I72" s="36"/>
      <c r="J72" s="36"/>
      <c r="K72" s="36"/>
      <c r="L72" s="36"/>
      <c r="M72" s="36"/>
      <c r="N72" s="36"/>
      <c r="O72" s="36"/>
      <c r="P72" s="36"/>
      <c r="Q72" s="36"/>
      <c r="R72" s="36"/>
      <c r="U72" s="33"/>
    </row>
    <row r="73" spans="1:21" ht="15" customHeight="1" x14ac:dyDescent="0.25">
      <c r="B73" s="377" t="s">
        <v>320</v>
      </c>
      <c r="C73" s="582">
        <v>9.28532755820249E-2</v>
      </c>
      <c r="D73" s="582">
        <v>3.3725207727728759E-2</v>
      </c>
      <c r="E73" s="582">
        <v>4.9607307627027107E-2</v>
      </c>
      <c r="F73" s="582">
        <v>5.9790280298447268E-2</v>
      </c>
      <c r="G73" s="582">
        <v>2.6721279500682659E-2</v>
      </c>
      <c r="H73" s="582">
        <v>1.54902048678764E-2</v>
      </c>
      <c r="I73" s="582">
        <v>7.0947302323623035E-2</v>
      </c>
      <c r="J73" s="582">
        <v>5.0154773115160693E-2</v>
      </c>
      <c r="K73" s="582"/>
      <c r="L73" s="582"/>
      <c r="M73" s="582"/>
      <c r="N73" s="582"/>
      <c r="O73" s="582"/>
      <c r="P73" s="582"/>
      <c r="Q73" s="582"/>
      <c r="R73" s="582"/>
      <c r="U73" s="33"/>
    </row>
    <row r="74" spans="1:21" ht="15" customHeight="1" x14ac:dyDescent="0.25">
      <c r="B74" s="377" t="s">
        <v>321</v>
      </c>
      <c r="C74" s="582">
        <v>2.2672332389046268</v>
      </c>
      <c r="D74" s="582">
        <v>1.1839253461770018</v>
      </c>
      <c r="E74" s="582">
        <v>1.4932652113330236</v>
      </c>
      <c r="F74" s="582">
        <v>1.9603305785123968</v>
      </c>
      <c r="G74" s="582">
        <v>1.6707317073170731</v>
      </c>
      <c r="H74" s="582">
        <v>0.47520910255444199</v>
      </c>
      <c r="I74" s="582">
        <v>1.7764836752143847</v>
      </c>
      <c r="J74" s="582">
        <v>1.262883119432652</v>
      </c>
      <c r="K74" s="582"/>
      <c r="L74" s="582"/>
      <c r="M74" s="582"/>
      <c r="N74" s="582"/>
      <c r="O74" s="582"/>
      <c r="P74" s="582"/>
      <c r="Q74" s="582"/>
      <c r="R74" s="582"/>
      <c r="U74" s="33"/>
    </row>
    <row r="75" spans="1:21" ht="15" customHeight="1" x14ac:dyDescent="0.25">
      <c r="B75" s="377" t="s">
        <v>322</v>
      </c>
      <c r="C75" s="582" t="e">
        <v>#VALUE!</v>
      </c>
      <c r="D75" s="582" t="e">
        <v>#VALUE!</v>
      </c>
      <c r="E75" s="582" t="e">
        <v>#VALUE!</v>
      </c>
      <c r="F75" s="582" t="e">
        <v>#VALUE!</v>
      </c>
      <c r="G75" s="582" t="e">
        <v>#VALUE!</v>
      </c>
      <c r="H75" s="582" t="e">
        <v>#VALUE!</v>
      </c>
      <c r="I75" s="582" t="e">
        <v>#VALUE!</v>
      </c>
      <c r="J75" s="582" t="e">
        <v>#VALUE!</v>
      </c>
      <c r="K75" s="582"/>
      <c r="L75" s="582"/>
      <c r="M75" s="582"/>
      <c r="N75" s="582"/>
      <c r="O75" s="582"/>
      <c r="P75" s="582"/>
      <c r="Q75" s="582"/>
      <c r="R75" s="582"/>
      <c r="U75" s="33"/>
    </row>
    <row r="76" spans="1:21" ht="15" customHeight="1" x14ac:dyDescent="0.25">
      <c r="B76" s="377" t="s">
        <v>323</v>
      </c>
      <c r="C76" s="583" t="e">
        <v>#VALUE!</v>
      </c>
      <c r="D76" s="583" t="e">
        <v>#VALUE!</v>
      </c>
      <c r="E76" s="583" t="e">
        <v>#VALUE!</v>
      </c>
      <c r="F76" s="583" t="e">
        <v>#VALUE!</v>
      </c>
      <c r="G76" s="583" t="e">
        <v>#VALUE!</v>
      </c>
      <c r="H76" s="583" t="e">
        <v>#VALUE!</v>
      </c>
      <c r="I76" s="583" t="e">
        <v>#VALUE!</v>
      </c>
      <c r="J76" s="583" t="e">
        <v>#VALUE!</v>
      </c>
      <c r="K76" s="583"/>
      <c r="L76" s="583"/>
      <c r="M76" s="583"/>
      <c r="N76" s="583"/>
      <c r="O76" s="583"/>
      <c r="P76" s="583"/>
      <c r="Q76" s="583"/>
      <c r="R76" s="583"/>
      <c r="U76" s="33"/>
    </row>
    <row r="77" spans="1:21" ht="15" customHeight="1" x14ac:dyDescent="0.25">
      <c r="B77" s="377" t="s">
        <v>324</v>
      </c>
      <c r="C77" s="582">
        <v>0.22857464788732396</v>
      </c>
      <c r="D77" s="582" t="e">
        <v>#VALUE!</v>
      </c>
      <c r="E77" s="582">
        <v>0.24939316160118608</v>
      </c>
      <c r="F77" s="582">
        <v>0.47301765650080257</v>
      </c>
      <c r="G77" s="582">
        <v>0.13600000000000001</v>
      </c>
      <c r="H77" s="582">
        <v>0.10732338480117315</v>
      </c>
      <c r="I77" s="582">
        <v>0.25251153243619734</v>
      </c>
      <c r="J77" s="582">
        <v>0.39949141275247235</v>
      </c>
      <c r="K77" s="582"/>
      <c r="L77" s="582"/>
      <c r="M77" s="582"/>
      <c r="N77" s="582"/>
      <c r="O77" s="582"/>
      <c r="P77" s="582"/>
      <c r="Q77" s="582"/>
      <c r="R77" s="582"/>
      <c r="U77" s="33"/>
    </row>
    <row r="78" spans="1:21" ht="15" customHeight="1" x14ac:dyDescent="0.25">
      <c r="B78" s="377" t="s">
        <v>325</v>
      </c>
      <c r="C78" s="582">
        <v>1.2827312599207497</v>
      </c>
      <c r="D78" s="582">
        <v>0.99472468482805132</v>
      </c>
      <c r="E78" s="582">
        <v>1.2153400543059976</v>
      </c>
      <c r="F78" s="582">
        <v>1.6472807309462916</v>
      </c>
      <c r="G78" s="582">
        <v>0.55152480846560836</v>
      </c>
      <c r="H78" s="582">
        <v>5.6985144898124854E-2</v>
      </c>
      <c r="I78" s="582">
        <v>1.067553238928582</v>
      </c>
      <c r="J78" s="582">
        <v>0.88900524232923872</v>
      </c>
      <c r="K78" s="582"/>
      <c r="L78" s="582"/>
      <c r="M78" s="582"/>
      <c r="N78" s="582"/>
      <c r="O78" s="582"/>
      <c r="P78" s="582"/>
      <c r="Q78" s="582"/>
      <c r="R78" s="582"/>
      <c r="U78" s="33"/>
    </row>
    <row r="79" spans="1:21" ht="15" customHeight="1" x14ac:dyDescent="0.25">
      <c r="B79" s="377" t="s">
        <v>326</v>
      </c>
      <c r="C79" s="582">
        <v>0.43408081464630049</v>
      </c>
      <c r="D79" s="582">
        <v>3.1888679518770835E-2</v>
      </c>
      <c r="E79" s="582">
        <v>0.64287494806813461</v>
      </c>
      <c r="F79" s="582">
        <v>0.35670731707317072</v>
      </c>
      <c r="G79" s="582">
        <v>0.15030674846625766</v>
      </c>
      <c r="H79" s="582">
        <v>9.4004137707481249E-3</v>
      </c>
      <c r="I79" s="582">
        <v>0.17726634619475051</v>
      </c>
      <c r="J79" s="582">
        <v>0.19577621928700012</v>
      </c>
      <c r="K79" s="582"/>
      <c r="L79" s="582"/>
      <c r="M79" s="582"/>
      <c r="N79" s="582"/>
      <c r="O79" s="582"/>
      <c r="P79" s="582"/>
      <c r="Q79" s="582"/>
      <c r="R79" s="582"/>
      <c r="U79" s="33"/>
    </row>
    <row r="80" spans="1:21" ht="15" customHeight="1" x14ac:dyDescent="0.25">
      <c r="B80" s="377"/>
      <c r="U80" s="33"/>
    </row>
    <row r="81" spans="1:21" ht="15" customHeight="1" x14ac:dyDescent="0.25">
      <c r="A81" s="382" t="s">
        <v>70</v>
      </c>
      <c r="B81" s="596" t="s">
        <v>327</v>
      </c>
      <c r="C81" s="597" t="s">
        <v>189</v>
      </c>
      <c r="D81" s="597" t="str">
        <f t="shared" ref="D81:J81" si="7">D71</f>
        <v>AGCO CORP</v>
      </c>
      <c r="E81" s="597" t="str">
        <f t="shared" si="7"/>
        <v>CATTERPILLAR INC</v>
      </c>
      <c r="F81" s="597" t="str">
        <f t="shared" si="7"/>
        <v>CNH INDUSTRIAL N</v>
      </c>
      <c r="G81" s="597" t="str">
        <f t="shared" si="7"/>
        <v>TEREX CORP</v>
      </c>
      <c r="H81" s="597" t="str">
        <f t="shared" si="7"/>
        <v>ALAMO GROUP</v>
      </c>
      <c r="I81" s="597" t="str">
        <f t="shared" si="7"/>
        <v>KUBOTA CORP-ADR</v>
      </c>
      <c r="J81" s="597" t="str">
        <f t="shared" si="7"/>
        <v>KOMATSU LTD-ADR</v>
      </c>
      <c r="K81" s="597"/>
      <c r="L81" s="597"/>
      <c r="M81" s="597"/>
      <c r="N81" s="597"/>
      <c r="O81" s="597"/>
      <c r="P81" s="597"/>
      <c r="Q81" s="597"/>
      <c r="R81" s="597"/>
      <c r="U81" s="33"/>
    </row>
    <row r="82" spans="1:21" ht="4.3499999999999996" customHeight="1" x14ac:dyDescent="0.25">
      <c r="A82" s="382"/>
      <c r="B82" s="595"/>
      <c r="C82" s="36"/>
      <c r="D82" s="36"/>
      <c r="E82" s="36"/>
      <c r="F82" s="36"/>
      <c r="G82" s="36"/>
      <c r="H82" s="36"/>
      <c r="I82" s="36"/>
      <c r="J82" s="36"/>
      <c r="K82" s="36"/>
      <c r="L82" s="36"/>
      <c r="M82" s="36"/>
      <c r="N82" s="36"/>
      <c r="O82" s="36"/>
      <c r="P82" s="36"/>
      <c r="Q82" s="36"/>
      <c r="R82" s="36"/>
      <c r="U82" s="33"/>
    </row>
    <row r="83" spans="1:21" ht="15" customHeight="1" x14ac:dyDescent="0.25">
      <c r="B83" s="377" t="s">
        <v>328</v>
      </c>
      <c r="C83" s="583">
        <v>8.5248602508420035</v>
      </c>
      <c r="D83" s="583">
        <v>7.5771554091158704</v>
      </c>
      <c r="E83" s="583">
        <v>5.5624241723958638</v>
      </c>
      <c r="F83" s="583">
        <v>10.837004405286343</v>
      </c>
      <c r="G83" s="583">
        <v>4.1396825396825401</v>
      </c>
      <c r="H83" s="583">
        <v>6.5864364207221344</v>
      </c>
      <c r="I83" s="583">
        <v>7.1032433521353751</v>
      </c>
      <c r="J83" s="583">
        <v>6.0593673110720569</v>
      </c>
      <c r="K83" s="583"/>
      <c r="L83" s="583"/>
      <c r="M83" s="583"/>
      <c r="N83" s="583"/>
      <c r="O83" s="583"/>
      <c r="P83" s="583"/>
      <c r="Q83" s="583"/>
      <c r="R83" s="583"/>
      <c r="U83" s="33"/>
    </row>
    <row r="84" spans="1:21" ht="15" customHeight="1" x14ac:dyDescent="0.25">
      <c r="B84" s="377" t="s">
        <v>329</v>
      </c>
      <c r="C84" s="583">
        <v>4.0901967339377352</v>
      </c>
      <c r="D84" s="583">
        <v>3.2575507962657877</v>
      </c>
      <c r="E84" s="583">
        <v>4.0764919983823447</v>
      </c>
      <c r="F84" s="583">
        <v>4.3061674008810575</v>
      </c>
      <c r="G84" s="583">
        <v>2.4</v>
      </c>
      <c r="H84" s="583">
        <v>5.8017268445839871</v>
      </c>
      <c r="I84" s="583">
        <v>2.5411210717163577</v>
      </c>
      <c r="J84" s="583">
        <v>3.6474751025190399</v>
      </c>
      <c r="K84" s="583"/>
      <c r="L84" s="583"/>
      <c r="M84" s="583"/>
      <c r="N84" s="583"/>
      <c r="O84" s="583"/>
      <c r="P84" s="583"/>
      <c r="Q84" s="583"/>
      <c r="R84" s="583"/>
      <c r="U84" s="33"/>
    </row>
    <row r="85" spans="1:21" ht="15" customHeight="1" x14ac:dyDescent="0.25">
      <c r="U85" s="33"/>
    </row>
    <row r="86" spans="1:21" ht="15" customHeight="1" x14ac:dyDescent="0.25">
      <c r="A86" s="382" t="s">
        <v>70</v>
      </c>
      <c r="B86" s="596" t="s">
        <v>330</v>
      </c>
      <c r="C86" s="597" t="s">
        <v>189</v>
      </c>
      <c r="D86" s="597" t="str">
        <f t="shared" ref="D86:J86" si="8">D81</f>
        <v>AGCO CORP</v>
      </c>
      <c r="E86" s="597" t="str">
        <f t="shared" si="8"/>
        <v>CATTERPILLAR INC</v>
      </c>
      <c r="F86" s="597" t="str">
        <f t="shared" si="8"/>
        <v>CNH INDUSTRIAL N</v>
      </c>
      <c r="G86" s="597" t="str">
        <f t="shared" si="8"/>
        <v>TEREX CORP</v>
      </c>
      <c r="H86" s="597" t="str">
        <f t="shared" si="8"/>
        <v>ALAMO GROUP</v>
      </c>
      <c r="I86" s="597" t="str">
        <f t="shared" si="8"/>
        <v>KUBOTA CORP-ADR</v>
      </c>
      <c r="J86" s="597" t="str">
        <f t="shared" si="8"/>
        <v>KOMATSU LTD-ADR</v>
      </c>
      <c r="K86" s="597"/>
      <c r="L86" s="597"/>
      <c r="M86" s="597"/>
      <c r="N86" s="597"/>
      <c r="O86" s="597"/>
      <c r="P86" s="597"/>
      <c r="Q86" s="597"/>
      <c r="R86" s="597"/>
      <c r="U86" s="33"/>
    </row>
    <row r="87" spans="1:21" ht="4.3499999999999996" customHeight="1" x14ac:dyDescent="0.25">
      <c r="A87" s="382"/>
      <c r="B87" s="595"/>
      <c r="C87" s="36"/>
      <c r="D87" s="36"/>
      <c r="E87" s="36"/>
      <c r="F87" s="36"/>
      <c r="G87" s="36"/>
      <c r="H87" s="36"/>
      <c r="I87" s="36"/>
      <c r="J87" s="36"/>
      <c r="K87" s="36"/>
      <c r="L87" s="36"/>
      <c r="M87" s="36"/>
      <c r="N87" s="36"/>
      <c r="O87" s="36"/>
      <c r="P87" s="36"/>
      <c r="Q87" s="36"/>
      <c r="R87" s="36"/>
      <c r="U87" s="33"/>
    </row>
    <row r="88" spans="1:21" ht="15" customHeight="1" x14ac:dyDescent="0.25">
      <c r="B88" s="377" t="s">
        <v>331</v>
      </c>
      <c r="C88" s="582">
        <v>3.9855072463768071E-3</v>
      </c>
      <c r="D88" s="582">
        <v>1.3404825737266535E-3</v>
      </c>
      <c r="E88" s="582">
        <v>5.5475652352578999E-3</v>
      </c>
      <c r="F88" s="582">
        <v>4.7846889952152249E-3</v>
      </c>
      <c r="G88" s="582">
        <v>8.9552238805969964E-3</v>
      </c>
      <c r="H88" s="582">
        <v>5.7653743315508876E-3</v>
      </c>
      <c r="I88" s="582">
        <v>0</v>
      </c>
      <c r="J88" s="582">
        <v>3.028008960015427E-5</v>
      </c>
      <c r="K88" s="582"/>
      <c r="L88" s="582"/>
      <c r="M88" s="582"/>
      <c r="N88" s="582"/>
      <c r="O88" s="582"/>
      <c r="P88" s="582"/>
      <c r="Q88" s="582"/>
      <c r="R88" s="582"/>
      <c r="U88" s="33"/>
    </row>
    <row r="89" spans="1:21" ht="15" customHeight="1" x14ac:dyDescent="0.25">
      <c r="B89" s="377" t="s">
        <v>332</v>
      </c>
      <c r="C89" s="582">
        <v>4.0219661226699671E-3</v>
      </c>
      <c r="D89" s="582">
        <v>1.5777874960340938E-3</v>
      </c>
      <c r="E89" s="582" t="e">
        <v>#VALUE!</v>
      </c>
      <c r="F89" s="582" t="e">
        <v>#VALUE!</v>
      </c>
      <c r="G89" s="582">
        <v>5.8513750731421883E-3</v>
      </c>
      <c r="H89" s="582">
        <v>5.613096118974795E-3</v>
      </c>
      <c r="I89" s="582" t="e">
        <v>#VALUE!</v>
      </c>
      <c r="J89" s="582" t="e">
        <v>#VALUE!</v>
      </c>
      <c r="K89" s="582"/>
      <c r="L89" s="582"/>
      <c r="M89" s="582"/>
      <c r="N89" s="582"/>
      <c r="O89" s="582"/>
      <c r="P89" s="582"/>
      <c r="Q89" s="582"/>
      <c r="R89" s="582"/>
      <c r="U89" s="33"/>
    </row>
    <row r="90" spans="1:21" ht="15" customHeight="1" x14ac:dyDescent="0.25">
      <c r="B90" s="377" t="s">
        <v>333</v>
      </c>
      <c r="C90" s="582">
        <v>2.2532770014082982E-2</v>
      </c>
      <c r="D90" s="582">
        <v>2.6670531961153789E-2</v>
      </c>
      <c r="E90" s="582" t="e">
        <v>#VALUE!</v>
      </c>
      <c r="F90" s="582" t="e">
        <v>#VALUE!</v>
      </c>
      <c r="G90" s="582">
        <v>9.202453987730061E-2</v>
      </c>
      <c r="H90" s="582">
        <v>4.3574636043817755E-2</v>
      </c>
      <c r="I90" s="582" t="e">
        <v>#VALUE!</v>
      </c>
      <c r="J90" s="582" t="e">
        <v>#VALUE!</v>
      </c>
      <c r="K90" s="582"/>
      <c r="L90" s="582"/>
      <c r="M90" s="582"/>
      <c r="N90" s="582"/>
      <c r="O90" s="582"/>
      <c r="P90" s="582"/>
      <c r="Q90" s="582"/>
      <c r="R90" s="582"/>
      <c r="U90" s="33"/>
    </row>
    <row r="91" spans="1:21" ht="15" customHeight="1" x14ac:dyDescent="0.25">
      <c r="B91" s="377" t="s">
        <v>334</v>
      </c>
      <c r="C91" s="745">
        <v>25.73</v>
      </c>
      <c r="D91" s="746">
        <v>5.69</v>
      </c>
      <c r="E91" s="746">
        <v>22.17</v>
      </c>
      <c r="F91" s="746">
        <v>0.99</v>
      </c>
      <c r="G91" s="746">
        <v>9.69</v>
      </c>
      <c r="H91" s="746">
        <v>5</v>
      </c>
      <c r="I91" s="755">
        <v>1.33</v>
      </c>
      <c r="J91" s="746">
        <v>3.18</v>
      </c>
      <c r="K91" s="592"/>
      <c r="L91" s="592"/>
      <c r="M91" s="592"/>
      <c r="N91" s="592"/>
      <c r="O91" s="592"/>
      <c r="P91" s="592"/>
      <c r="Q91" s="592"/>
      <c r="R91" s="592"/>
      <c r="U91" s="33"/>
    </row>
  </sheetData>
  <conditionalFormatting sqref="C14:R14 D15:J18">
    <cfRule type="colorScale" priority="69">
      <colorScale>
        <cfvo type="min"/>
        <cfvo type="num" val="0"/>
        <cfvo type="max"/>
        <color theme="4" tint="0.79998168889431442"/>
        <color theme="0"/>
        <color rgb="FF8DEB91"/>
      </colorScale>
    </cfRule>
  </conditionalFormatting>
  <conditionalFormatting sqref="C19:R19">
    <cfRule type="colorScale" priority="47">
      <colorScale>
        <cfvo type="min"/>
        <cfvo type="num" val="0"/>
        <cfvo type="max"/>
        <color theme="4" tint="0.79998168889431442"/>
        <color theme="0"/>
        <color rgb="FF8DEB91"/>
      </colorScale>
    </cfRule>
  </conditionalFormatting>
  <conditionalFormatting sqref="C23:R23">
    <cfRule type="colorScale" priority="63">
      <colorScale>
        <cfvo type="min"/>
        <cfvo type="percentile" val="50"/>
        <cfvo type="max"/>
        <color theme="4" tint="0.79998168889431442"/>
        <color theme="0"/>
        <color rgb="FF8DEB91"/>
      </colorScale>
    </cfRule>
  </conditionalFormatting>
  <conditionalFormatting sqref="C24:R24">
    <cfRule type="colorScale" priority="46">
      <colorScale>
        <cfvo type="min"/>
        <cfvo type="percentile" val="50"/>
        <cfvo type="max"/>
        <color theme="4" tint="0.79998168889431442"/>
        <color theme="0"/>
        <color rgb="FF8DEB91"/>
      </colorScale>
    </cfRule>
  </conditionalFormatting>
  <conditionalFormatting sqref="C25:R25">
    <cfRule type="colorScale" priority="45">
      <colorScale>
        <cfvo type="min"/>
        <cfvo type="percentile" val="50"/>
        <cfvo type="max"/>
        <color theme="4" tint="0.79998168889431442"/>
        <color theme="0"/>
        <color rgb="FF8DEB91"/>
      </colorScale>
    </cfRule>
  </conditionalFormatting>
  <conditionalFormatting sqref="C26:R26">
    <cfRule type="colorScale" priority="44">
      <colorScale>
        <cfvo type="min"/>
        <cfvo type="percentile" val="50"/>
        <cfvo type="max"/>
        <color theme="4" tint="0.79998168889431442"/>
        <color theme="0"/>
        <color rgb="FF8DEB91"/>
      </colorScale>
    </cfRule>
  </conditionalFormatting>
  <conditionalFormatting sqref="C27:R27">
    <cfRule type="colorScale" priority="43">
      <colorScale>
        <cfvo type="min"/>
        <cfvo type="percentile" val="50"/>
        <cfvo type="max"/>
        <color theme="4" tint="0.79998168889431442"/>
        <color theme="0"/>
        <color rgb="FF8DEB91"/>
      </colorScale>
    </cfRule>
  </conditionalFormatting>
  <conditionalFormatting sqref="C28:R28">
    <cfRule type="colorScale" priority="42">
      <colorScale>
        <cfvo type="min"/>
        <cfvo type="percentile" val="50"/>
        <cfvo type="max"/>
        <color theme="4" tint="0.79998168889431442"/>
        <color theme="0"/>
        <color rgb="FF8DEB91"/>
      </colorScale>
    </cfRule>
  </conditionalFormatting>
  <conditionalFormatting sqref="C32:R32">
    <cfRule type="colorScale" priority="41">
      <colorScale>
        <cfvo type="min"/>
        <cfvo type="percentile" val="50"/>
        <cfvo type="max"/>
        <color theme="4" tint="0.79998168889431442"/>
        <color theme="0"/>
        <color rgb="FF8DEB91"/>
      </colorScale>
    </cfRule>
  </conditionalFormatting>
  <conditionalFormatting sqref="C33:R33">
    <cfRule type="colorScale" priority="40">
      <colorScale>
        <cfvo type="min"/>
        <cfvo type="percentile" val="50"/>
        <cfvo type="max"/>
        <color theme="4" tint="0.79998168889431442"/>
        <color theme="0"/>
        <color rgb="FF8DEB91"/>
      </colorScale>
    </cfRule>
  </conditionalFormatting>
  <conditionalFormatting sqref="C34:R34">
    <cfRule type="colorScale" priority="39">
      <colorScale>
        <cfvo type="min"/>
        <cfvo type="percentile" val="50"/>
        <cfvo type="max"/>
        <color theme="4" tint="0.79998168889431442"/>
        <color theme="0"/>
        <color rgb="FF8DEB91"/>
      </colorScale>
    </cfRule>
  </conditionalFormatting>
  <conditionalFormatting sqref="C35:R35">
    <cfRule type="colorScale" priority="38">
      <colorScale>
        <cfvo type="min"/>
        <cfvo type="percentile" val="50"/>
        <cfvo type="max"/>
        <color theme="4" tint="0.79998168889431442"/>
        <color theme="0"/>
        <color rgb="FF8DEB91"/>
      </colorScale>
    </cfRule>
  </conditionalFormatting>
  <conditionalFormatting sqref="C36:R36">
    <cfRule type="colorScale" priority="37">
      <colorScale>
        <cfvo type="min"/>
        <cfvo type="percentile" val="50"/>
        <cfvo type="max"/>
        <color theme="4" tint="0.79998168889431442"/>
        <color theme="0"/>
        <color rgb="FF8DEB91"/>
      </colorScale>
    </cfRule>
  </conditionalFormatting>
  <conditionalFormatting sqref="C37:R37">
    <cfRule type="colorScale" priority="36">
      <colorScale>
        <cfvo type="min"/>
        <cfvo type="percentile" val="50"/>
        <cfvo type="max"/>
        <color theme="4" tint="0.79998168889431442"/>
        <color theme="0"/>
        <color rgb="FF8DEB91"/>
      </colorScale>
    </cfRule>
  </conditionalFormatting>
  <conditionalFormatting sqref="C41:R41">
    <cfRule type="colorScale" priority="35">
      <colorScale>
        <cfvo type="min"/>
        <cfvo type="percentile" val="50"/>
        <cfvo type="max"/>
        <color theme="4" tint="0.79998168889431442"/>
        <color theme="0" tint="-4.9989318521683403E-2"/>
        <color rgb="FF8DEB91"/>
      </colorScale>
    </cfRule>
  </conditionalFormatting>
  <conditionalFormatting sqref="C42:R42">
    <cfRule type="colorScale" priority="34">
      <colorScale>
        <cfvo type="min"/>
        <cfvo type="percentile" val="50"/>
        <cfvo type="max"/>
        <color theme="4" tint="0.79998168889431442"/>
        <color theme="0" tint="-4.9989318521683403E-2"/>
        <color rgb="FF8DEB91"/>
      </colorScale>
    </cfRule>
  </conditionalFormatting>
  <conditionalFormatting sqref="C43:R43">
    <cfRule type="colorScale" priority="33">
      <colorScale>
        <cfvo type="min"/>
        <cfvo type="percentile" val="50"/>
        <cfvo type="max"/>
        <color theme="4" tint="0.79998168889431442"/>
        <color theme="0" tint="-4.9989318521683403E-2"/>
        <color rgb="FF8DEB91"/>
      </colorScale>
    </cfRule>
  </conditionalFormatting>
  <conditionalFormatting sqref="C49:R49">
    <cfRule type="colorScale" priority="30">
      <colorScale>
        <cfvo type="min"/>
        <cfvo type="percentile" val="50"/>
        <cfvo type="max"/>
        <color theme="4" tint="0.79998168889431442"/>
        <color theme="0"/>
        <color rgb="FF8DEB91"/>
      </colorScale>
    </cfRule>
  </conditionalFormatting>
  <conditionalFormatting sqref="C50:R50">
    <cfRule type="colorScale" priority="29">
      <colorScale>
        <cfvo type="min"/>
        <cfvo type="percentile" val="50"/>
        <cfvo type="max"/>
        <color theme="4" tint="0.79998168889431442"/>
        <color theme="0"/>
        <color rgb="FF8DEB91"/>
      </colorScale>
    </cfRule>
  </conditionalFormatting>
  <conditionalFormatting sqref="C51:R51">
    <cfRule type="colorScale" priority="28">
      <colorScale>
        <cfvo type="min"/>
        <cfvo type="percentile" val="50"/>
        <cfvo type="max"/>
        <color theme="4" tint="0.79998168889431442"/>
        <color theme="0"/>
        <color rgb="FF8DEB91"/>
      </colorScale>
    </cfRule>
  </conditionalFormatting>
  <conditionalFormatting sqref="C52:R52">
    <cfRule type="colorScale" priority="27">
      <colorScale>
        <cfvo type="min"/>
        <cfvo type="percentile" val="50"/>
        <cfvo type="max"/>
        <color theme="4" tint="0.79998168889431442"/>
        <color theme="0"/>
        <color rgb="FF8DEB91"/>
      </colorScale>
    </cfRule>
  </conditionalFormatting>
  <conditionalFormatting sqref="C53:R53">
    <cfRule type="colorScale" priority="26">
      <colorScale>
        <cfvo type="min"/>
        <cfvo type="percentile" val="50"/>
        <cfvo type="max"/>
        <color theme="4" tint="0.79998168889431442"/>
        <color theme="0"/>
        <color rgb="FF8DEB91"/>
      </colorScale>
    </cfRule>
  </conditionalFormatting>
  <conditionalFormatting sqref="C54:R54">
    <cfRule type="colorScale" priority="25">
      <colorScale>
        <cfvo type="min"/>
        <cfvo type="percentile" val="50"/>
        <cfvo type="max"/>
        <color theme="4" tint="0.79998168889431442"/>
        <color theme="0" tint="-4.9989318521683403E-2"/>
        <color rgb="FF8DEB91"/>
      </colorScale>
    </cfRule>
  </conditionalFormatting>
  <conditionalFormatting sqref="C55:R55">
    <cfRule type="colorScale" priority="24">
      <colorScale>
        <cfvo type="min"/>
        <cfvo type="percentile" val="50"/>
        <cfvo type="max"/>
        <color theme="4" tint="0.79998168889431442"/>
        <color theme="0"/>
        <color rgb="FF8DEB91"/>
      </colorScale>
    </cfRule>
  </conditionalFormatting>
  <conditionalFormatting sqref="C59:R59">
    <cfRule type="colorScale" priority="23">
      <colorScale>
        <cfvo type="min"/>
        <cfvo type="percentile" val="50"/>
        <cfvo type="max"/>
        <color theme="4" tint="0.79998168889431442"/>
        <color theme="0" tint="-4.9989318521683403E-2"/>
        <color rgb="FF8DEB91"/>
      </colorScale>
    </cfRule>
  </conditionalFormatting>
  <conditionalFormatting sqref="C60:R60">
    <cfRule type="colorScale" priority="22">
      <colorScale>
        <cfvo type="min"/>
        <cfvo type="percentile" val="50"/>
        <cfvo type="max"/>
        <color theme="4" tint="0.79998168889431442"/>
        <color theme="0" tint="-4.9989318521683403E-2"/>
        <color rgb="FF8DEB91"/>
      </colorScale>
    </cfRule>
  </conditionalFormatting>
  <conditionalFormatting sqref="C61:R61">
    <cfRule type="colorScale" priority="21">
      <colorScale>
        <cfvo type="min"/>
        <cfvo type="percentile" val="50"/>
        <cfvo type="max"/>
        <color theme="4" tint="0.79998168889431442"/>
        <color theme="0" tint="-4.9989318521683403E-2"/>
        <color rgb="FF8DEB91"/>
      </colorScale>
    </cfRule>
  </conditionalFormatting>
  <conditionalFormatting sqref="C62:R62">
    <cfRule type="colorScale" priority="20">
      <colorScale>
        <cfvo type="min"/>
        <cfvo type="percentile" val="50"/>
        <cfvo type="max"/>
        <color theme="4" tint="0.79998168889431442"/>
        <color theme="0"/>
        <color rgb="FF8DEB91"/>
      </colorScale>
    </cfRule>
  </conditionalFormatting>
  <conditionalFormatting sqref="C63:R63">
    <cfRule type="colorScale" priority="19">
      <colorScale>
        <cfvo type="min"/>
        <cfvo type="percentile" val="50"/>
        <cfvo type="max"/>
        <color theme="4" tint="0.79998168889431442"/>
        <color theme="0"/>
        <color rgb="FF8DEB91"/>
      </colorScale>
    </cfRule>
  </conditionalFormatting>
  <conditionalFormatting sqref="C67:R67">
    <cfRule type="colorScale" priority="18">
      <colorScale>
        <cfvo type="min"/>
        <cfvo type="percentile" val="50"/>
        <cfvo type="max"/>
        <color theme="4" tint="0.79998168889431442"/>
        <color theme="0" tint="-4.9989318521683403E-2"/>
        <color rgb="FF8DEB91"/>
      </colorScale>
    </cfRule>
  </conditionalFormatting>
  <conditionalFormatting sqref="C68:R68">
    <cfRule type="colorScale" priority="17">
      <colorScale>
        <cfvo type="min"/>
        <cfvo type="percentile" val="50"/>
        <cfvo type="max"/>
        <color theme="4" tint="0.79998168889431442"/>
        <color theme="0" tint="-4.9989318521683403E-2"/>
        <color rgb="FF8DEB91"/>
      </colorScale>
    </cfRule>
  </conditionalFormatting>
  <conditionalFormatting sqref="C69:R69">
    <cfRule type="colorScale" priority="16">
      <colorScale>
        <cfvo type="min"/>
        <cfvo type="percentile" val="50"/>
        <cfvo type="max"/>
        <color theme="4" tint="0.79998168889431442"/>
        <color theme="0" tint="-4.9989318521683403E-2"/>
        <color rgb="FF8DEB91"/>
      </colorScale>
    </cfRule>
  </conditionalFormatting>
  <conditionalFormatting sqref="C73:R73">
    <cfRule type="colorScale" priority="15">
      <colorScale>
        <cfvo type="min"/>
        <cfvo type="percentile" val="50"/>
        <cfvo type="max"/>
        <color theme="4" tint="0.79998168889431442"/>
        <color theme="0"/>
        <color rgb="FF8DEB91"/>
      </colorScale>
    </cfRule>
  </conditionalFormatting>
  <conditionalFormatting sqref="C74:R74">
    <cfRule type="colorScale" priority="14">
      <colorScale>
        <cfvo type="min"/>
        <cfvo type="percentile" val="50"/>
        <cfvo type="max"/>
        <color theme="4" tint="0.79998168889431442"/>
        <color theme="0"/>
        <color rgb="FF8DEB91"/>
      </colorScale>
    </cfRule>
  </conditionalFormatting>
  <conditionalFormatting sqref="C75:R75">
    <cfRule type="colorScale" priority="13">
      <colorScale>
        <cfvo type="min"/>
        <cfvo type="percentile" val="50"/>
        <cfvo type="max"/>
        <color theme="4" tint="0.79998168889431442"/>
        <color theme="0"/>
        <color rgb="FF8DEB91"/>
      </colorScale>
    </cfRule>
  </conditionalFormatting>
  <conditionalFormatting sqref="C76:R76">
    <cfRule type="colorScale" priority="12">
      <colorScale>
        <cfvo type="min"/>
        <cfvo type="percentile" val="50"/>
        <cfvo type="max"/>
        <color theme="4" tint="0.79998168889431442"/>
        <color theme="0" tint="-4.9989318521683403E-2"/>
        <color rgb="FF8DEB91"/>
      </colorScale>
    </cfRule>
  </conditionalFormatting>
  <conditionalFormatting sqref="C77:R77">
    <cfRule type="colorScale" priority="11">
      <colorScale>
        <cfvo type="min"/>
        <cfvo type="percentile" val="50"/>
        <cfvo type="max"/>
        <color theme="4" tint="0.79998168889431442"/>
        <color theme="0"/>
        <color rgb="FF8DEB91"/>
      </colorScale>
    </cfRule>
  </conditionalFormatting>
  <conditionalFormatting sqref="C78:R78">
    <cfRule type="colorScale" priority="9">
      <colorScale>
        <cfvo type="min"/>
        <cfvo type="percentile" val="50"/>
        <cfvo type="max"/>
        <color theme="4" tint="0.79998168889431442"/>
        <color theme="0"/>
        <color rgb="FF8DEB91"/>
      </colorScale>
    </cfRule>
  </conditionalFormatting>
  <conditionalFormatting sqref="C79:R79">
    <cfRule type="colorScale" priority="10">
      <colorScale>
        <cfvo type="min"/>
        <cfvo type="percentile" val="50"/>
        <cfvo type="max"/>
        <color theme="4" tint="0.79998168889431442"/>
        <color theme="0"/>
        <color rgb="FF8DEB91"/>
      </colorScale>
    </cfRule>
  </conditionalFormatting>
  <conditionalFormatting sqref="C83:R83">
    <cfRule type="colorScale" priority="8">
      <colorScale>
        <cfvo type="min"/>
        <cfvo type="percentile" val="50"/>
        <cfvo type="max"/>
        <color theme="4" tint="0.79998168889431442"/>
        <color theme="0" tint="-4.9989318521683403E-2"/>
        <color rgb="FF8DEB91"/>
      </colorScale>
    </cfRule>
  </conditionalFormatting>
  <conditionalFormatting sqref="C84:R84">
    <cfRule type="colorScale" priority="7">
      <colorScale>
        <cfvo type="min"/>
        <cfvo type="percentile" val="50"/>
        <cfvo type="max"/>
        <color theme="4" tint="0.79998168889431442"/>
        <color theme="0" tint="-4.9989318521683403E-2"/>
        <color rgb="FF8DEB91"/>
      </colorScale>
    </cfRule>
  </conditionalFormatting>
  <conditionalFormatting sqref="C88:R88">
    <cfRule type="colorScale" priority="6">
      <colorScale>
        <cfvo type="min"/>
        <cfvo type="percentile" val="50"/>
        <cfvo type="max"/>
        <color theme="4" tint="0.79998168889431442"/>
        <color theme="0"/>
        <color rgb="FF8DEB91"/>
      </colorScale>
    </cfRule>
  </conditionalFormatting>
  <conditionalFormatting sqref="C89:R89">
    <cfRule type="colorScale" priority="5">
      <colorScale>
        <cfvo type="min"/>
        <cfvo type="percentile" val="50"/>
        <cfvo type="max"/>
        <color theme="4" tint="0.79998168889431442"/>
        <color theme="0"/>
        <color rgb="FF8DEB91"/>
      </colorScale>
    </cfRule>
  </conditionalFormatting>
  <conditionalFormatting sqref="C90:R90">
    <cfRule type="colorScale" priority="4">
      <colorScale>
        <cfvo type="min"/>
        <cfvo type="percentile" val="50"/>
        <cfvo type="max"/>
        <color theme="4" tint="0.79998168889431442"/>
        <color theme="0"/>
        <color rgb="FF8DEB91"/>
      </colorScale>
    </cfRule>
  </conditionalFormatting>
  <conditionalFormatting sqref="D44:J45">
    <cfRule type="colorScale" priority="2">
      <colorScale>
        <cfvo type="min"/>
        <cfvo type="num" val="0"/>
        <cfvo type="max"/>
        <color theme="4" tint="0.79998168889431442"/>
        <color theme="0"/>
        <color rgb="FF8DEB91"/>
      </colorScale>
    </cfRule>
  </conditionalFormatting>
  <conditionalFormatting sqref="D91:J91">
    <cfRule type="colorScale" priority="1">
      <colorScale>
        <cfvo type="min"/>
        <cfvo type="num" val="0"/>
        <cfvo type="max"/>
        <color theme="4" tint="0.79998168889431442"/>
        <color theme="0"/>
        <color rgb="FF8DEB91"/>
      </colorScale>
    </cfRule>
  </conditionalFormatting>
  <conditionalFormatting sqref="K15:R15 C15">
    <cfRule type="colorScale" priority="51">
      <colorScale>
        <cfvo type="min"/>
        <cfvo type="num" val="0"/>
        <cfvo type="max"/>
        <color theme="4" tint="0.79998168889431442"/>
        <color theme="0"/>
        <color rgb="FF8DEB91"/>
      </colorScale>
    </cfRule>
  </conditionalFormatting>
  <conditionalFormatting sqref="K16:R16 C16">
    <cfRule type="colorScale" priority="50">
      <colorScale>
        <cfvo type="min"/>
        <cfvo type="num" val="0"/>
        <cfvo type="max"/>
        <color theme="4" tint="0.79998168889431442"/>
        <color theme="0"/>
        <color rgb="FF8DEB91"/>
      </colorScale>
    </cfRule>
  </conditionalFormatting>
  <conditionalFormatting sqref="K17:R17 C17">
    <cfRule type="colorScale" priority="49">
      <colorScale>
        <cfvo type="min"/>
        <cfvo type="num" val="0"/>
        <cfvo type="max"/>
        <color theme="4" tint="0.79998168889431442"/>
        <color theme="0"/>
        <color rgb="FF8DEB91"/>
      </colorScale>
    </cfRule>
  </conditionalFormatting>
  <conditionalFormatting sqref="K18:R18 C18">
    <cfRule type="colorScale" priority="48">
      <colorScale>
        <cfvo type="min"/>
        <cfvo type="num" val="0"/>
        <cfvo type="max"/>
        <color theme="4" tint="0.79998168889431442"/>
        <color theme="0"/>
        <color rgb="FF8DEB91"/>
      </colorScale>
    </cfRule>
  </conditionalFormatting>
  <conditionalFormatting sqref="K44:R44 C44">
    <cfRule type="colorScale" priority="32">
      <colorScale>
        <cfvo type="min"/>
        <cfvo type="percentile" val="50"/>
        <cfvo type="max"/>
        <color theme="4" tint="0.79998168889431442"/>
        <color theme="0"/>
        <color rgb="FF8DEB91"/>
      </colorScale>
    </cfRule>
  </conditionalFormatting>
  <conditionalFormatting sqref="K45:R45 C45">
    <cfRule type="colorScale" priority="31">
      <colorScale>
        <cfvo type="min"/>
        <cfvo type="percentile" val="50"/>
        <cfvo type="max"/>
        <color theme="4" tint="0.79998168889431442"/>
        <color theme="0"/>
        <color rgb="FF8DEB91"/>
      </colorScale>
    </cfRule>
  </conditionalFormatting>
  <conditionalFormatting sqref="K91:R91 C91">
    <cfRule type="colorScale" priority="3">
      <colorScale>
        <cfvo type="min"/>
        <cfvo type="percentile" val="50"/>
        <cfvo type="max"/>
        <color theme="4" tint="0.79998168889431442"/>
        <color theme="0"/>
        <color rgb="FF8DEB91"/>
      </colorScale>
    </cfRule>
  </conditionalFormatting>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topLeftCell="A71" zoomScale="96" zoomScaleNormal="85" workbookViewId="0">
      <selection activeCell="J73" sqref="J73:J74"/>
    </sheetView>
  </sheetViews>
  <sheetFormatPr defaultColWidth="7.59765625" defaultRowHeight="15" customHeight="1" x14ac:dyDescent="0.25"/>
  <cols>
    <col min="1" max="1" width="2" style="379" customWidth="1"/>
    <col min="2" max="2" width="29.59765625" style="379" customWidth="1"/>
    <col min="3" max="4" width="9.09765625" style="379" customWidth="1"/>
    <col min="5" max="5" width="9.09765625" style="380" customWidth="1"/>
    <col min="6" max="6" width="1.59765625" style="379" customWidth="1"/>
    <col min="7" max="7" width="24.09765625" style="379" customWidth="1"/>
    <col min="8" max="8" width="11" style="379" customWidth="1"/>
    <col min="9" max="9" width="25" style="379" customWidth="1"/>
    <col min="10" max="10" width="34.59765625" style="379" customWidth="1"/>
    <col min="11" max="11" width="75.5" style="379" customWidth="1"/>
    <col min="12" max="16384" width="7.59765625" style="379"/>
  </cols>
  <sheetData>
    <row r="1" spans="1:11" s="594" customFormat="1" ht="15" customHeight="1" x14ac:dyDescent="0.25">
      <c r="A1" s="593"/>
      <c r="E1" s="593"/>
    </row>
    <row r="2" spans="1:11" s="594" customFormat="1" ht="15" customHeight="1" x14ac:dyDescent="0.25">
      <c r="E2" s="593"/>
    </row>
    <row r="3" spans="1:11" s="594" customFormat="1" ht="15" customHeight="1" x14ac:dyDescent="0.25">
      <c r="E3" s="593"/>
    </row>
    <row r="4" spans="1:11" s="594" customFormat="1" ht="15" customHeight="1" x14ac:dyDescent="0.25">
      <c r="E4" s="593"/>
    </row>
    <row r="5" spans="1:11" s="394" customFormat="1" ht="4.3499999999999996" customHeight="1" x14ac:dyDescent="0.25">
      <c r="E5" s="395"/>
    </row>
    <row r="7" spans="1:11" s="97" customFormat="1" ht="15" customHeight="1" x14ac:dyDescent="0.25">
      <c r="A7" s="382" t="s">
        <v>70</v>
      </c>
      <c r="B7" s="383" t="s">
        <v>335</v>
      </c>
      <c r="C7" s="383"/>
      <c r="D7" s="383"/>
      <c r="E7" s="32"/>
      <c r="F7" s="339"/>
      <c r="G7" s="339"/>
      <c r="H7" s="339"/>
      <c r="I7" s="32"/>
      <c r="J7" s="339"/>
      <c r="K7" s="339"/>
    </row>
    <row r="8" spans="1:11" s="97" customFormat="1" ht="15" customHeight="1" x14ac:dyDescent="0.25">
      <c r="B8" s="384"/>
      <c r="C8" s="384"/>
      <c r="D8" s="384"/>
      <c r="E8" s="32"/>
      <c r="F8" s="385"/>
      <c r="G8" s="385"/>
      <c r="H8" s="385"/>
      <c r="I8" s="386"/>
      <c r="J8" s="385"/>
      <c r="K8" s="385"/>
    </row>
    <row r="9" spans="1:11" s="97" customFormat="1" ht="14.25" customHeight="1" x14ac:dyDescent="0.25">
      <c r="B9" s="384"/>
      <c r="C9" s="384"/>
      <c r="D9" s="384"/>
      <c r="E9" s="32"/>
      <c r="F9" s="387"/>
      <c r="G9" s="387"/>
      <c r="H9" s="387"/>
      <c r="I9" s="385"/>
      <c r="J9" s="387"/>
      <c r="K9" s="387"/>
    </row>
    <row r="10" spans="1:11" s="97" customFormat="1" ht="4.3499999999999996" customHeight="1" x14ac:dyDescent="0.25">
      <c r="A10" s="55"/>
      <c r="B10" s="388"/>
      <c r="C10" s="388"/>
      <c r="D10" s="388"/>
      <c r="E10" s="389"/>
      <c r="F10" s="390"/>
      <c r="G10" s="390"/>
      <c r="H10" s="390"/>
      <c r="I10" s="391"/>
      <c r="J10" s="390"/>
      <c r="K10" s="390"/>
    </row>
    <row r="11" spans="1:11" s="23" customFormat="1" ht="15" customHeight="1" x14ac:dyDescent="0.25"/>
    <row r="12" spans="1:11" s="23" customFormat="1" ht="15" customHeight="1" x14ac:dyDescent="0.25">
      <c r="B12" s="374" t="s">
        <v>336</v>
      </c>
      <c r="C12" s="374"/>
      <c r="D12" s="374"/>
      <c r="E12" s="392"/>
      <c r="F12" s="393"/>
      <c r="G12" s="383" t="s">
        <v>337</v>
      </c>
      <c r="H12" s="384"/>
      <c r="I12" s="383"/>
      <c r="J12" s="384"/>
      <c r="K12" s="384"/>
    </row>
    <row r="13" spans="1:11" s="23" customFormat="1" ht="4.3499999999999996" customHeight="1" x14ac:dyDescent="0.25">
      <c r="B13" s="394"/>
      <c r="C13" s="394"/>
      <c r="D13" s="394"/>
      <c r="E13" s="395"/>
      <c r="F13" s="340"/>
      <c r="G13" s="388"/>
      <c r="H13" s="388"/>
      <c r="I13" s="388"/>
      <c r="J13" s="388"/>
      <c r="K13" s="388"/>
    </row>
    <row r="14" spans="1:11" s="23" customFormat="1" ht="4.3499999999999996" customHeight="1" x14ac:dyDescent="0.25">
      <c r="B14" s="379"/>
      <c r="C14" s="379"/>
      <c r="D14" s="379"/>
      <c r="E14" s="380"/>
      <c r="F14" s="340"/>
      <c r="G14" s="340"/>
      <c r="H14" s="340"/>
      <c r="I14" s="340"/>
      <c r="J14" s="340"/>
    </row>
    <row r="15" spans="1:11" ht="15" customHeight="1" x14ac:dyDescent="0.25">
      <c r="B15" s="375" t="s">
        <v>338</v>
      </c>
      <c r="C15" s="375"/>
      <c r="D15" s="838">
        <v>71</v>
      </c>
      <c r="E15" s="838"/>
      <c r="H15" s="533"/>
      <c r="I15" s="533"/>
      <c r="J15" s="533"/>
    </row>
    <row r="16" spans="1:11" ht="15" customHeight="1" x14ac:dyDescent="0.25">
      <c r="B16" s="401" t="s">
        <v>339</v>
      </c>
      <c r="C16" s="377"/>
      <c r="D16" s="839">
        <v>84</v>
      </c>
      <c r="E16" s="839"/>
      <c r="G16" s="375"/>
      <c r="H16" s="827"/>
      <c r="I16" s="827"/>
      <c r="J16" s="827"/>
    </row>
    <row r="17" spans="2:11" ht="15" customHeight="1" x14ac:dyDescent="0.25">
      <c r="B17" s="401" t="s">
        <v>340</v>
      </c>
      <c r="C17" s="377"/>
      <c r="D17" s="839">
        <v>72</v>
      </c>
      <c r="E17" s="839"/>
      <c r="H17" s="827"/>
      <c r="I17" s="827"/>
      <c r="J17" s="827"/>
      <c r="K17" s="376"/>
    </row>
    <row r="18" spans="2:11" ht="15" customHeight="1" x14ac:dyDescent="0.25">
      <c r="B18" s="401" t="s">
        <v>341</v>
      </c>
      <c r="C18" s="377"/>
      <c r="D18" s="839">
        <v>54</v>
      </c>
      <c r="E18" s="839"/>
      <c r="G18" s="375"/>
      <c r="H18" s="827"/>
      <c r="I18" s="827"/>
      <c r="J18" s="827"/>
      <c r="K18" s="376"/>
    </row>
    <row r="19" spans="2:11" ht="15" customHeight="1" x14ac:dyDescent="0.25">
      <c r="B19" s="375" t="s">
        <v>342</v>
      </c>
      <c r="C19" s="375"/>
      <c r="D19" s="837">
        <v>47</v>
      </c>
      <c r="E19" s="837"/>
      <c r="H19" s="827"/>
      <c r="I19" s="827"/>
      <c r="J19" s="827"/>
      <c r="K19" s="376"/>
    </row>
    <row r="20" spans="2:11" ht="15" customHeight="1" x14ac:dyDescent="0.25">
      <c r="B20" s="401" t="s">
        <v>343</v>
      </c>
      <c r="C20" s="377"/>
      <c r="D20" s="839"/>
      <c r="E20" s="839"/>
      <c r="G20" s="375"/>
      <c r="H20" s="827"/>
      <c r="I20" s="827"/>
      <c r="J20" s="827"/>
      <c r="K20" s="376"/>
    </row>
    <row r="21" spans="2:11" ht="15" customHeight="1" x14ac:dyDescent="0.25">
      <c r="B21" s="401" t="s">
        <v>344</v>
      </c>
      <c r="C21" s="377"/>
      <c r="D21" s="839"/>
      <c r="E21" s="839"/>
      <c r="H21" s="827"/>
      <c r="I21" s="827"/>
      <c r="J21" s="827"/>
      <c r="K21" s="376"/>
    </row>
    <row r="22" spans="2:11" ht="15" customHeight="1" x14ac:dyDescent="0.25">
      <c r="B22" s="401" t="s">
        <v>345</v>
      </c>
      <c r="C22" s="377"/>
      <c r="D22" s="839"/>
      <c r="E22" s="839"/>
      <c r="G22" s="375"/>
      <c r="H22" s="827"/>
      <c r="I22" s="827"/>
      <c r="J22" s="827"/>
      <c r="K22" s="376"/>
    </row>
    <row r="23" spans="2:11" ht="15" customHeight="1" x14ac:dyDescent="0.25">
      <c r="B23" s="375" t="s">
        <v>346</v>
      </c>
      <c r="C23" s="375"/>
      <c r="D23" s="842" t="s">
        <v>347</v>
      </c>
      <c r="E23" s="842"/>
      <c r="H23" s="827"/>
      <c r="I23" s="827"/>
      <c r="J23" s="827"/>
      <c r="K23" s="376"/>
    </row>
    <row r="24" spans="2:11" ht="15" customHeight="1" x14ac:dyDescent="0.25">
      <c r="B24" s="375" t="s">
        <v>348</v>
      </c>
      <c r="C24" s="375"/>
      <c r="D24" s="842" t="s">
        <v>349</v>
      </c>
      <c r="E24" s="842"/>
    </row>
    <row r="25" spans="2:11" ht="15" customHeight="1" x14ac:dyDescent="0.25">
      <c r="B25" s="401" t="s">
        <v>350</v>
      </c>
      <c r="C25" s="377"/>
      <c r="D25" s="839" t="s">
        <v>351</v>
      </c>
      <c r="E25" s="839"/>
      <c r="G25" s="33"/>
      <c r="H25" s="33"/>
      <c r="I25" s="33"/>
      <c r="K25" s="33"/>
    </row>
    <row r="26" spans="2:11" ht="15" customHeight="1" x14ac:dyDescent="0.25">
      <c r="B26" s="401" t="s">
        <v>352</v>
      </c>
      <c r="C26" s="377"/>
      <c r="D26" s="839">
        <v>7</v>
      </c>
      <c r="E26" s="839"/>
      <c r="G26" s="375"/>
      <c r="H26" s="827"/>
      <c r="I26" s="827"/>
      <c r="J26" s="827"/>
      <c r="K26" s="375"/>
    </row>
    <row r="27" spans="2:11" ht="15" customHeight="1" x14ac:dyDescent="0.25">
      <c r="B27" s="375" t="s">
        <v>353</v>
      </c>
      <c r="C27" s="375"/>
      <c r="D27" s="842" t="s">
        <v>354</v>
      </c>
      <c r="E27" s="842"/>
      <c r="H27" s="827"/>
      <c r="I27" s="827"/>
      <c r="J27" s="827"/>
      <c r="K27" s="533"/>
    </row>
    <row r="28" spans="2:11" ht="15" customHeight="1" x14ac:dyDescent="0.25">
      <c r="E28" s="379"/>
      <c r="G28" s="375"/>
      <c r="H28" s="827"/>
      <c r="I28" s="827"/>
      <c r="J28" s="827"/>
      <c r="K28" s="533"/>
    </row>
    <row r="29" spans="2:11" ht="15" customHeight="1" x14ac:dyDescent="0.25">
      <c r="E29" s="379"/>
      <c r="H29" s="827"/>
      <c r="I29" s="827"/>
      <c r="J29" s="827"/>
      <c r="K29" s="533"/>
    </row>
    <row r="30" spans="2:11" ht="15" customHeight="1" x14ac:dyDescent="0.25">
      <c r="B30" s="374" t="s">
        <v>355</v>
      </c>
      <c r="C30" s="374"/>
      <c r="D30" s="374"/>
      <c r="E30" s="374"/>
      <c r="G30" s="374" t="s">
        <v>356</v>
      </c>
      <c r="H30" s="374"/>
      <c r="I30" s="374"/>
      <c r="J30" s="374"/>
      <c r="K30" s="374"/>
    </row>
    <row r="31" spans="2:11" s="23" customFormat="1" ht="4.3499999999999996" customHeight="1" x14ac:dyDescent="0.25">
      <c r="B31" s="36"/>
      <c r="C31" s="36"/>
      <c r="D31" s="36"/>
      <c r="E31" s="36"/>
      <c r="F31" s="379"/>
      <c r="G31" s="36"/>
      <c r="H31" s="36"/>
      <c r="I31" s="36"/>
      <c r="J31" s="36"/>
      <c r="K31" s="36"/>
    </row>
    <row r="32" spans="2:11" ht="15" customHeight="1" thickBot="1" x14ac:dyDescent="0.3">
      <c r="B32" s="396"/>
      <c r="C32" s="396"/>
      <c r="D32" s="396"/>
      <c r="E32" s="396"/>
      <c r="G32" s="396"/>
      <c r="H32" s="397" t="s">
        <v>357</v>
      </c>
      <c r="I32" s="397" t="s">
        <v>358</v>
      </c>
      <c r="J32" s="397" t="s">
        <v>359</v>
      </c>
      <c r="K32" s="397" t="s">
        <v>360</v>
      </c>
    </row>
    <row r="33" spans="2:11" ht="15" customHeight="1" x14ac:dyDescent="0.25">
      <c r="B33" s="403" t="s">
        <v>361</v>
      </c>
      <c r="C33" s="833" t="s">
        <v>362</v>
      </c>
      <c r="D33" s="833"/>
      <c r="E33" s="833"/>
      <c r="G33" s="822" t="s">
        <v>363</v>
      </c>
      <c r="H33" s="823"/>
      <c r="I33" s="821" t="s">
        <v>364</v>
      </c>
      <c r="J33" s="816" t="s">
        <v>365</v>
      </c>
      <c r="K33" s="816" t="s">
        <v>366</v>
      </c>
    </row>
    <row r="34" spans="2:11" ht="15" customHeight="1" x14ac:dyDescent="0.25">
      <c r="B34" s="403" t="s">
        <v>367</v>
      </c>
      <c r="C34" s="833" t="s">
        <v>368</v>
      </c>
      <c r="D34" s="833"/>
      <c r="E34" s="833"/>
      <c r="G34" s="822"/>
      <c r="H34" s="823"/>
      <c r="I34" s="821"/>
      <c r="J34" s="816"/>
      <c r="K34" s="816"/>
    </row>
    <row r="35" spans="2:11" ht="15" customHeight="1" x14ac:dyDescent="0.25">
      <c r="B35" s="403" t="s">
        <v>369</v>
      </c>
      <c r="C35" s="833" t="s">
        <v>370</v>
      </c>
      <c r="D35" s="833"/>
      <c r="E35" s="833"/>
      <c r="G35" s="822" t="s">
        <v>371</v>
      </c>
      <c r="H35" s="824"/>
      <c r="I35" s="821" t="s">
        <v>372</v>
      </c>
      <c r="J35" s="816" t="s">
        <v>373</v>
      </c>
      <c r="K35" s="816" t="s">
        <v>374</v>
      </c>
    </row>
    <row r="36" spans="2:11" ht="15" customHeight="1" x14ac:dyDescent="0.25">
      <c r="B36" s="403" t="s">
        <v>375</v>
      </c>
      <c r="C36" s="833" t="s">
        <v>376</v>
      </c>
      <c r="D36" s="833"/>
      <c r="E36" s="833"/>
      <c r="G36" s="822"/>
      <c r="H36" s="824"/>
      <c r="I36" s="821"/>
      <c r="J36" s="816"/>
      <c r="K36" s="816"/>
    </row>
    <row r="37" spans="2:11" ht="15" customHeight="1" x14ac:dyDescent="0.25">
      <c r="C37" s="843"/>
      <c r="D37" s="843"/>
      <c r="E37" s="843"/>
      <c r="G37" s="822" t="s">
        <v>377</v>
      </c>
      <c r="H37" s="825"/>
      <c r="I37" s="821" t="s">
        <v>378</v>
      </c>
      <c r="J37" s="816" t="s">
        <v>379</v>
      </c>
      <c r="K37" s="816" t="s">
        <v>380</v>
      </c>
    </row>
    <row r="38" spans="2:11" ht="15" customHeight="1" x14ac:dyDescent="0.25">
      <c r="B38" s="403" t="s">
        <v>381</v>
      </c>
      <c r="C38" s="833" t="s">
        <v>382</v>
      </c>
      <c r="D38" s="833"/>
      <c r="E38" s="833"/>
      <c r="G38" s="822"/>
      <c r="H38" s="825"/>
      <c r="I38" s="821"/>
      <c r="J38" s="816"/>
      <c r="K38" s="816"/>
    </row>
    <row r="39" spans="2:11" ht="15" customHeight="1" x14ac:dyDescent="0.25">
      <c r="B39" s="403" t="s">
        <v>383</v>
      </c>
      <c r="C39" s="832">
        <v>75800</v>
      </c>
      <c r="D39" s="833"/>
      <c r="E39" s="833"/>
      <c r="G39" s="822" t="s">
        <v>384</v>
      </c>
      <c r="H39" s="828"/>
      <c r="I39" s="821" t="s">
        <v>385</v>
      </c>
      <c r="J39" s="816" t="s">
        <v>386</v>
      </c>
      <c r="K39" s="816" t="s">
        <v>387</v>
      </c>
    </row>
    <row r="40" spans="2:11" ht="15" customHeight="1" x14ac:dyDescent="0.25">
      <c r="C40" s="405"/>
      <c r="D40" s="535"/>
      <c r="E40" s="535"/>
      <c r="G40" s="822"/>
      <c r="H40" s="828"/>
      <c r="I40" s="821"/>
      <c r="J40" s="816"/>
      <c r="K40" s="816"/>
    </row>
    <row r="41" spans="2:11" ht="15" customHeight="1" x14ac:dyDescent="0.25">
      <c r="B41" s="375" t="s">
        <v>388</v>
      </c>
      <c r="C41" s="834" t="s">
        <v>389</v>
      </c>
      <c r="D41" s="833"/>
      <c r="E41" s="833"/>
      <c r="G41" s="822" t="s">
        <v>53</v>
      </c>
      <c r="H41" s="823"/>
      <c r="I41" s="821" t="s">
        <v>390</v>
      </c>
      <c r="J41" s="816" t="s">
        <v>391</v>
      </c>
      <c r="K41" s="816" t="s">
        <v>392</v>
      </c>
    </row>
    <row r="42" spans="2:11" ht="15" customHeight="1" x14ac:dyDescent="0.25">
      <c r="B42" s="375" t="s">
        <v>393</v>
      </c>
      <c r="C42" s="834" t="s">
        <v>394</v>
      </c>
      <c r="D42" s="833"/>
      <c r="E42" s="833"/>
      <c r="G42" s="822"/>
      <c r="H42" s="823"/>
      <c r="I42" s="821"/>
      <c r="J42" s="816"/>
      <c r="K42" s="816"/>
    </row>
    <row r="43" spans="2:11" ht="15" customHeight="1" x14ac:dyDescent="0.25">
      <c r="C43" s="404"/>
      <c r="D43" s="404"/>
      <c r="E43" s="404"/>
      <c r="G43" s="378"/>
      <c r="H43" s="398"/>
      <c r="I43" s="399"/>
      <c r="J43" s="400"/>
      <c r="K43" s="400"/>
    </row>
    <row r="44" spans="2:11" ht="15" customHeight="1" x14ac:dyDescent="0.25">
      <c r="B44" s="374" t="s">
        <v>395</v>
      </c>
      <c r="C44" s="374"/>
      <c r="D44" s="374"/>
      <c r="E44" s="374"/>
      <c r="G44" s="374" t="s">
        <v>396</v>
      </c>
      <c r="H44" s="374"/>
      <c r="I44" s="374"/>
      <c r="J44" s="374"/>
      <c r="K44" s="374"/>
    </row>
    <row r="45" spans="2:11" s="23" customFormat="1" ht="4.3499999999999996" customHeight="1" x14ac:dyDescent="0.25">
      <c r="B45" s="36"/>
      <c r="C45" s="36"/>
      <c r="D45" s="36"/>
      <c r="E45" s="36"/>
      <c r="F45" s="379"/>
      <c r="G45" s="36"/>
      <c r="H45" s="36"/>
      <c r="I45" s="36"/>
      <c r="J45" s="36"/>
      <c r="K45" s="36"/>
    </row>
    <row r="46" spans="2:11" ht="15" customHeight="1" thickBot="1" x14ac:dyDescent="0.3">
      <c r="B46" s="396"/>
      <c r="C46" s="396"/>
      <c r="D46" s="396"/>
      <c r="E46" s="396"/>
      <c r="G46" s="396"/>
      <c r="H46" s="397" t="s">
        <v>357</v>
      </c>
      <c r="I46" s="397" t="s">
        <v>358</v>
      </c>
      <c r="J46" s="397" t="s">
        <v>359</v>
      </c>
      <c r="K46" s="397" t="s">
        <v>360</v>
      </c>
    </row>
    <row r="47" spans="2:11" ht="15" customHeight="1" x14ac:dyDescent="0.25">
      <c r="B47" s="844" t="s">
        <v>397</v>
      </c>
      <c r="C47" s="844"/>
      <c r="D47" s="844"/>
      <c r="E47" s="844"/>
      <c r="G47" s="835" t="s">
        <v>398</v>
      </c>
      <c r="H47" s="836"/>
      <c r="I47" s="830" t="s">
        <v>373</v>
      </c>
      <c r="J47" s="829" t="s">
        <v>399</v>
      </c>
      <c r="K47" s="829" t="s">
        <v>400</v>
      </c>
    </row>
    <row r="48" spans="2:11" ht="15" customHeight="1" x14ac:dyDescent="0.25">
      <c r="B48" s="841" t="s">
        <v>401</v>
      </c>
      <c r="C48" s="841"/>
      <c r="D48" s="841"/>
      <c r="E48" s="841"/>
      <c r="G48" s="822"/>
      <c r="H48" s="828"/>
      <c r="I48" s="821"/>
      <c r="J48" s="816"/>
      <c r="K48" s="816"/>
    </row>
    <row r="49" spans="2:11" ht="15" customHeight="1" x14ac:dyDescent="0.25">
      <c r="B49" s="841" t="s">
        <v>402</v>
      </c>
      <c r="C49" s="841"/>
      <c r="D49" s="841"/>
      <c r="E49" s="841"/>
      <c r="G49" s="822" t="s">
        <v>403</v>
      </c>
      <c r="H49" s="824"/>
      <c r="I49" s="821" t="s">
        <v>404</v>
      </c>
      <c r="J49" s="816" t="s">
        <v>405</v>
      </c>
      <c r="K49" s="816" t="s">
        <v>406</v>
      </c>
    </row>
    <row r="50" spans="2:11" ht="15" customHeight="1" x14ac:dyDescent="0.25">
      <c r="B50" s="841" t="s">
        <v>407</v>
      </c>
      <c r="C50" s="841"/>
      <c r="D50" s="841"/>
      <c r="E50" s="841"/>
      <c r="G50" s="822"/>
      <c r="H50" s="824"/>
      <c r="I50" s="821"/>
      <c r="J50" s="816"/>
      <c r="K50" s="816"/>
    </row>
    <row r="51" spans="2:11" ht="15" customHeight="1" x14ac:dyDescent="0.25">
      <c r="B51" s="841" t="s">
        <v>408</v>
      </c>
      <c r="C51" s="841"/>
      <c r="D51" s="841"/>
      <c r="E51" s="841"/>
      <c r="G51" s="822" t="s">
        <v>409</v>
      </c>
      <c r="H51" s="831"/>
      <c r="I51" s="821" t="s">
        <v>373</v>
      </c>
      <c r="J51" s="816" t="s">
        <v>373</v>
      </c>
      <c r="K51" s="816" t="s">
        <v>410</v>
      </c>
    </row>
    <row r="52" spans="2:11" ht="15" customHeight="1" x14ac:dyDescent="0.25">
      <c r="B52" s="841" t="s">
        <v>411</v>
      </c>
      <c r="C52" s="841"/>
      <c r="D52" s="841"/>
      <c r="E52" s="841"/>
      <c r="G52" s="822"/>
      <c r="H52" s="831"/>
      <c r="I52" s="821"/>
      <c r="J52" s="816"/>
      <c r="K52" s="816"/>
    </row>
    <row r="53" spans="2:11" ht="15" customHeight="1" x14ac:dyDescent="0.25">
      <c r="B53" s="841" t="s">
        <v>412</v>
      </c>
      <c r="C53" s="841"/>
      <c r="D53" s="841"/>
      <c r="E53" s="841"/>
      <c r="G53" s="822" t="s">
        <v>413</v>
      </c>
      <c r="H53" s="828"/>
      <c r="I53" s="821" t="s">
        <v>414</v>
      </c>
      <c r="J53" s="816" t="s">
        <v>373</v>
      </c>
      <c r="K53" s="816" t="s">
        <v>415</v>
      </c>
    </row>
    <row r="54" spans="2:11" ht="15" customHeight="1" x14ac:dyDescent="0.25">
      <c r="B54" s="808" t="s">
        <v>416</v>
      </c>
      <c r="C54" s="808"/>
      <c r="D54" s="808"/>
      <c r="E54" s="808"/>
      <c r="G54" s="822"/>
      <c r="H54" s="828"/>
      <c r="I54" s="821"/>
      <c r="J54" s="816"/>
      <c r="K54" s="816"/>
    </row>
    <row r="55" spans="2:11" ht="15" customHeight="1" x14ac:dyDescent="0.25">
      <c r="B55" s="808" t="s">
        <v>417</v>
      </c>
      <c r="C55" s="808"/>
      <c r="D55" s="808"/>
      <c r="E55" s="808"/>
      <c r="G55" s="822" t="s">
        <v>418</v>
      </c>
      <c r="H55" s="823"/>
      <c r="I55" s="821" t="s">
        <v>419</v>
      </c>
      <c r="J55" s="816" t="s">
        <v>420</v>
      </c>
      <c r="K55" s="816" t="s">
        <v>421</v>
      </c>
    </row>
    <row r="56" spans="2:11" ht="15" customHeight="1" x14ac:dyDescent="0.25">
      <c r="B56" s="840" t="s">
        <v>422</v>
      </c>
      <c r="C56" s="840"/>
      <c r="D56" s="840"/>
      <c r="E56" s="840"/>
      <c r="G56" s="822"/>
      <c r="H56" s="823"/>
      <c r="I56" s="821"/>
      <c r="J56" s="816"/>
      <c r="K56" s="816"/>
    </row>
    <row r="57" spans="2:11" ht="15" customHeight="1" x14ac:dyDescent="0.25">
      <c r="G57" s="822" t="s">
        <v>423</v>
      </c>
      <c r="H57" s="824"/>
      <c r="I57" s="821" t="s">
        <v>373</v>
      </c>
      <c r="J57" s="816" t="s">
        <v>373</v>
      </c>
      <c r="K57" s="816" t="s">
        <v>424</v>
      </c>
    </row>
    <row r="58" spans="2:11" ht="15" customHeight="1" x14ac:dyDescent="0.25">
      <c r="G58" s="822"/>
      <c r="H58" s="824"/>
      <c r="I58" s="821"/>
      <c r="J58" s="816"/>
      <c r="K58" s="816"/>
    </row>
    <row r="59" spans="2:11" ht="15" customHeight="1" x14ac:dyDescent="0.25">
      <c r="G59" s="822" t="s">
        <v>425</v>
      </c>
      <c r="H59" s="831"/>
      <c r="I59" s="821" t="s">
        <v>373</v>
      </c>
      <c r="J59" s="816" t="s">
        <v>373</v>
      </c>
      <c r="K59" s="816" t="s">
        <v>426</v>
      </c>
    </row>
    <row r="60" spans="2:11" ht="15" customHeight="1" x14ac:dyDescent="0.25">
      <c r="G60" s="822"/>
      <c r="H60" s="831"/>
      <c r="I60" s="821"/>
      <c r="J60" s="816"/>
      <c r="K60" s="816"/>
    </row>
    <row r="61" spans="2:11" ht="15" customHeight="1" x14ac:dyDescent="0.25">
      <c r="G61" s="822" t="s">
        <v>427</v>
      </c>
      <c r="H61" s="823"/>
      <c r="I61" s="821" t="s">
        <v>373</v>
      </c>
      <c r="J61" s="816" t="s">
        <v>428</v>
      </c>
      <c r="K61" s="816" t="s">
        <v>429</v>
      </c>
    </row>
    <row r="62" spans="2:11" ht="15" customHeight="1" x14ac:dyDescent="0.25">
      <c r="G62" s="822"/>
      <c r="H62" s="823"/>
      <c r="I62" s="821"/>
      <c r="J62" s="816"/>
      <c r="K62" s="816"/>
    </row>
    <row r="63" spans="2:11" ht="15" customHeight="1" x14ac:dyDescent="0.25">
      <c r="B63" s="841"/>
      <c r="C63" s="841"/>
      <c r="D63" s="841"/>
      <c r="E63" s="841"/>
      <c r="G63" s="822" t="s">
        <v>430</v>
      </c>
      <c r="H63" s="825"/>
      <c r="I63" s="821" t="s">
        <v>373</v>
      </c>
      <c r="J63" s="816" t="s">
        <v>431</v>
      </c>
      <c r="K63" s="816" t="s">
        <v>432</v>
      </c>
    </row>
    <row r="64" spans="2:11" ht="15" customHeight="1" x14ac:dyDescent="0.25">
      <c r="B64" s="841"/>
      <c r="C64" s="841"/>
      <c r="D64" s="841"/>
      <c r="E64" s="841"/>
      <c r="G64" s="822"/>
      <c r="H64" s="825"/>
      <c r="I64" s="821"/>
      <c r="J64" s="816"/>
      <c r="K64" s="816"/>
    </row>
    <row r="65" spans="2:11" ht="15" customHeight="1" x14ac:dyDescent="0.25">
      <c r="B65" s="841"/>
      <c r="C65" s="841"/>
      <c r="D65" s="841"/>
      <c r="E65" s="841"/>
      <c r="G65" s="822" t="s">
        <v>433</v>
      </c>
      <c r="H65" s="823"/>
      <c r="I65" s="821" t="s">
        <v>373</v>
      </c>
      <c r="J65" s="816" t="s">
        <v>373</v>
      </c>
      <c r="K65" s="816" t="s">
        <v>434</v>
      </c>
    </row>
    <row r="66" spans="2:11" ht="15" customHeight="1" x14ac:dyDescent="0.25">
      <c r="B66" s="841"/>
      <c r="C66" s="841"/>
      <c r="D66" s="841"/>
      <c r="E66" s="841"/>
      <c r="G66" s="822"/>
      <c r="H66" s="823"/>
      <c r="I66" s="821"/>
      <c r="J66" s="816"/>
      <c r="K66" s="816"/>
    </row>
    <row r="67" spans="2:11" ht="15" customHeight="1" x14ac:dyDescent="0.25">
      <c r="B67" s="841"/>
      <c r="C67" s="841"/>
      <c r="D67" s="841"/>
      <c r="E67" s="841"/>
      <c r="G67" s="822" t="s">
        <v>435</v>
      </c>
      <c r="H67" s="824"/>
      <c r="I67" s="821" t="s">
        <v>373</v>
      </c>
      <c r="J67" s="816" t="s">
        <v>373</v>
      </c>
      <c r="K67" s="816" t="s">
        <v>436</v>
      </c>
    </row>
    <row r="68" spans="2:11" ht="15" customHeight="1" x14ac:dyDescent="0.25">
      <c r="B68" s="841"/>
      <c r="C68" s="841"/>
      <c r="D68" s="841"/>
      <c r="E68" s="841"/>
      <c r="G68" s="822"/>
      <c r="H68" s="824"/>
      <c r="I68" s="821"/>
      <c r="J68" s="816"/>
      <c r="K68" s="816"/>
    </row>
    <row r="69" spans="2:11" ht="15" customHeight="1" x14ac:dyDescent="0.25">
      <c r="B69" s="840"/>
      <c r="C69" s="840"/>
      <c r="D69" s="840"/>
      <c r="E69" s="840"/>
      <c r="G69" s="378"/>
      <c r="H69" s="398"/>
      <c r="I69" s="399"/>
      <c r="J69" s="400"/>
      <c r="K69" s="400"/>
    </row>
    <row r="70" spans="2:11" ht="15" customHeight="1" x14ac:dyDescent="0.25">
      <c r="B70" s="383" t="s">
        <v>437</v>
      </c>
      <c r="C70" s="383"/>
      <c r="D70" s="383"/>
      <c r="E70" s="384"/>
      <c r="G70" s="374" t="s">
        <v>438</v>
      </c>
      <c r="H70" s="374"/>
      <c r="I70" s="374"/>
      <c r="J70" s="374"/>
      <c r="K70" s="374"/>
    </row>
    <row r="71" spans="2:11" s="23" customFormat="1" ht="4.3499999999999996" customHeight="1" x14ac:dyDescent="0.25">
      <c r="B71" s="388"/>
      <c r="C71" s="388"/>
      <c r="D71" s="388"/>
      <c r="E71" s="388"/>
      <c r="F71" s="379"/>
      <c r="G71" s="36"/>
      <c r="H71" s="36"/>
      <c r="I71" s="36"/>
      <c r="J71" s="36"/>
      <c r="K71" s="36"/>
    </row>
    <row r="72" spans="2:11" ht="15" customHeight="1" thickBot="1" x14ac:dyDescent="0.3">
      <c r="B72" s="397" t="s">
        <v>439</v>
      </c>
      <c r="C72" s="402" t="s">
        <v>440</v>
      </c>
      <c r="D72" s="402"/>
      <c r="E72" s="402" t="s">
        <v>441</v>
      </c>
      <c r="G72" s="396"/>
      <c r="H72" s="397" t="s">
        <v>357</v>
      </c>
      <c r="I72" s="397" t="s">
        <v>358</v>
      </c>
      <c r="J72" s="397" t="s">
        <v>359</v>
      </c>
      <c r="K72" s="397" t="s">
        <v>360</v>
      </c>
    </row>
    <row r="73" spans="2:11" ht="15" customHeight="1" x14ac:dyDescent="0.25">
      <c r="B73" s="379" t="s">
        <v>442</v>
      </c>
      <c r="C73" s="845" t="s">
        <v>443</v>
      </c>
      <c r="D73" s="845"/>
      <c r="E73" s="379" t="s">
        <v>444</v>
      </c>
      <c r="G73" s="822" t="s">
        <v>445</v>
      </c>
      <c r="H73" s="826"/>
      <c r="I73" s="821" t="s">
        <v>373</v>
      </c>
      <c r="J73" s="816" t="s">
        <v>446</v>
      </c>
      <c r="K73" s="816" t="s">
        <v>373</v>
      </c>
    </row>
    <row r="74" spans="2:11" ht="15" customHeight="1" x14ac:dyDescent="0.25">
      <c r="B74" s="379" t="s">
        <v>447</v>
      </c>
      <c r="C74" s="840" t="s">
        <v>448</v>
      </c>
      <c r="D74" s="840"/>
      <c r="E74" s="379" t="s">
        <v>449</v>
      </c>
      <c r="G74" s="822"/>
      <c r="H74" s="826"/>
      <c r="I74" s="821"/>
      <c r="J74" s="816"/>
      <c r="K74" s="816"/>
    </row>
    <row r="75" spans="2:11" ht="15" customHeight="1" x14ac:dyDescent="0.25">
      <c r="B75" s="379" t="s">
        <v>450</v>
      </c>
      <c r="C75" s="840" t="s">
        <v>448</v>
      </c>
      <c r="D75" s="840"/>
      <c r="E75" s="379" t="s">
        <v>451</v>
      </c>
      <c r="G75" s="822" t="s">
        <v>452</v>
      </c>
      <c r="H75" s="819"/>
      <c r="I75" s="821" t="s">
        <v>373</v>
      </c>
      <c r="J75" s="816" t="s">
        <v>453</v>
      </c>
      <c r="K75" s="816" t="s">
        <v>454</v>
      </c>
    </row>
    <row r="76" spans="2:11" ht="15" customHeight="1" x14ac:dyDescent="0.25">
      <c r="B76" s="379" t="s">
        <v>455</v>
      </c>
      <c r="C76" s="840" t="s">
        <v>448</v>
      </c>
      <c r="D76" s="840"/>
      <c r="E76" s="379" t="s">
        <v>456</v>
      </c>
      <c r="G76" s="822"/>
      <c r="H76" s="819"/>
      <c r="I76" s="821"/>
      <c r="J76" s="816"/>
      <c r="K76" s="816"/>
    </row>
    <row r="77" spans="2:11" ht="15" customHeight="1" x14ac:dyDescent="0.25">
      <c r="B77" s="688" t="s">
        <v>457</v>
      </c>
      <c r="C77" s="840" t="s">
        <v>448</v>
      </c>
      <c r="D77" s="840"/>
      <c r="E77" s="688" t="s">
        <v>458</v>
      </c>
      <c r="G77" s="822" t="s">
        <v>459</v>
      </c>
      <c r="H77" s="826"/>
      <c r="I77" s="821" t="s">
        <v>373</v>
      </c>
      <c r="J77" s="816" t="s">
        <v>460</v>
      </c>
      <c r="K77" s="816" t="s">
        <v>461</v>
      </c>
    </row>
    <row r="78" spans="2:11" ht="15" customHeight="1" x14ac:dyDescent="0.25">
      <c r="B78" s="379" t="s">
        <v>462</v>
      </c>
      <c r="C78" s="840" t="s">
        <v>448</v>
      </c>
      <c r="D78" s="840"/>
      <c r="E78" s="379" t="s">
        <v>463</v>
      </c>
      <c r="G78" s="822"/>
      <c r="H78" s="826"/>
      <c r="I78" s="821"/>
      <c r="J78" s="816"/>
      <c r="K78" s="816"/>
    </row>
    <row r="79" spans="2:11" ht="15" customHeight="1" x14ac:dyDescent="0.25">
      <c r="B79" s="379" t="s">
        <v>464</v>
      </c>
      <c r="C79" s="840" t="s">
        <v>448</v>
      </c>
      <c r="D79" s="840"/>
      <c r="E79" s="379" t="s">
        <v>465</v>
      </c>
      <c r="G79" s="822" t="s">
        <v>466</v>
      </c>
      <c r="H79" s="826"/>
      <c r="I79" s="821" t="s">
        <v>373</v>
      </c>
      <c r="J79" s="816" t="s">
        <v>467</v>
      </c>
      <c r="K79" s="816" t="s">
        <v>468</v>
      </c>
    </row>
    <row r="80" spans="2:11" ht="15" customHeight="1" x14ac:dyDescent="0.25">
      <c r="B80" s="379" t="s">
        <v>469</v>
      </c>
      <c r="C80" s="840" t="s">
        <v>448</v>
      </c>
      <c r="D80" s="840"/>
      <c r="E80" s="379" t="s">
        <v>470</v>
      </c>
      <c r="G80" s="822"/>
      <c r="H80" s="826"/>
      <c r="I80" s="821"/>
      <c r="J80" s="816"/>
      <c r="K80" s="816"/>
    </row>
    <row r="81" spans="2:11" ht="15" customHeight="1" x14ac:dyDescent="0.25">
      <c r="B81" s="379" t="s">
        <v>471</v>
      </c>
      <c r="C81" s="840" t="s">
        <v>448</v>
      </c>
      <c r="D81" s="840"/>
      <c r="E81" s="379" t="s">
        <v>472</v>
      </c>
      <c r="G81" s="822" t="s">
        <v>473</v>
      </c>
      <c r="H81" s="818"/>
      <c r="I81" s="821" t="s">
        <v>373</v>
      </c>
      <c r="J81" s="816" t="s">
        <v>373</v>
      </c>
      <c r="K81" s="816" t="s">
        <v>474</v>
      </c>
    </row>
    <row r="82" spans="2:11" ht="15" customHeight="1" x14ac:dyDescent="0.25">
      <c r="B82" s="379" t="s">
        <v>475</v>
      </c>
      <c r="C82" s="840" t="s">
        <v>448</v>
      </c>
      <c r="D82" s="840"/>
      <c r="E82" s="379" t="s">
        <v>476</v>
      </c>
      <c r="G82" s="822"/>
      <c r="H82" s="818"/>
      <c r="I82" s="821"/>
      <c r="J82" s="816"/>
      <c r="K82" s="816"/>
    </row>
    <row r="83" spans="2:11" ht="15" customHeight="1" x14ac:dyDescent="0.25">
      <c r="C83" s="840"/>
      <c r="D83" s="840"/>
      <c r="E83" s="379"/>
      <c r="G83" s="822" t="s">
        <v>477</v>
      </c>
      <c r="H83" s="819"/>
      <c r="I83" s="821" t="s">
        <v>373</v>
      </c>
      <c r="J83" s="816" t="s">
        <v>478</v>
      </c>
      <c r="K83" s="816" t="s">
        <v>479</v>
      </c>
    </row>
    <row r="84" spans="2:11" ht="15" customHeight="1" x14ac:dyDescent="0.25">
      <c r="C84" s="840"/>
      <c r="D84" s="840"/>
      <c r="E84" s="379"/>
      <c r="G84" s="822"/>
      <c r="H84" s="819"/>
      <c r="I84" s="821"/>
      <c r="J84" s="816"/>
      <c r="K84" s="816"/>
    </row>
    <row r="85" spans="2:11" ht="15" customHeight="1" x14ac:dyDescent="0.25">
      <c r="C85" s="840"/>
      <c r="D85" s="840"/>
      <c r="E85" s="379"/>
      <c r="G85" s="822" t="s">
        <v>480</v>
      </c>
      <c r="H85" s="820"/>
      <c r="I85" s="821" t="s">
        <v>373</v>
      </c>
      <c r="J85" s="816" t="s">
        <v>373</v>
      </c>
      <c r="K85" s="816" t="s">
        <v>481</v>
      </c>
    </row>
    <row r="86" spans="2:11" ht="15" customHeight="1" x14ac:dyDescent="0.25">
      <c r="C86" s="840"/>
      <c r="D86" s="840"/>
      <c r="E86" s="379"/>
      <c r="G86" s="822"/>
      <c r="H86" s="820"/>
      <c r="I86" s="821"/>
      <c r="J86" s="816"/>
      <c r="K86" s="816"/>
    </row>
    <row r="87" spans="2:11" ht="15" customHeight="1" x14ac:dyDescent="0.25">
      <c r="C87" s="840"/>
      <c r="D87" s="840"/>
      <c r="E87" s="379"/>
      <c r="G87" s="822" t="s">
        <v>482</v>
      </c>
      <c r="H87" s="817"/>
      <c r="I87" s="821" t="s">
        <v>373</v>
      </c>
      <c r="J87" s="816" t="s">
        <v>373</v>
      </c>
      <c r="K87" s="816" t="s">
        <v>483</v>
      </c>
    </row>
    <row r="88" spans="2:11" ht="15" customHeight="1" x14ac:dyDescent="0.25">
      <c r="C88" s="840"/>
      <c r="D88" s="840"/>
      <c r="E88" s="379"/>
      <c r="G88" s="822"/>
      <c r="H88" s="817"/>
      <c r="I88" s="821"/>
      <c r="J88" s="816"/>
      <c r="K88" s="816"/>
    </row>
    <row r="89" spans="2:11" ht="15" customHeight="1" x14ac:dyDescent="0.25">
      <c r="C89" s="840"/>
      <c r="D89" s="840"/>
      <c r="E89" s="379"/>
      <c r="G89" s="822" t="s">
        <v>484</v>
      </c>
      <c r="H89" s="819"/>
      <c r="I89" s="821" t="s">
        <v>485</v>
      </c>
      <c r="J89" s="816" t="s">
        <v>486</v>
      </c>
      <c r="K89" s="816" t="s">
        <v>487</v>
      </c>
    </row>
    <row r="90" spans="2:11" ht="15" customHeight="1" x14ac:dyDescent="0.25">
      <c r="C90" s="840"/>
      <c r="D90" s="840"/>
      <c r="E90" s="379"/>
      <c r="G90" s="822"/>
      <c r="H90" s="819"/>
      <c r="I90" s="821"/>
      <c r="J90" s="816"/>
      <c r="K90" s="816"/>
    </row>
    <row r="91" spans="2:11" ht="15" customHeight="1" x14ac:dyDescent="0.25">
      <c r="C91" s="840"/>
      <c r="D91" s="840"/>
      <c r="E91" s="379"/>
      <c r="G91" s="822" t="s">
        <v>488</v>
      </c>
      <c r="H91" s="820"/>
      <c r="I91" s="821" t="s">
        <v>373</v>
      </c>
      <c r="J91" s="816" t="s">
        <v>373</v>
      </c>
      <c r="K91" s="816" t="s">
        <v>489</v>
      </c>
    </row>
    <row r="92" spans="2:11" ht="15" customHeight="1" x14ac:dyDescent="0.25">
      <c r="C92" s="840"/>
      <c r="D92" s="840"/>
      <c r="E92" s="379"/>
      <c r="G92" s="822"/>
      <c r="H92" s="820"/>
      <c r="I92" s="821"/>
      <c r="J92" s="816"/>
      <c r="K92" s="816"/>
    </row>
    <row r="93" spans="2:11" ht="15" customHeight="1" x14ac:dyDescent="0.25">
      <c r="C93" s="840"/>
      <c r="D93" s="840"/>
      <c r="E93" s="379"/>
      <c r="G93" s="822" t="s">
        <v>490</v>
      </c>
      <c r="H93" s="817"/>
      <c r="I93" s="821" t="s">
        <v>373</v>
      </c>
      <c r="J93" s="816" t="s">
        <v>373</v>
      </c>
      <c r="K93" s="816" t="s">
        <v>491</v>
      </c>
    </row>
    <row r="94" spans="2:11" ht="15" customHeight="1" x14ac:dyDescent="0.25">
      <c r="G94" s="822"/>
      <c r="H94" s="817"/>
      <c r="I94" s="821"/>
      <c r="J94" s="816"/>
      <c r="K94" s="816"/>
    </row>
  </sheetData>
  <mergeCells count="201">
    <mergeCell ref="B56:E56"/>
    <mergeCell ref="C91:D91"/>
    <mergeCell ref="B53:E53"/>
    <mergeCell ref="B52:E52"/>
    <mergeCell ref="B51:E51"/>
    <mergeCell ref="B50:E50"/>
    <mergeCell ref="H61:H62"/>
    <mergeCell ref="G73:G74"/>
    <mergeCell ref="G91:G92"/>
    <mergeCell ref="G55:G56"/>
    <mergeCell ref="G57:G58"/>
    <mergeCell ref="G59:G60"/>
    <mergeCell ref="G61:G62"/>
    <mergeCell ref="G63:G64"/>
    <mergeCell ref="G65:G66"/>
    <mergeCell ref="G67:G68"/>
    <mergeCell ref="C77:D77"/>
    <mergeCell ref="B54:E54"/>
    <mergeCell ref="B55:E55"/>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92:D92"/>
    <mergeCell ref="C93:D93"/>
    <mergeCell ref="B63:E63"/>
    <mergeCell ref="B64:E64"/>
    <mergeCell ref="C81:D81"/>
    <mergeCell ref="C82:D82"/>
    <mergeCell ref="D27:E27"/>
    <mergeCell ref="D23:E23"/>
    <mergeCell ref="D24:E24"/>
    <mergeCell ref="D26:E26"/>
    <mergeCell ref="C33:E33"/>
    <mergeCell ref="C34:E34"/>
    <mergeCell ref="C35:E35"/>
    <mergeCell ref="C36:E36"/>
    <mergeCell ref="C37:E37"/>
    <mergeCell ref="C38:E38"/>
    <mergeCell ref="C79:D79"/>
    <mergeCell ref="C80:D80"/>
    <mergeCell ref="B47:E47"/>
    <mergeCell ref="B49:E49"/>
    <mergeCell ref="B48:E48"/>
    <mergeCell ref="C78:D78"/>
    <mergeCell ref="B69:E69"/>
    <mergeCell ref="C90:D90"/>
    <mergeCell ref="D19:E19"/>
    <mergeCell ref="D15:E15"/>
    <mergeCell ref="D16:E16"/>
    <mergeCell ref="D17:E17"/>
    <mergeCell ref="D18:E18"/>
    <mergeCell ref="D20:E20"/>
    <mergeCell ref="D21:E21"/>
    <mergeCell ref="D22:E22"/>
    <mergeCell ref="D25:E25"/>
    <mergeCell ref="K41:K42"/>
    <mergeCell ref="K39:K40"/>
    <mergeCell ref="K37:K38"/>
    <mergeCell ref="K35:K36"/>
    <mergeCell ref="K33:K34"/>
    <mergeCell ref="J41:J42"/>
    <mergeCell ref="J39:J40"/>
    <mergeCell ref="J37:J38"/>
    <mergeCell ref="J35:J36"/>
    <mergeCell ref="J33:J34"/>
    <mergeCell ref="C39:E39"/>
    <mergeCell ref="C41:E41"/>
    <mergeCell ref="J53:J54"/>
    <mergeCell ref="G47:G48"/>
    <mergeCell ref="G49:G50"/>
    <mergeCell ref="G51:G52"/>
    <mergeCell ref="G53:G54"/>
    <mergeCell ref="H49:H50"/>
    <mergeCell ref="H51:H52"/>
    <mergeCell ref="H47:H48"/>
    <mergeCell ref="H53:H54"/>
    <mergeCell ref="C42:E42"/>
    <mergeCell ref="K73:K74"/>
    <mergeCell ref="K75:K76"/>
    <mergeCell ref="K77:K78"/>
    <mergeCell ref="K79:K80"/>
    <mergeCell ref="K65:K66"/>
    <mergeCell ref="K67:K68"/>
    <mergeCell ref="J59:J60"/>
    <mergeCell ref="J61:J62"/>
    <mergeCell ref="J63:J64"/>
    <mergeCell ref="J65:J66"/>
    <mergeCell ref="J67:J68"/>
    <mergeCell ref="K61:K62"/>
    <mergeCell ref="K63:K64"/>
    <mergeCell ref="J75:J76"/>
    <mergeCell ref="H57:H58"/>
    <mergeCell ref="H59:H60"/>
    <mergeCell ref="H55:H56"/>
    <mergeCell ref="J77:J78"/>
    <mergeCell ref="I79:I80"/>
    <mergeCell ref="J79:J80"/>
    <mergeCell ref="I81:I82"/>
    <mergeCell ref="J81:J82"/>
    <mergeCell ref="J73:J74"/>
    <mergeCell ref="I65:I66"/>
    <mergeCell ref="I67:I68"/>
    <mergeCell ref="I61:I62"/>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J55:J56"/>
    <mergeCell ref="J57:J58"/>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I41:I42"/>
    <mergeCell ref="I39:I40"/>
    <mergeCell ref="I37:I38"/>
    <mergeCell ref="I35:I36"/>
    <mergeCell ref="I33:I34"/>
    <mergeCell ref="H35:H36"/>
    <mergeCell ref="G93:G94"/>
    <mergeCell ref="I93:I94"/>
    <mergeCell ref="H65:H66"/>
    <mergeCell ref="H67:H68"/>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I77:I78"/>
    <mergeCell ref="I75:I76"/>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topLeftCell="B2" zoomScale="78" zoomScaleNormal="100" workbookViewId="0">
      <selection activeCell="D31" sqref="D31"/>
    </sheetView>
  </sheetViews>
  <sheetFormatPr defaultColWidth="8.59765625" defaultRowHeight="15" customHeight="1" x14ac:dyDescent="0.25"/>
  <cols>
    <col min="1" max="1" width="2.09765625" style="569" customWidth="1"/>
    <col min="2" max="2" width="50.59765625" style="569" customWidth="1"/>
    <col min="3" max="3" width="3.59765625" style="569" customWidth="1"/>
    <col min="4" max="8" width="11.59765625" style="569" customWidth="1"/>
    <col min="9" max="9" width="1.59765625" style="569" customWidth="1"/>
    <col min="10" max="10" width="9" style="569" customWidth="1"/>
    <col min="11" max="11" width="40.59765625" style="569" customWidth="1"/>
    <col min="12" max="18" width="9" style="569" customWidth="1"/>
    <col min="19" max="16384" width="8.59765625" style="569"/>
  </cols>
  <sheetData>
    <row r="1" spans="1:18" s="581" customFormat="1" ht="15" customHeight="1" x14ac:dyDescent="0.25"/>
    <row r="2" spans="1:18" s="581" customFormat="1" ht="15" customHeight="1" x14ac:dyDescent="0.25"/>
    <row r="3" spans="1:18" s="581" customFormat="1" ht="15" customHeight="1" x14ac:dyDescent="0.25"/>
    <row r="4" spans="1:18" s="581" customFormat="1" ht="15" customHeight="1" x14ac:dyDescent="0.25"/>
    <row r="5" spans="1:18" s="567" customFormat="1" ht="4.3499999999999996" customHeight="1" x14ac:dyDescent="0.25">
      <c r="A5" s="36"/>
      <c r="B5" s="36"/>
      <c r="C5" s="36"/>
      <c r="D5" s="36"/>
      <c r="E5" s="36"/>
      <c r="F5" s="36"/>
      <c r="G5" s="36"/>
      <c r="H5" s="36"/>
      <c r="I5" s="36"/>
      <c r="J5" s="36"/>
      <c r="K5" s="36"/>
      <c r="L5" s="36"/>
      <c r="M5" s="36"/>
      <c r="N5" s="36"/>
      <c r="O5" s="36"/>
      <c r="P5" s="36"/>
      <c r="Q5" s="36"/>
      <c r="R5" s="36"/>
    </row>
    <row r="7" spans="1:18" ht="15" customHeight="1" x14ac:dyDescent="0.25">
      <c r="A7" s="619" t="s">
        <v>70</v>
      </c>
      <c r="B7" s="374" t="s">
        <v>492</v>
      </c>
      <c r="C7" s="32"/>
      <c r="D7" s="32"/>
      <c r="E7" s="32"/>
      <c r="F7" s="32"/>
      <c r="G7" s="32"/>
      <c r="H7" s="32"/>
      <c r="I7" s="32"/>
      <c r="J7" s="647"/>
      <c r="K7" s="374" t="s">
        <v>493</v>
      </c>
      <c r="L7" s="374"/>
      <c r="M7" s="374"/>
      <c r="N7" s="32"/>
      <c r="O7" s="32"/>
      <c r="P7" s="32"/>
      <c r="Q7" s="32"/>
      <c r="R7" s="32"/>
    </row>
    <row r="8" spans="1:18" ht="15" customHeight="1" x14ac:dyDescent="0.25">
      <c r="A8" s="23"/>
      <c r="B8" s="32"/>
      <c r="C8" s="32"/>
      <c r="D8" s="32"/>
      <c r="E8" s="32"/>
      <c r="F8" s="32"/>
      <c r="G8" s="32"/>
      <c r="H8" s="32"/>
      <c r="I8" s="32"/>
      <c r="J8" s="647"/>
      <c r="K8" s="32"/>
      <c r="L8" s="374"/>
      <c r="M8" s="32"/>
      <c r="N8" s="648"/>
      <c r="O8" s="648"/>
      <c r="P8" s="649" t="s">
        <v>494</v>
      </c>
      <c r="Q8" s="648"/>
      <c r="R8" s="648"/>
    </row>
    <row r="9" spans="1:18" ht="15" customHeight="1" x14ac:dyDescent="0.25">
      <c r="A9" s="23"/>
      <c r="B9" s="374"/>
      <c r="C9" s="32"/>
      <c r="D9" s="37">
        <v>2025</v>
      </c>
      <c r="E9" s="37">
        <f>+D9+1</f>
        <v>2026</v>
      </c>
      <c r="F9" s="37">
        <f t="shared" ref="F9:H9" si="0">+E9+1</f>
        <v>2027</v>
      </c>
      <c r="G9" s="37">
        <f t="shared" si="0"/>
        <v>2028</v>
      </c>
      <c r="H9" s="37">
        <f t="shared" si="0"/>
        <v>2029</v>
      </c>
      <c r="I9" s="600"/>
      <c r="J9" s="647"/>
      <c r="K9" s="374"/>
      <c r="L9" s="374"/>
      <c r="M9" s="374" t="s">
        <v>495</v>
      </c>
      <c r="N9" s="37">
        <v>2025</v>
      </c>
      <c r="O9" s="37">
        <f>+N9+1</f>
        <v>2026</v>
      </c>
      <c r="P9" s="37">
        <f t="shared" ref="P9:R9" si="1">+O9+1</f>
        <v>2027</v>
      </c>
      <c r="Q9" s="37">
        <f t="shared" si="1"/>
        <v>2028</v>
      </c>
      <c r="R9" s="37">
        <f t="shared" si="1"/>
        <v>2029</v>
      </c>
    </row>
    <row r="10" spans="1:18" ht="4.3499999999999996" customHeight="1" x14ac:dyDescent="0.25">
      <c r="A10" s="23"/>
      <c r="B10" s="423"/>
      <c r="C10" s="389"/>
      <c r="D10" s="389"/>
      <c r="E10" s="389"/>
      <c r="F10" s="389"/>
      <c r="G10" s="389"/>
      <c r="H10" s="389"/>
      <c r="I10" s="389"/>
      <c r="J10" s="647"/>
      <c r="K10" s="423"/>
      <c r="L10" s="423"/>
      <c r="M10" s="423"/>
      <c r="N10" s="389"/>
      <c r="O10" s="389"/>
      <c r="P10" s="389"/>
      <c r="Q10" s="389"/>
      <c r="R10" s="389"/>
    </row>
    <row r="11" spans="1:18" ht="4.3499999999999996" customHeight="1" x14ac:dyDescent="0.25">
      <c r="A11" s="23"/>
      <c r="B11" s="341"/>
      <c r="C11" s="422"/>
      <c r="D11" s="422"/>
      <c r="E11" s="422"/>
      <c r="F11" s="422"/>
      <c r="G11" s="422"/>
      <c r="H11" s="422"/>
      <c r="I11" s="647"/>
      <c r="J11" s="647"/>
      <c r="K11" s="647"/>
      <c r="L11" s="23"/>
      <c r="M11" s="647"/>
      <c r="N11" s="647"/>
      <c r="O11" s="647"/>
      <c r="P11" s="647"/>
      <c r="Q11" s="23"/>
      <c r="R11" s="23"/>
    </row>
    <row r="12" spans="1:18" ht="15" customHeight="1" x14ac:dyDescent="0.25">
      <c r="A12" s="23"/>
      <c r="B12" s="483" t="s">
        <v>496</v>
      </c>
      <c r="C12" s="422"/>
      <c r="D12" s="422"/>
      <c r="E12" s="422"/>
      <c r="F12" s="422"/>
      <c r="G12" s="422"/>
      <c r="H12" s="422"/>
      <c r="I12" s="647"/>
      <c r="J12" s="647"/>
      <c r="K12" s="650" t="str">
        <f>+Segments!B20</f>
        <v>United States  (US)</v>
      </c>
      <c r="L12" s="23"/>
      <c r="M12" s="651">
        <v>4.3299999999999998E-2</v>
      </c>
      <c r="N12" s="652">
        <f>+Segments!AL20/Segments!AL$26</f>
        <v>0.58477067058550547</v>
      </c>
      <c r="O12" s="652">
        <f>Segments!$AR$20/Segments!$AR$26</f>
        <v>0.59743862456804031</v>
      </c>
      <c r="P12" s="652">
        <f>Segments!AT20/Segments!AT26</f>
        <v>0.6</v>
      </c>
      <c r="Q12" s="652">
        <f>Segments!AV20/Segments!$AV$26</f>
        <v>0.6</v>
      </c>
      <c r="R12" s="652">
        <f>Segments!AX20/Segments!$AX$26</f>
        <v>0.59</v>
      </c>
    </row>
    <row r="13" spans="1:18" ht="15" customHeight="1" x14ac:dyDescent="0.25">
      <c r="A13" s="23"/>
      <c r="B13" s="653" t="s">
        <v>497</v>
      </c>
      <c r="C13" s="23"/>
      <c r="D13" s="654">
        <f>+Inputs!J13</f>
        <v>130166.30457889999</v>
      </c>
      <c r="E13" s="654">
        <f>+FCFF!AF99*FCFF!AF31</f>
        <v>119781.325</v>
      </c>
      <c r="F13" s="654">
        <f>+FCFF!AH99*FCFF!AH31</f>
        <v>132720.625</v>
      </c>
      <c r="G13" s="654">
        <f>+FCFF!AJ99*FCFF!AJ31</f>
        <v>150557.95000000001</v>
      </c>
      <c r="H13" s="654">
        <f>+FCFF!AL99*FCFF!AL31</f>
        <v>157684.94876332974</v>
      </c>
      <c r="I13" s="23"/>
      <c r="J13" s="647"/>
      <c r="K13" s="650" t="str">
        <f>+Segments!B21</f>
        <v>Canada (CAN)</v>
      </c>
      <c r="L13" s="23"/>
      <c r="M13" s="651">
        <v>4.3299999999999998E-2</v>
      </c>
      <c r="N13" s="652">
        <f>+Segments!AL21/Segments!AL$26</f>
        <v>7.5411864800061873E-2</v>
      </c>
      <c r="O13" s="652">
        <f>Segments!AR21/Segments!AR26</f>
        <v>6.970117286627138E-2</v>
      </c>
      <c r="P13" s="652">
        <f>Segments!AT21/Segments!AT26</f>
        <v>7.0000000000000021E-2</v>
      </c>
      <c r="Q13" s="652">
        <f>Segments!AV21/Segments!$AV$26</f>
        <v>7.0000000000000007E-2</v>
      </c>
      <c r="R13" s="652">
        <f>Segments!AX21/Segments!$AX$26</f>
        <v>7.0000000000000007E-2</v>
      </c>
    </row>
    <row r="14" spans="1:18" ht="15" customHeight="1" x14ac:dyDescent="0.25">
      <c r="A14" s="23"/>
      <c r="B14" s="655" t="s">
        <v>498</v>
      </c>
      <c r="C14" s="23"/>
      <c r="D14" s="552">
        <f>IFERROR(D13/D35,"")</f>
        <v>0.66246674235704306</v>
      </c>
      <c r="E14" s="552">
        <f>IFERROR(E13/E35,"")</f>
        <v>0.64129176190392689</v>
      </c>
      <c r="F14" s="552">
        <f>IFERROR(E13/F35,"")</f>
        <v>0.59527359583541695</v>
      </c>
      <c r="G14" s="552">
        <f>IFERROR(F13/G35,"")</f>
        <v>0.60174944952108955</v>
      </c>
      <c r="H14" s="552">
        <f>IFERROR(G13/H35,"")</f>
        <v>0.65265614773361014</v>
      </c>
      <c r="I14" s="479"/>
      <c r="J14" s="479"/>
      <c r="K14" s="650" t="str">
        <f>+Segments!B22</f>
        <v>Western Europe (WE)</v>
      </c>
      <c r="L14" s="23"/>
      <c r="M14" s="651">
        <v>4.5699999999999998E-2</v>
      </c>
      <c r="N14" s="652">
        <f>+Segments!AL22/Segments!AL$26</f>
        <v>0.11967282852502127</v>
      </c>
      <c r="O14" s="652">
        <f>Segments!AR22/Segments!AR26</f>
        <v>8.9615793685206044E-2</v>
      </c>
      <c r="P14" s="652">
        <f>Segments!AT22/Segments!AT26</f>
        <v>9.0000000000000011E-2</v>
      </c>
      <c r="Q14" s="652">
        <f>Segments!AV22/Segments!$AV$26</f>
        <v>0.09</v>
      </c>
      <c r="R14" s="652">
        <f>Segments!AX22/Segments!$AX$26</f>
        <v>0.09</v>
      </c>
    </row>
    <row r="15" spans="1:18" ht="15" customHeight="1" x14ac:dyDescent="0.25">
      <c r="A15" s="23"/>
      <c r="B15" s="480" t="s">
        <v>499</v>
      </c>
      <c r="C15" s="23"/>
      <c r="D15" s="651">
        <v>4.1700000000000001E-2</v>
      </c>
      <c r="E15" s="651">
        <v>4.1000000000000002E-2</v>
      </c>
      <c r="F15" s="651">
        <v>4.1000000000000002E-2</v>
      </c>
      <c r="G15" s="651">
        <v>4.1000000000000002E-2</v>
      </c>
      <c r="H15" s="651">
        <v>4.1000000000000002E-2</v>
      </c>
      <c r="I15" s="553"/>
      <c r="J15" s="553"/>
      <c r="K15" s="650" t="str">
        <f>+Segments!B23</f>
        <v>Central Europe and CIS (CECIS)</v>
      </c>
      <c r="L15" s="23"/>
      <c r="M15" s="651">
        <v>9.2700000000000005E-2</v>
      </c>
      <c r="N15" s="652">
        <f>+Segments!AL23/Segments!AL$26</f>
        <v>2.8772526877562068E-2</v>
      </c>
      <c r="O15" s="652">
        <f>Segments!AR23/Segments!AR26</f>
        <v>1.9914620818934678E-2</v>
      </c>
      <c r="P15" s="652">
        <f>Segments!AT23/Segments!AT26</f>
        <v>2.0000000000000004E-2</v>
      </c>
      <c r="Q15" s="652">
        <f>Segments!AV23/Segments!$AV$26</f>
        <v>0.02</v>
      </c>
      <c r="R15" s="652">
        <f>Segments!AX23/Segments!$AX$26</f>
        <v>0.02</v>
      </c>
    </row>
    <row r="16" spans="1:18" ht="15" customHeight="1" x14ac:dyDescent="0.25">
      <c r="A16" s="23"/>
      <c r="B16" s="480" t="s">
        <v>21</v>
      </c>
      <c r="C16" s="23"/>
      <c r="D16" s="656">
        <f>+Inputs!M18</f>
        <v>0.89700514078140259</v>
      </c>
      <c r="E16" s="657">
        <f>+D17*(1+(E28/E13)*(1-E32))</f>
        <v>0.9148008911536023</v>
      </c>
      <c r="F16" s="657">
        <f>+E17*(1+(F28/F13)*(1-F32))</f>
        <v>0.89332398320955697</v>
      </c>
      <c r="G16" s="657">
        <f>+F17*(1+(G28/G13)*(1-G32))</f>
        <v>0.86789576912617983</v>
      </c>
      <c r="H16" s="657">
        <f>+G17*(1+(H28/H13)*(1-H32))</f>
        <v>0.86690773178705116</v>
      </c>
      <c r="I16" s="658"/>
      <c r="J16" s="658"/>
      <c r="K16" s="650" t="str">
        <f>+Segments!B24</f>
        <v>Latin America (LA)</v>
      </c>
      <c r="L16" s="23"/>
      <c r="M16" s="651">
        <v>0.1154</v>
      </c>
      <c r="N16" s="652">
        <f>+Segments!AL25/Segments!AL$26</f>
        <v>8.4287261195761465E-2</v>
      </c>
      <c r="O16" s="652">
        <f>Segments!AR24/Segments!AR26</f>
        <v>0.13940234573254276</v>
      </c>
      <c r="P16" s="652">
        <f>Segments!AT24/Segments!AT26</f>
        <v>0.16000000000000003</v>
      </c>
      <c r="Q16" s="652">
        <f>Segments!AV24/Segments!$AV$26</f>
        <v>0.16</v>
      </c>
      <c r="R16" s="652">
        <f>Segments!AX24/Segments!$AX$26</f>
        <v>0.16</v>
      </c>
    </row>
    <row r="17" spans="2:18" ht="15" customHeight="1" x14ac:dyDescent="0.25">
      <c r="B17" s="480" t="s">
        <v>500</v>
      </c>
      <c r="C17" s="23"/>
      <c r="D17" s="657">
        <f>+D16/(1+(D28/D13)*(1-D32))</f>
        <v>0.63691710612877028</v>
      </c>
      <c r="E17" s="657">
        <f>+E16/(1+(E28/E13)*(1-E32))</f>
        <v>0.63691710612877028</v>
      </c>
      <c r="F17" s="657">
        <f>+F16/(1+(F28/F13)*(1-F32))</f>
        <v>0.63691710612877028</v>
      </c>
      <c r="G17" s="657">
        <f>+G16/(1+(G28/G13)*(1-G32))</f>
        <v>0.63691710612877028</v>
      </c>
      <c r="H17" s="657">
        <f>+H16/(1+(H28/H13)*(1-H32))</f>
        <v>0.63691710612877028</v>
      </c>
      <c r="I17" s="658"/>
      <c r="J17" s="658"/>
      <c r="K17" s="742" t="str">
        <f>+Segments!B25</f>
        <v>Asia, Africa, Australia, New Zealand, and Middle East (AAANM)</v>
      </c>
      <c r="L17" s="23"/>
      <c r="M17" s="651">
        <v>0.1071</v>
      </c>
      <c r="N17" s="658">
        <f>Segments!AL25/Segments!AL26</f>
        <v>8.4287261195761465E-2</v>
      </c>
      <c r="O17" s="658">
        <f>Segments!AR25/Segments!AR26</f>
        <v>8.3927442329004814E-2</v>
      </c>
      <c r="P17" s="658">
        <f>Segments!AT25/Segments!AT26</f>
        <v>6.0000000000000012E-2</v>
      </c>
      <c r="Q17" s="743">
        <f>Segments!AV25/Segments!$AV$26</f>
        <v>5.9999999999999991E-2</v>
      </c>
      <c r="R17" s="743">
        <f>Segments!AX25/Segments!$AX$26</f>
        <v>7.0000000000000007E-2</v>
      </c>
    </row>
    <row r="18" spans="2:18" ht="15" customHeight="1" x14ac:dyDescent="0.25">
      <c r="B18" s="480" t="s">
        <v>493</v>
      </c>
      <c r="C18" s="23"/>
      <c r="D18" s="659">
        <f>+N18</f>
        <v>5.5476080903395467E-2</v>
      </c>
      <c r="E18" s="659">
        <f>+O18</f>
        <v>5.9904340121206705E-2</v>
      </c>
      <c r="F18" s="659">
        <f>+P18</f>
        <v>5.9868000000000005E-2</v>
      </c>
      <c r="G18" s="659">
        <f>+Q18</f>
        <v>5.9868000000000005E-2</v>
      </c>
      <c r="H18" s="659">
        <f>+R18</f>
        <v>6.0506000000000004E-2</v>
      </c>
      <c r="I18" s="660"/>
      <c r="J18" s="660"/>
      <c r="K18" s="661" t="s">
        <v>495</v>
      </c>
      <c r="L18" s="293"/>
      <c r="M18" s="293"/>
      <c r="N18" s="662">
        <f>+SUMPRODUCT($M12:$M17,N12:N17)</f>
        <v>5.5476080903395467E-2</v>
      </c>
      <c r="O18" s="662">
        <f>+SUMPRODUCT($M12:$M17,O12:O17)</f>
        <v>5.9904340121206705E-2</v>
      </c>
      <c r="P18" s="662">
        <f>+SUMPRODUCT($M12:$M17,P12:P17)</f>
        <v>5.9868000000000005E-2</v>
      </c>
      <c r="Q18" s="662">
        <f>+SUMPRODUCT($M12:$M17,Q12:Q17)</f>
        <v>5.9868000000000005E-2</v>
      </c>
      <c r="R18" s="662">
        <f>+SUMPRODUCT($M12:$M17,R12:R17)</f>
        <v>6.0506000000000004E-2</v>
      </c>
    </row>
    <row r="19" spans="2:18" ht="15" customHeight="1" x14ac:dyDescent="0.25">
      <c r="B19" s="663" t="s">
        <v>501</v>
      </c>
      <c r="C19" s="23"/>
      <c r="D19" s="664">
        <f>IFERROR(+D15+D16*D18,"")</f>
        <v>9.1462329760750721E-2</v>
      </c>
      <c r="E19" s="664">
        <f>IFERROR(+E15+E16*E18,"")</f>
        <v>9.5800543726848389E-2</v>
      </c>
      <c r="F19" s="664">
        <f>IFERROR(+F15+F16*F18,"")</f>
        <v>9.4481520226789767E-2</v>
      </c>
      <c r="G19" s="664">
        <f>IFERROR(+G15+G16*G18,"")</f>
        <v>9.2959183906046142E-2</v>
      </c>
      <c r="H19" s="664">
        <f>IFERROR(+H15+H16*H18,"")</f>
        <v>9.345311921950733E-2</v>
      </c>
      <c r="I19" s="665"/>
      <c r="J19" s="665"/>
      <c r="K19" s="665"/>
      <c r="L19" s="665"/>
      <c r="M19" s="665"/>
      <c r="N19" s="665"/>
      <c r="O19" s="665"/>
      <c r="P19" s="23"/>
      <c r="Q19" s="23"/>
      <c r="R19" s="23"/>
    </row>
    <row r="20" spans="2:18" ht="15" customHeight="1" x14ac:dyDescent="0.25">
      <c r="B20" s="377"/>
      <c r="C20" s="23"/>
      <c r="D20" s="23"/>
      <c r="E20" s="23"/>
      <c r="F20" s="23"/>
      <c r="G20" s="23"/>
      <c r="H20" s="23"/>
      <c r="I20" s="553"/>
      <c r="J20" s="553"/>
      <c r="K20" s="23"/>
      <c r="L20" s="23"/>
      <c r="M20" s="23"/>
      <c r="N20" s="23"/>
      <c r="O20" s="23"/>
      <c r="P20" s="23"/>
      <c r="Q20" s="23"/>
      <c r="R20" s="23"/>
    </row>
    <row r="21" spans="2:18" ht="15" customHeight="1" x14ac:dyDescent="0.25">
      <c r="B21" s="483" t="s">
        <v>502</v>
      </c>
      <c r="C21" s="23"/>
      <c r="D21" s="23"/>
      <c r="E21" s="23"/>
      <c r="F21" s="23"/>
      <c r="G21" s="23"/>
      <c r="H21" s="23"/>
      <c r="I21" s="23"/>
      <c r="J21" s="23"/>
      <c r="K21" s="374" t="s">
        <v>503</v>
      </c>
      <c r="L21" s="374"/>
      <c r="M21" s="374"/>
      <c r="N21" s="374"/>
      <c r="O21" s="374"/>
      <c r="P21" s="374"/>
      <c r="Q21" s="374"/>
      <c r="R21" s="374"/>
    </row>
    <row r="22" spans="2:18" ht="15" customHeight="1" x14ac:dyDescent="0.25">
      <c r="B22" s="480" t="s">
        <v>504</v>
      </c>
      <c r="C22" s="23"/>
      <c r="D22" s="96">
        <f>IFERROR(Inputs!J14,0)</f>
        <v>126816.9234368</v>
      </c>
      <c r="E22" s="24">
        <f>+D22*(E13/D13)</f>
        <v>116699.16550850451</v>
      </c>
      <c r="F22" s="24">
        <f>+E22*(F13/E13)</f>
        <v>129305.51722705657</v>
      </c>
      <c r="G22" s="24">
        <f>+F22*(G13/F13)</f>
        <v>146683.86015659076</v>
      </c>
      <c r="H22" s="24">
        <f>+G22*(H13/G13)</f>
        <v>153627.47017476949</v>
      </c>
      <c r="I22" s="23"/>
      <c r="J22" s="23"/>
      <c r="K22" s="374"/>
      <c r="L22" s="374"/>
      <c r="M22" s="374"/>
      <c r="N22" s="374"/>
      <c r="O22" s="374"/>
      <c r="P22" s="374"/>
      <c r="Q22" s="374"/>
      <c r="R22" s="374"/>
    </row>
    <row r="23" spans="2:18" ht="15" customHeight="1" x14ac:dyDescent="0.25">
      <c r="B23" s="655" t="s">
        <v>505</v>
      </c>
      <c r="C23" s="23"/>
      <c r="D23" s="479">
        <f>+D22/D35</f>
        <v>0.6454204443823307</v>
      </c>
      <c r="E23" s="479">
        <f>+E22/E35</f>
        <v>0.6247903290572786</v>
      </c>
      <c r="F23" s="479">
        <f>+F22/F35</f>
        <v>0.6426056833242445</v>
      </c>
      <c r="G23" s="479">
        <f>+G22/G35</f>
        <v>0.66505814075888336</v>
      </c>
      <c r="H23" s="479">
        <f>+H22/H35</f>
        <v>0.66596226151010374</v>
      </c>
      <c r="I23" s="23"/>
      <c r="J23" s="23"/>
      <c r="K23" s="374"/>
      <c r="L23" s="374"/>
      <c r="M23" s="374"/>
      <c r="N23" s="374"/>
      <c r="O23" s="374"/>
      <c r="P23" s="374"/>
      <c r="Q23" s="374"/>
      <c r="R23" s="374"/>
    </row>
    <row r="24" spans="2:18" ht="15" customHeight="1" x14ac:dyDescent="0.25">
      <c r="B24" s="480" t="s">
        <v>506</v>
      </c>
      <c r="C24" s="23"/>
      <c r="D24" s="427">
        <f>+IS!AF50</f>
        <v>0</v>
      </c>
      <c r="E24" s="666">
        <f>D24</f>
        <v>0</v>
      </c>
      <c r="F24" s="666">
        <f t="shared" ref="F24:H24" si="2">E24</f>
        <v>0</v>
      </c>
      <c r="G24" s="666">
        <f t="shared" si="2"/>
        <v>0</v>
      </c>
      <c r="H24" s="666">
        <f t="shared" si="2"/>
        <v>0</v>
      </c>
      <c r="I24" s="23"/>
      <c r="J24" s="23"/>
      <c r="K24" s="23"/>
      <c r="L24" s="23"/>
      <c r="M24" s="23"/>
      <c r="N24" s="23"/>
      <c r="O24" s="667"/>
      <c r="P24" s="23"/>
      <c r="Q24" s="23"/>
      <c r="R24" s="23"/>
    </row>
    <row r="25" spans="2:18" ht="15" customHeight="1" x14ac:dyDescent="0.25">
      <c r="B25" s="663" t="s">
        <v>507</v>
      </c>
      <c r="C25" s="23"/>
      <c r="D25" s="664">
        <f>IFERROR(D24/D22,0)</f>
        <v>0</v>
      </c>
      <c r="E25" s="664">
        <f>IFERROR(E24/E22,0)</f>
        <v>0</v>
      </c>
      <c r="F25" s="664">
        <f>IFERROR(F24/F22,0)</f>
        <v>0</v>
      </c>
      <c r="G25" s="664">
        <f>IFERROR(G24/G22,0)</f>
        <v>0</v>
      </c>
      <c r="H25" s="664">
        <f>IFERROR(H24/H22,0)</f>
        <v>0</v>
      </c>
      <c r="I25" s="23"/>
      <c r="J25" s="23"/>
      <c r="K25" s="23"/>
      <c r="L25" s="23"/>
      <c r="M25" s="23"/>
      <c r="N25" s="23"/>
      <c r="O25" s="667"/>
      <c r="P25" s="23"/>
      <c r="Q25" s="23"/>
      <c r="R25" s="23"/>
    </row>
    <row r="26" spans="2:18" ht="15" customHeight="1" x14ac:dyDescent="0.25">
      <c r="B26" s="377"/>
      <c r="C26" s="23"/>
      <c r="D26" s="23"/>
      <c r="E26" s="23"/>
      <c r="F26" s="23"/>
      <c r="G26" s="23"/>
      <c r="H26" s="23"/>
      <c r="I26" s="23"/>
      <c r="J26" s="23"/>
      <c r="K26" s="23"/>
      <c r="L26" s="23"/>
      <c r="M26" s="23"/>
      <c r="N26" s="23"/>
      <c r="O26" s="667"/>
      <c r="P26" s="23"/>
      <c r="Q26" s="23"/>
      <c r="R26" s="23"/>
    </row>
    <row r="27" spans="2:18" ht="15" customHeight="1" x14ac:dyDescent="0.25">
      <c r="B27" s="377" t="s">
        <v>508</v>
      </c>
      <c r="C27" s="23"/>
      <c r="D27" s="23"/>
      <c r="E27" s="23"/>
      <c r="F27" s="23"/>
      <c r="G27" s="23"/>
      <c r="H27" s="23"/>
      <c r="I27" s="23"/>
      <c r="J27" s="23"/>
      <c r="K27" s="23"/>
      <c r="L27" s="23"/>
      <c r="M27" s="23"/>
      <c r="N27" s="23"/>
      <c r="O27" s="667"/>
      <c r="P27" s="23"/>
      <c r="Q27" s="23"/>
      <c r="R27" s="23"/>
    </row>
    <row r="28" spans="2:18" ht="15" customHeight="1" x14ac:dyDescent="0.25">
      <c r="B28" s="653" t="s">
        <v>509</v>
      </c>
      <c r="C28" s="616">
        <f>+BS!AF38+BS!AF39+BS!AF44+BS!AF45</f>
        <v>65463</v>
      </c>
      <c r="D28" s="668">
        <f>+BS!AI38+BS!AI39+BS!AI44+BS!AI45</f>
        <v>66321</v>
      </c>
      <c r="E28" s="669">
        <v>67000</v>
      </c>
      <c r="F28" s="669">
        <v>68500</v>
      </c>
      <c r="G28" s="669">
        <v>70000</v>
      </c>
      <c r="H28" s="669">
        <v>73000</v>
      </c>
      <c r="I28" s="23"/>
      <c r="J28" s="23"/>
      <c r="K28" s="23"/>
      <c r="L28" s="23"/>
      <c r="M28" s="23"/>
      <c r="N28" s="23"/>
      <c r="O28" s="667"/>
      <c r="P28" s="23"/>
      <c r="Q28" s="23"/>
      <c r="R28" s="23"/>
    </row>
    <row r="29" spans="2:18" ht="15" customHeight="1" x14ac:dyDescent="0.25">
      <c r="B29" s="655" t="s">
        <v>510</v>
      </c>
      <c r="C29" s="23"/>
      <c r="D29" s="552">
        <f>IFERROR(D28/D35,"")</f>
        <v>0.33753325764295694</v>
      </c>
      <c r="E29" s="552">
        <f>IFERROR(E28/E35,"")</f>
        <v>0.358708238096073</v>
      </c>
      <c r="F29" s="552">
        <f>IFERROR(F28/F35,"")</f>
        <v>0.3404223597854345</v>
      </c>
      <c r="G29" s="552">
        <f>IFERROR(G28/G35,"")</f>
        <v>0.31737690706682753</v>
      </c>
      <c r="H29" s="552">
        <f>IFERROR(H28/H35,"")</f>
        <v>0.31644890744429993</v>
      </c>
      <c r="I29" s="667"/>
      <c r="J29" s="667"/>
      <c r="K29" s="667"/>
      <c r="L29" s="667"/>
      <c r="M29" s="667"/>
      <c r="N29" s="667"/>
      <c r="O29" s="23"/>
      <c r="P29" s="23"/>
      <c r="Q29" s="23"/>
      <c r="R29" s="23"/>
    </row>
    <row r="30" spans="2:18" ht="15" customHeight="1" x14ac:dyDescent="0.25">
      <c r="B30" s="480" t="s">
        <v>511</v>
      </c>
      <c r="C30" s="23"/>
      <c r="D30" s="553">
        <f>+D31-D15</f>
        <v>8.4047933535380953E-3</v>
      </c>
      <c r="E30" s="651">
        <v>7.0000000000000001E-3</v>
      </c>
      <c r="F30" s="651">
        <v>7.0000000000000001E-3</v>
      </c>
      <c r="G30" s="651">
        <v>8.0000000000000002E-3</v>
      </c>
      <c r="H30" s="651">
        <v>8.0000000000000002E-3</v>
      </c>
      <c r="I30" s="658"/>
      <c r="J30" s="658"/>
      <c r="K30" s="658"/>
      <c r="L30" s="658"/>
      <c r="M30" s="658"/>
      <c r="N30" s="658"/>
      <c r="O30" s="658"/>
      <c r="P30" s="23"/>
      <c r="Q30" s="23"/>
      <c r="R30" s="23"/>
    </row>
    <row r="31" spans="2:18" ht="15" customHeight="1" x14ac:dyDescent="0.25">
      <c r="B31" s="480" t="s">
        <v>512</v>
      </c>
      <c r="C31" s="23"/>
      <c r="D31" s="613">
        <f>+(IS!AI36+IS!AH36+IS!AE36+IS!AD36)/WACC!D28</f>
        <v>5.0104793353538096E-2</v>
      </c>
      <c r="E31" s="553">
        <f>+E30+E15</f>
        <v>4.8000000000000001E-2</v>
      </c>
      <c r="F31" s="553">
        <f>+F30+F15</f>
        <v>4.8000000000000001E-2</v>
      </c>
      <c r="G31" s="553">
        <f>+G30+G15</f>
        <v>4.9000000000000002E-2</v>
      </c>
      <c r="H31" s="553">
        <f>+H30+H15</f>
        <v>4.9000000000000002E-2</v>
      </c>
      <c r="I31" s="658"/>
      <c r="J31" s="658"/>
      <c r="K31" s="658"/>
      <c r="L31" s="658"/>
      <c r="M31" s="658"/>
      <c r="N31" s="658"/>
      <c r="O31" s="658"/>
      <c r="P31" s="23"/>
      <c r="Q31" s="23"/>
      <c r="R31" s="23"/>
    </row>
    <row r="32" spans="2:18" ht="15" customHeight="1" x14ac:dyDescent="0.25">
      <c r="B32" s="480" t="s">
        <v>513</v>
      </c>
      <c r="C32" s="23"/>
      <c r="D32" s="670">
        <f>+FCFF!Z124</f>
        <v>0.19853424753982857</v>
      </c>
      <c r="E32" s="670">
        <f>+FCFF!AF124</f>
        <v>0.22</v>
      </c>
      <c r="F32" s="670">
        <f>+FCFF!AH124</f>
        <v>0.22</v>
      </c>
      <c r="G32" s="670">
        <f>+FCFF!AJ124</f>
        <v>0.22</v>
      </c>
      <c r="H32" s="670">
        <f>+FCFF!AL124</f>
        <v>0.22</v>
      </c>
      <c r="I32" s="658"/>
      <c r="J32" s="658"/>
      <c r="K32" s="658"/>
      <c r="L32" s="658"/>
      <c r="M32" s="658"/>
      <c r="N32" s="658"/>
      <c r="O32" s="23"/>
      <c r="P32" s="23"/>
      <c r="Q32" s="23"/>
      <c r="R32" s="23"/>
    </row>
    <row r="33" spans="1:14" ht="15" customHeight="1" x14ac:dyDescent="0.25">
      <c r="A33" s="23"/>
      <c r="B33" s="663" t="s">
        <v>514</v>
      </c>
      <c r="C33" s="23"/>
      <c r="D33" s="664">
        <f>+D31*(1-D32)</f>
        <v>4.0157275906954802E-2</v>
      </c>
      <c r="E33" s="664">
        <f t="shared" ref="E33" si="3">+E31*(1-E32)</f>
        <v>3.7440000000000001E-2</v>
      </c>
      <c r="F33" s="664">
        <f>+F31*(1-F32)</f>
        <v>3.7440000000000001E-2</v>
      </c>
      <c r="G33" s="664">
        <f>+G31*(1-G32)</f>
        <v>3.8220000000000004E-2</v>
      </c>
      <c r="H33" s="664">
        <f>+H31*(1-H32)</f>
        <v>3.8220000000000004E-2</v>
      </c>
      <c r="I33" s="658"/>
      <c r="J33" s="658"/>
      <c r="K33" s="658"/>
      <c r="L33" s="658"/>
      <c r="M33" s="658"/>
      <c r="N33" s="658"/>
    </row>
    <row r="34" spans="1:14" ht="15" customHeight="1" x14ac:dyDescent="0.25">
      <c r="A34" s="23"/>
      <c r="B34" s="375"/>
      <c r="C34" s="23"/>
      <c r="D34" s="664"/>
      <c r="E34" s="664"/>
      <c r="F34" s="664"/>
      <c r="G34" s="664"/>
      <c r="H34" s="664"/>
      <c r="I34" s="23"/>
      <c r="J34" s="23"/>
      <c r="K34" s="23"/>
      <c r="L34" s="23"/>
      <c r="M34" s="23"/>
      <c r="N34" s="23"/>
    </row>
    <row r="35" spans="1:14" ht="15" customHeight="1" x14ac:dyDescent="0.25">
      <c r="A35" s="23"/>
      <c r="B35" s="377" t="s">
        <v>515</v>
      </c>
      <c r="C35" s="23"/>
      <c r="D35" s="667">
        <f>+D13+D24+D28</f>
        <v>196487.30457889999</v>
      </c>
      <c r="E35" s="667">
        <f>+E13+E24+E28</f>
        <v>186781.32500000001</v>
      </c>
      <c r="F35" s="667">
        <f>+F13+F24+F28</f>
        <v>201220.625</v>
      </c>
      <c r="G35" s="667">
        <f>+G13+G24+G28</f>
        <v>220557.95</v>
      </c>
      <c r="H35" s="667">
        <f>+H13+H24+H28</f>
        <v>230684.94876332974</v>
      </c>
      <c r="I35" s="23"/>
      <c r="J35" s="23"/>
      <c r="K35" s="23"/>
      <c r="L35" s="23"/>
      <c r="M35" s="23"/>
      <c r="N35" s="23"/>
    </row>
    <row r="36" spans="1:14" ht="15" customHeight="1" x14ac:dyDescent="0.25">
      <c r="A36" s="23"/>
      <c r="B36" s="377"/>
      <c r="C36" s="23"/>
      <c r="D36" s="23"/>
      <c r="E36" s="23"/>
      <c r="F36" s="23"/>
      <c r="G36" s="23"/>
      <c r="H36" s="23"/>
      <c r="I36" s="667"/>
      <c r="J36" s="667"/>
      <c r="K36" s="667"/>
      <c r="L36" s="667"/>
      <c r="M36" s="667"/>
      <c r="N36" s="667"/>
    </row>
    <row r="37" spans="1:14" ht="15" customHeight="1" x14ac:dyDescent="0.25">
      <c r="A37" s="23"/>
      <c r="B37" s="377" t="s">
        <v>516</v>
      </c>
      <c r="C37" s="23"/>
      <c r="D37" s="671">
        <v>0</v>
      </c>
      <c r="E37" s="671">
        <v>0</v>
      </c>
      <c r="F37" s="671">
        <v>0</v>
      </c>
      <c r="G37" s="671">
        <v>0</v>
      </c>
      <c r="H37" s="671">
        <v>0</v>
      </c>
      <c r="I37" s="23"/>
      <c r="J37" s="23"/>
      <c r="K37" s="23"/>
      <c r="L37" s="23"/>
      <c r="M37" s="23"/>
      <c r="N37" s="23"/>
    </row>
    <row r="38" spans="1:14" ht="15" customHeight="1" x14ac:dyDescent="0.25">
      <c r="A38" s="23"/>
      <c r="B38" s="377"/>
      <c r="C38" s="23"/>
      <c r="D38" s="23"/>
      <c r="E38" s="23"/>
      <c r="F38" s="23"/>
      <c r="G38" s="23"/>
      <c r="H38" s="23"/>
      <c r="I38" s="658"/>
      <c r="J38" s="658"/>
      <c r="K38" s="658"/>
      <c r="L38" s="658"/>
      <c r="M38" s="658"/>
      <c r="N38" s="658"/>
    </row>
    <row r="39" spans="1:14" ht="15" customHeight="1" x14ac:dyDescent="0.25">
      <c r="A39" s="619" t="s">
        <v>70</v>
      </c>
      <c r="B39" s="672" t="s">
        <v>517</v>
      </c>
      <c r="C39" s="673"/>
      <c r="D39" s="674">
        <f>+D19*D14+D25*D23+D33*D29+D37</f>
        <v>7.4145167799931633E-2</v>
      </c>
      <c r="E39" s="674">
        <f>+E19*E14+E25*E23+E33*E29+E37</f>
        <v>7.4866135912261766E-2</v>
      </c>
      <c r="F39" s="674">
        <f>+F19*F14+F25*F23+F33*F29+F37</f>
        <v>6.8987767435764485E-2</v>
      </c>
      <c r="G39" s="674">
        <f>+G19*G14+G25*G23+G33*G29+G37</f>
        <v>6.8068283131487134E-2</v>
      </c>
      <c r="H39" s="675">
        <f>+H19*H14+H25*H23+H33*H29+H37</f>
        <v>7.3087430026014602E-2</v>
      </c>
      <c r="I39" s="23"/>
      <c r="J39" s="23"/>
      <c r="K39" s="23"/>
      <c r="L39" s="23"/>
      <c r="M39" s="23"/>
      <c r="N39" s="23"/>
    </row>
    <row r="40" spans="1:14" ht="15" customHeight="1" x14ac:dyDescent="0.25">
      <c r="A40" s="23"/>
      <c r="B40" s="23"/>
      <c r="C40" s="23"/>
      <c r="D40" s="23"/>
      <c r="E40" s="23"/>
      <c r="F40" s="23"/>
      <c r="G40" s="23"/>
      <c r="H40" s="23"/>
      <c r="I40" s="676"/>
      <c r="J40" s="676"/>
      <c r="K40" s="676"/>
      <c r="L40" s="676"/>
      <c r="M40" s="676"/>
      <c r="N40" s="676"/>
    </row>
    <row r="41" spans="1:14" ht="15" customHeight="1" x14ac:dyDescent="0.25">
      <c r="A41" s="23"/>
      <c r="B41" s="23" t="s">
        <v>518</v>
      </c>
      <c r="C41" s="23"/>
      <c r="D41" s="24">
        <f>+FCFF!Z126</f>
        <v>7829.14067113694</v>
      </c>
      <c r="E41" s="24">
        <f>+FCFF!AF126</f>
        <v>7850.2179600000009</v>
      </c>
      <c r="F41" s="24">
        <f>+FCFF!AH126</f>
        <v>8488.8111749999989</v>
      </c>
      <c r="G41" s="24">
        <f>+FCFF!AJ126</f>
        <v>10475.219929200004</v>
      </c>
      <c r="H41" s="24">
        <f>+FCFF!AL126</f>
        <v>12299.426003539722</v>
      </c>
      <c r="I41" s="676"/>
      <c r="J41" s="676"/>
      <c r="K41" s="676"/>
      <c r="L41" s="676"/>
      <c r="M41" s="676"/>
      <c r="N41" s="676"/>
    </row>
    <row r="42" spans="1:14" ht="15" customHeight="1" x14ac:dyDescent="0.25">
      <c r="A42" s="23"/>
      <c r="B42" s="23" t="s">
        <v>519</v>
      </c>
      <c r="C42" s="23"/>
      <c r="D42" s="24">
        <f>+FCFF!Z112+FCFF!Z115</f>
        <v>-3983.9559566725834</v>
      </c>
      <c r="E42" s="24">
        <f>+FCFF!AF112+FCFF!AF115</f>
        <v>-3753.0265246127474</v>
      </c>
      <c r="F42" s="24">
        <f>+FCFF!AH112+FCFF!AH115</f>
        <v>-4945.7474693381182</v>
      </c>
      <c r="G42" s="24">
        <f>+FCFF!AJ112+FCFF!AJ115</f>
        <v>-5596.3090681095509</v>
      </c>
      <c r="H42" s="24">
        <f>+FCFF!AL112+FCFF!AL115</f>
        <v>-6760.0525990220531</v>
      </c>
      <c r="I42" s="676"/>
      <c r="J42" s="676"/>
      <c r="K42" s="676"/>
      <c r="L42" s="676"/>
      <c r="M42" s="676"/>
      <c r="N42" s="676"/>
    </row>
    <row r="43" spans="1:14" ht="15" customHeight="1" x14ac:dyDescent="0.25">
      <c r="A43" s="23"/>
      <c r="B43" s="23" t="s">
        <v>520</v>
      </c>
      <c r="C43" s="617">
        <f>+BS!AF54</f>
        <v>22925</v>
      </c>
      <c r="D43" s="24">
        <f>+C43+D41+D42</f>
        <v>26770.184714464358</v>
      </c>
      <c r="E43" s="24">
        <f t="shared" ref="E43:H43" si="4">+D43+E41+E42</f>
        <v>30867.376149851611</v>
      </c>
      <c r="F43" s="24">
        <f t="shared" si="4"/>
        <v>34410.43985551349</v>
      </c>
      <c r="G43" s="24">
        <f t="shared" si="4"/>
        <v>39289.350716603949</v>
      </c>
      <c r="H43" s="24">
        <f t="shared" si="4"/>
        <v>44828.724121121617</v>
      </c>
      <c r="I43" s="676"/>
      <c r="J43" s="676"/>
      <c r="K43" s="676"/>
      <c r="L43" s="676"/>
      <c r="M43" s="676"/>
      <c r="N43" s="676"/>
    </row>
    <row r="44" spans="1:14" ht="15" customHeight="1" x14ac:dyDescent="0.25">
      <c r="A44" s="23"/>
      <c r="B44" s="23" t="s">
        <v>521</v>
      </c>
      <c r="C44" s="617">
        <f>+C43+C28</f>
        <v>88388</v>
      </c>
      <c r="D44" s="24">
        <f t="shared" ref="D44:H44" si="5">+D43+D28</f>
        <v>93091.184714464354</v>
      </c>
      <c r="E44" s="24">
        <f t="shared" si="5"/>
        <v>97867.376149851611</v>
      </c>
      <c r="F44" s="24">
        <f t="shared" si="5"/>
        <v>102910.43985551348</v>
      </c>
      <c r="G44" s="24">
        <f t="shared" si="5"/>
        <v>109289.35071660395</v>
      </c>
      <c r="H44" s="24">
        <f t="shared" si="5"/>
        <v>117828.72412112162</v>
      </c>
      <c r="I44" s="676"/>
      <c r="J44" s="676"/>
      <c r="K44" s="23"/>
      <c r="L44" s="676"/>
      <c r="M44" s="676"/>
      <c r="N44" s="676"/>
    </row>
    <row r="45" spans="1:14" ht="15" customHeight="1" x14ac:dyDescent="0.25">
      <c r="A45" s="619" t="s">
        <v>70</v>
      </c>
      <c r="B45" s="614" t="s">
        <v>289</v>
      </c>
      <c r="C45" s="677"/>
      <c r="D45" s="678">
        <f>+D41/((D44+C44)/2)</f>
        <v>8.6281417711404754E-2</v>
      </c>
      <c r="E45" s="678">
        <f t="shared" ref="E45:H45" si="6">+E41/((E44+D44)/2)</f>
        <v>8.221907333683677E-2</v>
      </c>
      <c r="F45" s="678">
        <f t="shared" si="6"/>
        <v>8.4559254044014154E-2</v>
      </c>
      <c r="G45" s="678">
        <f t="shared" si="6"/>
        <v>9.8729785745381632E-2</v>
      </c>
      <c r="H45" s="679">
        <f t="shared" si="6"/>
        <v>0.10830864969534094</v>
      </c>
      <c r="I45" s="23"/>
      <c r="J45" s="23"/>
      <c r="K45" s="23"/>
      <c r="L45" s="23"/>
      <c r="M45" s="23"/>
      <c r="N45" s="23"/>
    </row>
    <row r="46" spans="1:14" ht="15" customHeight="1" x14ac:dyDescent="0.25">
      <c r="A46" s="23"/>
      <c r="B46" s="23"/>
      <c r="C46" s="23"/>
      <c r="D46" s="23"/>
      <c r="E46" s="23"/>
      <c r="F46" s="23"/>
      <c r="G46" s="23"/>
      <c r="H46" s="23"/>
      <c r="I46" s="23"/>
      <c r="J46" s="23"/>
      <c r="K46" s="23"/>
      <c r="L46" s="23"/>
      <c r="M46" s="23"/>
      <c r="N46" s="23"/>
    </row>
    <row r="49" spans="23:23" ht="15" customHeight="1" x14ac:dyDescent="0.25">
      <c r="W49" s="23" t="s">
        <v>522</v>
      </c>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83"/>
  <sheetViews>
    <sheetView showGridLines="0" tabSelected="1" topLeftCell="M129" zoomScale="62" zoomScaleNormal="130" workbookViewId="0">
      <selection activeCell="AL160" sqref="AL160"/>
    </sheetView>
  </sheetViews>
  <sheetFormatPr defaultColWidth="9" defaultRowHeight="14.25" customHeight="1" outlineLevelCol="1" x14ac:dyDescent="0.25"/>
  <cols>
    <col min="1" max="1" width="2.09765625" style="97" customWidth="1"/>
    <col min="2" max="2" width="50.59765625" style="97" customWidth="1"/>
    <col min="3" max="3" width="3.09765625" style="23" customWidth="1"/>
    <col min="4" max="7" width="9.59765625" style="97" customWidth="1" outlineLevel="1"/>
    <col min="8" max="8" width="11.59765625" style="97" customWidth="1"/>
    <col min="9" max="9" width="1.59765625" style="23" customWidth="1"/>
    <col min="10" max="13" width="9.59765625" style="97" customWidth="1" outlineLevel="1"/>
    <col min="14" max="14" width="11.59765625" style="97" customWidth="1"/>
    <col min="15" max="15" width="1.59765625" style="23" customWidth="1"/>
    <col min="16" max="19" width="9.59765625" style="97" customWidth="1" outlineLevel="1"/>
    <col min="20" max="20" width="11.59765625" style="97" customWidth="1"/>
    <col min="21" max="21" width="1.59765625" style="23" customWidth="1"/>
    <col min="22" max="25" width="9.59765625" style="97" customWidth="1" outlineLevel="1"/>
    <col min="26" max="26" width="11.59765625" style="97" customWidth="1"/>
    <col min="27" max="27" width="1.59765625" style="23" customWidth="1"/>
    <col min="28" max="31" width="9.59765625" style="97" customWidth="1" outlineLevel="1"/>
    <col min="32" max="32" width="11.59765625" style="97" customWidth="1"/>
    <col min="33" max="33" width="1.59765625" style="23" customWidth="1"/>
    <col min="34" max="34" width="11.59765625" style="97" customWidth="1"/>
    <col min="35" max="35" width="1.59765625" style="23" customWidth="1"/>
    <col min="36" max="36" width="11.59765625" style="105" customWidth="1"/>
    <col min="37" max="37" width="1.59765625" style="97" customWidth="1"/>
    <col min="38" max="38" width="11.59765625" style="97" customWidth="1"/>
    <col min="39" max="39" width="1.59765625" style="97" customWidth="1"/>
    <col min="40" max="40" width="21.09765625" style="97" customWidth="1"/>
    <col min="41" max="16384" width="9" style="97"/>
  </cols>
  <sheetData>
    <row r="1" spans="1:60" s="581" customFormat="1" ht="15" customHeight="1" x14ac:dyDescent="0.25"/>
    <row r="2" spans="1:60" s="581" customFormat="1" ht="15" customHeight="1" x14ac:dyDescent="0.25"/>
    <row r="3" spans="1:60" s="581" customFormat="1" ht="15" customHeight="1" x14ac:dyDescent="0.25"/>
    <row r="4" spans="1:60" s="581" customFormat="1" ht="15" customHeight="1" x14ac:dyDescent="0.25"/>
    <row r="5" spans="1:60" s="288" customFormat="1" ht="4.3499999999999996" customHeight="1" x14ac:dyDescent="0.25">
      <c r="C5" s="36"/>
      <c r="I5" s="36"/>
      <c r="O5" s="36"/>
      <c r="U5" s="36"/>
      <c r="AA5" s="36"/>
      <c r="AG5" s="36"/>
      <c r="AI5" s="36"/>
      <c r="AJ5" s="289"/>
    </row>
    <row r="7" spans="1:60" s="41" customFormat="1" ht="15" customHeight="1" x14ac:dyDescent="0.3">
      <c r="A7" s="30" t="s">
        <v>70</v>
      </c>
      <c r="B7" s="161" t="s">
        <v>523</v>
      </c>
      <c r="C7" s="18"/>
      <c r="D7" s="162"/>
      <c r="E7" s="162"/>
      <c r="F7" s="162"/>
      <c r="G7" s="162"/>
      <c r="H7" s="162"/>
      <c r="I7" s="18"/>
      <c r="J7" s="162"/>
      <c r="K7" s="162"/>
      <c r="L7" s="162"/>
      <c r="M7" s="162"/>
      <c r="N7" s="162"/>
      <c r="O7" s="18"/>
      <c r="P7" s="162"/>
      <c r="Q7" s="162"/>
      <c r="R7" s="162"/>
      <c r="S7" s="162"/>
      <c r="T7" s="162"/>
      <c r="U7" s="18"/>
      <c r="V7" s="162"/>
      <c r="W7" s="162"/>
      <c r="X7" s="162"/>
      <c r="Y7" s="162"/>
      <c r="Z7" s="162"/>
      <c r="AA7" s="18"/>
      <c r="AB7" s="162"/>
      <c r="AC7" s="162"/>
      <c r="AD7" s="162"/>
      <c r="AE7" s="162"/>
      <c r="AF7" s="162"/>
      <c r="AG7" s="18"/>
      <c r="AH7" s="162"/>
      <c r="AI7" s="18"/>
      <c r="AJ7" s="163"/>
      <c r="AK7" s="18"/>
      <c r="AL7" s="163"/>
    </row>
    <row r="8" spans="1:60" s="41" customFormat="1" ht="15" customHeight="1" x14ac:dyDescent="0.3">
      <c r="B8" s="164"/>
      <c r="C8" s="18"/>
      <c r="D8" s="813">
        <v>2022</v>
      </c>
      <c r="E8" s="813"/>
      <c r="F8" s="813"/>
      <c r="G8" s="813"/>
      <c r="H8" s="813"/>
      <c r="I8" s="169"/>
      <c r="J8" s="813">
        <f>D8+1</f>
        <v>2023</v>
      </c>
      <c r="K8" s="813"/>
      <c r="L8" s="813"/>
      <c r="M8" s="813"/>
      <c r="N8" s="813"/>
      <c r="O8" s="169"/>
      <c r="P8" s="813">
        <f>J8+1</f>
        <v>2024</v>
      </c>
      <c r="Q8" s="813"/>
      <c r="R8" s="813"/>
      <c r="S8" s="813"/>
      <c r="T8" s="813"/>
      <c r="U8" s="169"/>
      <c r="V8" s="812">
        <f>P8+1</f>
        <v>2025</v>
      </c>
      <c r="W8" s="812"/>
      <c r="X8" s="812"/>
      <c r="Y8" s="812"/>
      <c r="Z8" s="812"/>
      <c r="AA8" s="169"/>
      <c r="AB8" s="812">
        <f>V8+1</f>
        <v>2026</v>
      </c>
      <c r="AC8" s="812"/>
      <c r="AD8" s="812"/>
      <c r="AE8" s="812"/>
      <c r="AF8" s="812"/>
      <c r="AG8" s="171"/>
      <c r="AH8" s="166">
        <f>AB8+1</f>
        <v>2027</v>
      </c>
      <c r="AI8" s="167"/>
      <c r="AJ8" s="166">
        <f>+AH8+1</f>
        <v>2028</v>
      </c>
      <c r="AK8" s="167"/>
      <c r="AL8" s="166">
        <f>+AJ8+1</f>
        <v>2029</v>
      </c>
    </row>
    <row r="9" spans="1:60" s="41" customFormat="1" ht="14.25" customHeight="1" x14ac:dyDescent="0.3">
      <c r="B9" s="164"/>
      <c r="C9" s="18"/>
      <c r="D9" s="168" t="s">
        <v>36</v>
      </c>
      <c r="E9" s="168" t="s">
        <v>37</v>
      </c>
      <c r="F9" s="168" t="s">
        <v>38</v>
      </c>
      <c r="G9" s="168" t="s">
        <v>39</v>
      </c>
      <c r="H9" s="168" t="s">
        <v>40</v>
      </c>
      <c r="I9" s="165"/>
      <c r="J9" s="168" t="s">
        <v>36</v>
      </c>
      <c r="K9" s="168" t="s">
        <v>37</v>
      </c>
      <c r="L9" s="168" t="s">
        <v>38</v>
      </c>
      <c r="M9" s="168" t="s">
        <v>39</v>
      </c>
      <c r="N9" s="168" t="s">
        <v>40</v>
      </c>
      <c r="O9" s="165"/>
      <c r="P9" s="168" t="s">
        <v>36</v>
      </c>
      <c r="Q9" s="168" t="s">
        <v>37</v>
      </c>
      <c r="R9" s="168" t="s">
        <v>38</v>
      </c>
      <c r="S9" s="168" t="s">
        <v>39</v>
      </c>
      <c r="T9" s="168" t="s">
        <v>40</v>
      </c>
      <c r="U9" s="165"/>
      <c r="V9" s="168" t="s">
        <v>36</v>
      </c>
      <c r="W9" s="168" t="s">
        <v>37</v>
      </c>
      <c r="X9" s="168" t="s">
        <v>38</v>
      </c>
      <c r="Y9" s="168" t="s">
        <v>39</v>
      </c>
      <c r="Z9" s="168" t="s">
        <v>40</v>
      </c>
      <c r="AA9" s="165"/>
      <c r="AB9" s="168" t="s">
        <v>36</v>
      </c>
      <c r="AC9" s="168" t="s">
        <v>37</v>
      </c>
      <c r="AD9" s="168" t="s">
        <v>38</v>
      </c>
      <c r="AE9" s="168" t="s">
        <v>39</v>
      </c>
      <c r="AF9" s="168" t="s">
        <v>40</v>
      </c>
      <c r="AG9" s="165"/>
      <c r="AH9" s="168" t="s">
        <v>40</v>
      </c>
      <c r="AI9" s="165"/>
      <c r="AJ9" s="168" t="s">
        <v>40</v>
      </c>
      <c r="AK9" s="165"/>
      <c r="AL9" s="168" t="s">
        <v>40</v>
      </c>
    </row>
    <row r="15" spans="1:60" ht="14.25" customHeight="1" x14ac:dyDescent="0.25">
      <c r="AS15" s="611">
        <v>2022</v>
      </c>
      <c r="AT15" s="611">
        <f>+AS15+1</f>
        <v>2023</v>
      </c>
      <c r="AU15" s="611">
        <f t="shared" ref="AU15:AZ15" si="0">+AT15+1</f>
        <v>2024</v>
      </c>
      <c r="AV15" s="612">
        <f t="shared" si="0"/>
        <v>2025</v>
      </c>
      <c r="AW15" s="612">
        <f t="shared" si="0"/>
        <v>2026</v>
      </c>
      <c r="AX15" s="612">
        <f t="shared" si="0"/>
        <v>2027</v>
      </c>
      <c r="AY15" s="612">
        <f t="shared" si="0"/>
        <v>2028</v>
      </c>
      <c r="AZ15" s="612">
        <f t="shared" si="0"/>
        <v>2029</v>
      </c>
    </row>
    <row r="16" spans="1:60" ht="14.25" customHeight="1" x14ac:dyDescent="0.25">
      <c r="AR16" s="97" t="s">
        <v>251</v>
      </c>
      <c r="AS16" s="312">
        <f>H61+H128</f>
        <v>11931</v>
      </c>
      <c r="AT16" s="312">
        <f>N61+N128</f>
        <v>17667</v>
      </c>
      <c r="AU16" s="312">
        <f>T61+T128</f>
        <v>14920</v>
      </c>
      <c r="AV16" s="312">
        <f>Z61+Z128</f>
        <v>11796.963763</v>
      </c>
      <c r="AW16" s="312">
        <f>AF61+AF128</f>
        <v>11486.573952000001</v>
      </c>
      <c r="AX16" s="312">
        <f>AH61+AH128</f>
        <v>11238.639237999998</v>
      </c>
      <c r="AY16" s="312">
        <f>AJ61+AJ128</f>
        <v>13785.317128000004</v>
      </c>
      <c r="AZ16" s="312">
        <f>AL61+AL128</f>
        <v>16124.042864332976</v>
      </c>
      <c r="BA16" s="312"/>
      <c r="BB16" s="312"/>
      <c r="BC16" s="312"/>
      <c r="BD16" s="312"/>
      <c r="BE16" s="312"/>
      <c r="BF16" s="312"/>
      <c r="BG16" s="312"/>
      <c r="BH16" s="312"/>
    </row>
    <row r="17" spans="1:55" ht="14.25" customHeight="1" x14ac:dyDescent="0.25">
      <c r="AR17" s="97" t="s">
        <v>524</v>
      </c>
      <c r="AS17" s="312">
        <f>H136</f>
        <v>7784.4201782928467</v>
      </c>
      <c r="AT17" s="312">
        <f>N136</f>
        <v>11659.318249053747</v>
      </c>
      <c r="AU17" s="312">
        <f>T136</f>
        <v>12551.190929273707</v>
      </c>
      <c r="AV17" s="312">
        <f>Z136</f>
        <v>7263.9046002238974</v>
      </c>
      <c r="AW17" s="312">
        <f>AF136</f>
        <v>8748.3363141739119</v>
      </c>
      <c r="AX17" s="312">
        <f>AH136</f>
        <v>9563.0609855952953</v>
      </c>
      <c r="AY17" s="312">
        <f>AJ136</f>
        <v>10219.693495761874</v>
      </c>
      <c r="AZ17" s="312">
        <f>AL136</f>
        <v>12287.846746227737</v>
      </c>
    </row>
    <row r="18" spans="1:55" ht="14.25" customHeight="1" x14ac:dyDescent="0.25">
      <c r="AR18" s="97" t="s">
        <v>525</v>
      </c>
      <c r="AS18" s="328">
        <f>H32</f>
        <v>0.19428039251317464</v>
      </c>
      <c r="AT18" s="328">
        <f>N32</f>
        <v>0.16497708123323895</v>
      </c>
      <c r="AU18" s="328">
        <f>T32</f>
        <v>-0.15567092782158654</v>
      </c>
      <c r="AV18" s="328">
        <f>Z32</f>
        <v>-0.12727395776935568</v>
      </c>
      <c r="AW18" s="328">
        <f>AF32</f>
        <v>6.1564145797283087E-2</v>
      </c>
      <c r="AX18" s="328">
        <f>AH32</f>
        <v>0.10802435187622117</v>
      </c>
      <c r="AY18" s="328">
        <f>+AJ32</f>
        <v>0.1343975361779679</v>
      </c>
      <c r="AZ18" s="328">
        <f>+AL32</f>
        <v>4.7337246311667691E-2</v>
      </c>
      <c r="BC18" s="312"/>
    </row>
    <row r="21" spans="1:55" s="41" customFormat="1" ht="15" customHeight="1" x14ac:dyDescent="0.3">
      <c r="B21" s="525" t="s">
        <v>526</v>
      </c>
      <c r="C21" s="526"/>
      <c r="D21" s="527"/>
      <c r="E21" s="527"/>
      <c r="F21" s="527"/>
      <c r="G21" s="527"/>
      <c r="H21" s="529">
        <f>Segments!T17</f>
        <v>52577</v>
      </c>
      <c r="I21" s="526"/>
      <c r="J21" s="527"/>
      <c r="K21" s="527"/>
      <c r="L21" s="527"/>
      <c r="M21" s="527"/>
      <c r="N21" s="529">
        <f>Segments!Z17</f>
        <v>61251</v>
      </c>
      <c r="O21" s="526"/>
      <c r="P21" s="527"/>
      <c r="Q21" s="527"/>
      <c r="R21" s="527"/>
      <c r="S21" s="527"/>
      <c r="T21" s="529">
        <f>Segments!AF17</f>
        <v>51716</v>
      </c>
      <c r="U21" s="528"/>
      <c r="V21" s="527"/>
      <c r="W21" s="527"/>
      <c r="X21" s="529"/>
      <c r="Y21" s="529"/>
      <c r="Z21" s="529">
        <f>Segments!AL17</f>
        <v>45133.9</v>
      </c>
      <c r="AA21" s="530"/>
      <c r="AB21" s="529"/>
      <c r="AC21" s="529"/>
      <c r="AD21" s="529"/>
      <c r="AE21" s="529"/>
      <c r="AF21" s="529">
        <f>Segments!AR17</f>
        <v>47912.53</v>
      </c>
      <c r="AG21" s="530"/>
      <c r="AH21" s="529">
        <f>Segments!AT17</f>
        <v>53088.25</v>
      </c>
      <c r="AI21" s="530"/>
      <c r="AJ21" s="529">
        <f>Segments!AV17</f>
        <v>60223.18</v>
      </c>
      <c r="AK21" s="530"/>
      <c r="AL21" s="529">
        <f>Segments!AX17</f>
        <v>63073.979505331896</v>
      </c>
      <c r="AM21" s="531"/>
    </row>
    <row r="22" spans="1:55" s="41" customFormat="1" ht="15" customHeight="1" x14ac:dyDescent="0.3">
      <c r="C22" s="17"/>
      <c r="I22" s="17"/>
      <c r="O22" s="17"/>
      <c r="U22" s="17"/>
      <c r="AA22" s="17"/>
      <c r="AG22" s="17"/>
      <c r="AI22" s="17"/>
      <c r="AJ22" s="42"/>
      <c r="AK22" s="17"/>
      <c r="AL22" s="42"/>
    </row>
    <row r="23" spans="1:55" s="41" customFormat="1" ht="15" customHeight="1" x14ac:dyDescent="0.3">
      <c r="A23" s="30" t="s">
        <v>70</v>
      </c>
      <c r="B23" s="161" t="s">
        <v>527</v>
      </c>
      <c r="C23" s="18"/>
      <c r="D23" s="162"/>
      <c r="E23" s="162"/>
      <c r="F23" s="162"/>
      <c r="G23" s="162"/>
      <c r="H23" s="162"/>
      <c r="I23" s="18"/>
      <c r="J23" s="162"/>
      <c r="K23" s="162"/>
      <c r="L23" s="162"/>
      <c r="M23" s="162"/>
      <c r="N23" s="162"/>
      <c r="O23" s="18"/>
      <c r="P23" s="162"/>
      <c r="Q23" s="162"/>
      <c r="R23" s="162"/>
      <c r="S23" s="162"/>
      <c r="T23" s="162"/>
      <c r="U23" s="18"/>
      <c r="V23" s="162"/>
      <c r="W23" s="162"/>
      <c r="X23" s="162"/>
      <c r="Y23" s="162"/>
      <c r="Z23" s="162"/>
      <c r="AA23" s="18"/>
      <c r="AB23" s="162"/>
      <c r="AC23" s="162"/>
      <c r="AD23" s="162"/>
      <c r="AE23" s="162"/>
      <c r="AF23" s="162"/>
      <c r="AG23" s="18"/>
      <c r="AH23" s="162"/>
      <c r="AI23" s="18"/>
      <c r="AJ23" s="163"/>
      <c r="AK23" s="18"/>
      <c r="AL23" s="163"/>
      <c r="AM23" s="163"/>
    </row>
    <row r="24" spans="1:55" s="41" customFormat="1" ht="15" customHeight="1" x14ac:dyDescent="0.3">
      <c r="B24" s="164"/>
      <c r="C24" s="18"/>
      <c r="D24" s="813">
        <f>D$8</f>
        <v>2022</v>
      </c>
      <c r="E24" s="813">
        <f>F24</f>
        <v>0</v>
      </c>
      <c r="F24" s="813">
        <f>F$8</f>
        <v>0</v>
      </c>
      <c r="G24" s="813">
        <f>F24</f>
        <v>0</v>
      </c>
      <c r="H24" s="813">
        <f>F24</f>
        <v>0</v>
      </c>
      <c r="I24" s="169"/>
      <c r="J24" s="813">
        <f>J$8</f>
        <v>2023</v>
      </c>
      <c r="K24" s="813">
        <f>L24</f>
        <v>0</v>
      </c>
      <c r="L24" s="813">
        <f>L$8</f>
        <v>0</v>
      </c>
      <c r="M24" s="813">
        <f>L24</f>
        <v>0</v>
      </c>
      <c r="N24" s="813">
        <f>L24</f>
        <v>0</v>
      </c>
      <c r="O24" s="169"/>
      <c r="P24" s="813">
        <f>P$8</f>
        <v>2024</v>
      </c>
      <c r="Q24" s="813">
        <f>R24</f>
        <v>0</v>
      </c>
      <c r="R24" s="813">
        <f>R$8</f>
        <v>0</v>
      </c>
      <c r="S24" s="813">
        <f>R24</f>
        <v>0</v>
      </c>
      <c r="T24" s="813">
        <f>R24</f>
        <v>0</v>
      </c>
      <c r="U24" s="169"/>
      <c r="V24" s="812">
        <f>V$8</f>
        <v>2025</v>
      </c>
      <c r="W24" s="812">
        <f>X24</f>
        <v>0</v>
      </c>
      <c r="X24" s="812">
        <f>X$8</f>
        <v>0</v>
      </c>
      <c r="Y24" s="812">
        <f>X24</f>
        <v>0</v>
      </c>
      <c r="Z24" s="812">
        <f>X24</f>
        <v>0</v>
      </c>
      <c r="AA24" s="169"/>
      <c r="AB24" s="812">
        <f>AB$8</f>
        <v>2026</v>
      </c>
      <c r="AC24" s="812">
        <f>AD24</f>
        <v>0</v>
      </c>
      <c r="AD24" s="812">
        <f>AD$8</f>
        <v>0</v>
      </c>
      <c r="AE24" s="812">
        <f>AD24</f>
        <v>0</v>
      </c>
      <c r="AF24" s="812">
        <f>AD24</f>
        <v>0</v>
      </c>
      <c r="AG24" s="171"/>
      <c r="AH24" s="166">
        <f>AH$8</f>
        <v>2027</v>
      </c>
      <c r="AI24" s="167"/>
      <c r="AJ24" s="166">
        <f>AJ$8</f>
        <v>2028</v>
      </c>
      <c r="AK24" s="167"/>
      <c r="AL24" s="166">
        <f>AL$8</f>
        <v>2029</v>
      </c>
      <c r="AM24" s="163">
        <f>AN24</f>
        <v>0</v>
      </c>
    </row>
    <row r="25" spans="1:55" s="41" customFormat="1" ht="14.25" customHeight="1" x14ac:dyDescent="0.3">
      <c r="B25" s="164"/>
      <c r="C25" s="18"/>
      <c r="D25" s="168" t="s">
        <v>36</v>
      </c>
      <c r="E25" s="168" t="s">
        <v>37</v>
      </c>
      <c r="F25" s="168" t="s">
        <v>38</v>
      </c>
      <c r="G25" s="168" t="s">
        <v>39</v>
      </c>
      <c r="H25" s="168" t="s">
        <v>40</v>
      </c>
      <c r="I25" s="165"/>
      <c r="J25" s="168" t="s">
        <v>36</v>
      </c>
      <c r="K25" s="168" t="s">
        <v>37</v>
      </c>
      <c r="L25" s="168" t="s">
        <v>38</v>
      </c>
      <c r="M25" s="168" t="s">
        <v>39</v>
      </c>
      <c r="N25" s="168" t="s">
        <v>40</v>
      </c>
      <c r="O25" s="165"/>
      <c r="P25" s="168" t="s">
        <v>36</v>
      </c>
      <c r="Q25" s="168" t="s">
        <v>37</v>
      </c>
      <c r="R25" s="168" t="s">
        <v>38</v>
      </c>
      <c r="S25" s="168" t="s">
        <v>39</v>
      </c>
      <c r="T25" s="168" t="s">
        <v>40</v>
      </c>
      <c r="U25" s="165"/>
      <c r="V25" s="168" t="s">
        <v>36</v>
      </c>
      <c r="W25" s="168" t="s">
        <v>37</v>
      </c>
      <c r="X25" s="168" t="s">
        <v>38</v>
      </c>
      <c r="Y25" s="168" t="s">
        <v>39</v>
      </c>
      <c r="Z25" s="168" t="s">
        <v>40</v>
      </c>
      <c r="AA25" s="165"/>
      <c r="AB25" s="168" t="s">
        <v>36</v>
      </c>
      <c r="AC25" s="168" t="s">
        <v>37</v>
      </c>
      <c r="AD25" s="168" t="s">
        <v>38</v>
      </c>
      <c r="AE25" s="168" t="s">
        <v>39</v>
      </c>
      <c r="AF25" s="168" t="s">
        <v>40</v>
      </c>
      <c r="AG25" s="165"/>
      <c r="AH25" s="168" t="s">
        <v>40</v>
      </c>
      <c r="AI25" s="165"/>
      <c r="AJ25" s="168" t="s">
        <v>40</v>
      </c>
      <c r="AK25" s="165"/>
      <c r="AL25" s="168" t="s">
        <v>40</v>
      </c>
      <c r="AM25" s="163"/>
    </row>
    <row r="26" spans="1:55" s="41" customFormat="1" ht="4.3499999999999996" customHeight="1" x14ac:dyDescent="0.3">
      <c r="A26" s="43"/>
      <c r="B26" s="176"/>
      <c r="C26" s="35"/>
      <c r="D26" s="177"/>
      <c r="E26" s="177"/>
      <c r="F26" s="177"/>
      <c r="G26" s="177"/>
      <c r="H26" s="177"/>
      <c r="I26" s="178"/>
      <c r="J26" s="177"/>
      <c r="K26" s="177"/>
      <c r="L26" s="177"/>
      <c r="M26" s="177"/>
      <c r="N26" s="177"/>
      <c r="O26" s="178"/>
      <c r="P26" s="177"/>
      <c r="Q26" s="177"/>
      <c r="R26" s="177"/>
      <c r="S26" s="177"/>
      <c r="T26" s="177"/>
      <c r="U26" s="178"/>
      <c r="V26" s="177"/>
      <c r="W26" s="177"/>
      <c r="X26" s="177"/>
      <c r="Y26" s="177"/>
      <c r="Z26" s="179"/>
      <c r="AA26" s="180"/>
      <c r="AB26" s="179"/>
      <c r="AC26" s="179"/>
      <c r="AD26" s="179"/>
      <c r="AE26" s="179"/>
      <c r="AF26" s="179"/>
      <c r="AG26" s="180"/>
      <c r="AH26" s="179"/>
      <c r="AI26" s="180"/>
      <c r="AJ26" s="179"/>
      <c r="AK26" s="180"/>
      <c r="AL26" s="179"/>
      <c r="AM26" s="179"/>
    </row>
    <row r="27" spans="1:55" s="54" customFormat="1" ht="4.3499999999999996" customHeight="1" x14ac:dyDescent="0.25">
      <c r="A27" s="44"/>
      <c r="B27" s="45"/>
      <c r="C27" s="23"/>
      <c r="D27" s="66"/>
      <c r="E27" s="66"/>
      <c r="F27" s="66"/>
      <c r="G27" s="66"/>
      <c r="H27" s="57"/>
      <c r="I27" s="57"/>
      <c r="J27" s="66"/>
      <c r="K27" s="66"/>
      <c r="L27" s="66"/>
      <c r="M27" s="66"/>
      <c r="N27" s="57"/>
      <c r="O27" s="57"/>
      <c r="P27" s="66"/>
      <c r="Q27" s="66"/>
      <c r="R27" s="66"/>
      <c r="S27" s="66"/>
      <c r="T27" s="57"/>
      <c r="U27" s="71"/>
      <c r="V27" s="66"/>
      <c r="W27" s="66"/>
      <c r="X27" s="68"/>
      <c r="Y27" s="68"/>
      <c r="Z27" s="57"/>
      <c r="AA27" s="71"/>
      <c r="AB27" s="68"/>
      <c r="AC27" s="68"/>
      <c r="AD27" s="68"/>
      <c r="AE27" s="68"/>
      <c r="AF27" s="57"/>
      <c r="AG27" s="71"/>
      <c r="AH27" s="58"/>
      <c r="AI27" s="72"/>
      <c r="AJ27" s="58"/>
    </row>
    <row r="28" spans="1:55" s="54" customFormat="1" ht="14.25" customHeight="1" x14ac:dyDescent="0.3">
      <c r="A28" s="44"/>
      <c r="B28" s="161" t="s">
        <v>528</v>
      </c>
      <c r="C28" s="186"/>
      <c r="D28" s="187"/>
      <c r="E28" s="187"/>
      <c r="F28" s="187"/>
      <c r="G28" s="187"/>
      <c r="H28" s="188"/>
      <c r="I28" s="188"/>
      <c r="J28" s="187"/>
      <c r="K28" s="187"/>
      <c r="L28" s="187"/>
      <c r="M28" s="187"/>
      <c r="N28" s="188"/>
      <c r="O28" s="188"/>
      <c r="P28" s="187"/>
      <c r="Q28" s="187"/>
      <c r="R28" s="187"/>
      <c r="S28" s="187"/>
      <c r="T28" s="188"/>
      <c r="U28" s="189"/>
      <c r="V28" s="187"/>
      <c r="W28" s="187"/>
      <c r="X28" s="190"/>
      <c r="Y28" s="190"/>
      <c r="Z28" s="188"/>
      <c r="AA28" s="189"/>
      <c r="AB28" s="190"/>
      <c r="AC28" s="190"/>
      <c r="AD28" s="190"/>
      <c r="AE28" s="190"/>
      <c r="AF28" s="188"/>
      <c r="AG28" s="189"/>
      <c r="AH28" s="191"/>
      <c r="AI28" s="192"/>
      <c r="AJ28" s="191"/>
      <c r="AK28" s="193"/>
      <c r="AL28" s="193"/>
      <c r="AM28" s="193"/>
    </row>
    <row r="29" spans="1:55" s="54" customFormat="1" ht="4.3499999999999996" customHeight="1" x14ac:dyDescent="0.25">
      <c r="A29" s="44"/>
      <c r="B29" s="194"/>
      <c r="C29" s="36"/>
      <c r="D29" s="195"/>
      <c r="E29" s="195"/>
      <c r="F29" s="195"/>
      <c r="G29" s="195"/>
      <c r="H29" s="196"/>
      <c r="I29" s="196"/>
      <c r="J29" s="195"/>
      <c r="K29" s="195"/>
      <c r="L29" s="195"/>
      <c r="M29" s="195"/>
      <c r="N29" s="196"/>
      <c r="O29" s="196"/>
      <c r="P29" s="195"/>
      <c r="Q29" s="195"/>
      <c r="R29" s="195"/>
      <c r="S29" s="195"/>
      <c r="T29" s="196"/>
      <c r="U29" s="197"/>
      <c r="V29" s="195"/>
      <c r="W29" s="195"/>
      <c r="X29" s="198"/>
      <c r="Y29" s="198"/>
      <c r="Z29" s="196"/>
      <c r="AA29" s="197"/>
      <c r="AB29" s="198"/>
      <c r="AC29" s="198"/>
      <c r="AD29" s="198"/>
      <c r="AE29" s="198"/>
      <c r="AF29" s="196"/>
      <c r="AG29" s="197"/>
      <c r="AH29" s="199"/>
      <c r="AI29" s="200"/>
      <c r="AJ29" s="199"/>
      <c r="AK29" s="201"/>
      <c r="AL29" s="201"/>
      <c r="AM29" s="201"/>
    </row>
    <row r="30" spans="1:55" s="54" customFormat="1" ht="4.3499999999999996" customHeight="1" x14ac:dyDescent="0.25">
      <c r="A30" s="44"/>
      <c r="B30" s="45"/>
      <c r="C30" s="23"/>
      <c r="D30" s="66"/>
      <c r="E30" s="66"/>
      <c r="F30" s="66"/>
      <c r="G30" s="66"/>
      <c r="H30" s="57"/>
      <c r="I30" s="57"/>
      <c r="J30" s="66"/>
      <c r="K30" s="66"/>
      <c r="L30" s="66"/>
      <c r="M30" s="66"/>
      <c r="N30" s="57"/>
      <c r="O30" s="57"/>
      <c r="P30" s="66"/>
      <c r="Q30" s="66"/>
      <c r="R30" s="66"/>
      <c r="S30" s="66"/>
      <c r="T30" s="57"/>
      <c r="U30" s="49"/>
      <c r="V30" s="66"/>
      <c r="W30" s="66"/>
      <c r="X30" s="68"/>
      <c r="Y30" s="68"/>
      <c r="Z30" s="57"/>
      <c r="AA30" s="71"/>
      <c r="AB30" s="68"/>
      <c r="AC30" s="68"/>
      <c r="AD30" s="68"/>
      <c r="AE30" s="68"/>
      <c r="AF30" s="57"/>
      <c r="AG30" s="71"/>
      <c r="AH30" s="58"/>
      <c r="AI30" s="72"/>
      <c r="AJ30" s="58"/>
    </row>
    <row r="31" spans="1:55" s="54" customFormat="1" ht="14.25" customHeight="1" x14ac:dyDescent="0.3">
      <c r="A31" s="44"/>
      <c r="B31" s="28" t="s">
        <v>526</v>
      </c>
      <c r="C31" s="23"/>
      <c r="D31" s="50">
        <f>IS!P18</f>
        <v>9569</v>
      </c>
      <c r="E31" s="50">
        <f>IS!Q18</f>
        <v>13370</v>
      </c>
      <c r="F31" s="50">
        <f>IS!R18</f>
        <v>14102</v>
      </c>
      <c r="G31" s="50">
        <f>IS!S18</f>
        <v>15536</v>
      </c>
      <c r="H31" s="58">
        <f>IS!T18</f>
        <v>52577</v>
      </c>
      <c r="I31" s="57"/>
      <c r="J31" s="50">
        <f>IS!V18</f>
        <v>12652</v>
      </c>
      <c r="K31" s="50">
        <f>IS!W18</f>
        <v>17387</v>
      </c>
      <c r="L31" s="50">
        <f>IS!X18</f>
        <v>15801</v>
      </c>
      <c r="M31" s="50">
        <f>IS!Y18</f>
        <v>15412</v>
      </c>
      <c r="N31" s="58">
        <f>IS!Z18</f>
        <v>61251</v>
      </c>
      <c r="O31" s="57"/>
      <c r="P31" s="50">
        <f>IS!AB18</f>
        <v>12185</v>
      </c>
      <c r="Q31" s="50">
        <f>IS!AC18</f>
        <v>15235</v>
      </c>
      <c r="R31" s="50">
        <f>IS!AD18</f>
        <v>13152</v>
      </c>
      <c r="S31" s="50">
        <f>IS!AE18</f>
        <v>11143</v>
      </c>
      <c r="T31" s="58">
        <f>IS!AF18</f>
        <v>51716</v>
      </c>
      <c r="U31" s="49"/>
      <c r="V31" s="50">
        <f>IS!AH18</f>
        <v>8508</v>
      </c>
      <c r="W31" s="50">
        <f>IS!AI18</f>
        <v>12763</v>
      </c>
      <c r="X31" s="300">
        <f>12018</f>
        <v>12018</v>
      </c>
      <c r="Y31" s="300">
        <f>(Z31-V31-W31-X31)</f>
        <v>11844.900000000001</v>
      </c>
      <c r="Z31" s="57">
        <f>Z21</f>
        <v>45133.9</v>
      </c>
      <c r="AA31" s="71"/>
      <c r="AB31" s="300">
        <v>9000</v>
      </c>
      <c r="AC31" s="300">
        <v>12000</v>
      </c>
      <c r="AD31" s="300">
        <v>13000</v>
      </c>
      <c r="AE31" s="300">
        <v>13913</v>
      </c>
      <c r="AF31" s="57">
        <f>AF21</f>
        <v>47912.53</v>
      </c>
      <c r="AG31" s="71"/>
      <c r="AH31" s="317">
        <f>AH21</f>
        <v>53088.25</v>
      </c>
      <c r="AI31" s="317">
        <f t="shared" ref="AI31:AK31" si="1">AI21</f>
        <v>0</v>
      </c>
      <c r="AJ31" s="317">
        <f t="shared" si="1"/>
        <v>60223.18</v>
      </c>
      <c r="AK31" s="317">
        <f t="shared" si="1"/>
        <v>0</v>
      </c>
      <c r="AL31" s="317">
        <f>AL21</f>
        <v>63073.979505331896</v>
      </c>
      <c r="AS31" s="312"/>
      <c r="AT31" s="312"/>
      <c r="AU31" s="312"/>
      <c r="AV31" s="312"/>
      <c r="AW31" s="312"/>
      <c r="AX31" s="312"/>
      <c r="AY31" s="312"/>
      <c r="AZ31" s="312"/>
    </row>
    <row r="32" spans="1:55" s="54" customFormat="1" ht="14.25" customHeight="1" x14ac:dyDescent="0.25">
      <c r="A32" s="55"/>
      <c r="B32" s="31" t="s">
        <v>529</v>
      </c>
      <c r="C32" s="23"/>
      <c r="D32" s="305">
        <f>D31/IS!J18-1</f>
        <v>5.0153643546970939E-2</v>
      </c>
      <c r="E32" s="305">
        <f>E31/IS!K18-1</f>
        <v>0.10880743075136845</v>
      </c>
      <c r="F32" s="305">
        <f>F31/IS!L18-1</f>
        <v>0.22338856597553569</v>
      </c>
      <c r="G32" s="305">
        <f>G31/IS!M18-1</f>
        <v>0.37159000617992399</v>
      </c>
      <c r="H32" s="306">
        <f>H31/IS!N18-1</f>
        <v>0.19428039251317464</v>
      </c>
      <c r="I32" s="57"/>
      <c r="J32" s="305">
        <f>J31/IS!P18-1</f>
        <v>0.32218622635594096</v>
      </c>
      <c r="K32" s="305">
        <f>K31/IS!Q18-1</f>
        <v>0.30044876589379199</v>
      </c>
      <c r="L32" s="305">
        <f>L31/IS!R18-1</f>
        <v>0.12047936462913067</v>
      </c>
      <c r="M32" s="305">
        <f>M31/IS!S18-1</f>
        <v>-7.9814624098867304E-3</v>
      </c>
      <c r="N32" s="306">
        <f>N31/H31-1</f>
        <v>0.16497708123323895</v>
      </c>
      <c r="O32" s="57"/>
      <c r="P32" s="305">
        <f>P31/IS!V18-1</f>
        <v>-3.6911160290863054E-2</v>
      </c>
      <c r="Q32" s="305">
        <f>Q31/IS!W18-1</f>
        <v>-0.12377063323172488</v>
      </c>
      <c r="R32" s="305">
        <f>R31/IS!X18-1</f>
        <v>-0.16764761723941524</v>
      </c>
      <c r="S32" s="305">
        <f>S31/IS!Y18-1</f>
        <v>-0.27699195432130808</v>
      </c>
      <c r="T32" s="306">
        <f>T31/N31-1</f>
        <v>-0.15567092782158654</v>
      </c>
      <c r="U32" s="49"/>
      <c r="V32" s="305">
        <f>V31/IS!AB18-1</f>
        <v>-0.30176446450553962</v>
      </c>
      <c r="W32" s="305">
        <f>W31/IS!AC18-1</f>
        <v>-0.16225795864785031</v>
      </c>
      <c r="X32" s="305">
        <f>X31/IS!AD18-1</f>
        <v>-8.6222627737226332E-2</v>
      </c>
      <c r="Y32" s="305">
        <f>Y31/IS!AE18-1</f>
        <v>6.2990218074127302E-2</v>
      </c>
      <c r="Z32" s="306">
        <f>Z31/T31-1</f>
        <v>-0.12727395776935568</v>
      </c>
      <c r="AA32" s="71"/>
      <c r="AB32" s="305">
        <f>AB31/IS!AH18-1</f>
        <v>5.7827926657263662E-2</v>
      </c>
      <c r="AC32" s="305">
        <f>AC31/IS!AI18-1</f>
        <v>-5.9782182872365475E-2</v>
      </c>
      <c r="AD32" s="305">
        <f>AD31/X31-1</f>
        <v>8.171076718255943E-2</v>
      </c>
      <c r="AE32" s="305">
        <f>AE31/Y31-1</f>
        <v>0.17459835034487403</v>
      </c>
      <c r="AF32" s="306">
        <f>AF31/Z31-1</f>
        <v>6.1564145797283087E-2</v>
      </c>
      <c r="AG32" s="71"/>
      <c r="AH32" s="306">
        <f>AH31/AF31-1</f>
        <v>0.10802435187622117</v>
      </c>
      <c r="AI32" s="72"/>
      <c r="AJ32" s="306">
        <f>AJ31/AH31-1</f>
        <v>0.1343975361779679</v>
      </c>
      <c r="AL32" s="306">
        <f>AL31/AJ31-1</f>
        <v>4.7337246311667691E-2</v>
      </c>
    </row>
    <row r="33" spans="2:45" s="54" customFormat="1" ht="14.25" customHeight="1" x14ac:dyDescent="0.25">
      <c r="B33" s="31"/>
      <c r="C33" s="23"/>
      <c r="D33" s="305"/>
      <c r="E33" s="305"/>
      <c r="F33" s="305"/>
      <c r="G33" s="305"/>
      <c r="H33" s="308"/>
      <c r="I33" s="48"/>
      <c r="J33" s="305"/>
      <c r="K33" s="305"/>
      <c r="L33" s="305"/>
      <c r="M33" s="305"/>
      <c r="N33" s="308"/>
      <c r="O33" s="71"/>
      <c r="P33" s="305"/>
      <c r="Q33" s="305"/>
      <c r="R33" s="305"/>
      <c r="S33" s="305"/>
      <c r="T33" s="308"/>
      <c r="U33" s="49"/>
      <c r="V33" s="305"/>
      <c r="W33" s="305"/>
      <c r="X33" s="50"/>
      <c r="Y33" s="50"/>
      <c r="Z33" s="66"/>
      <c r="AA33" s="71"/>
      <c r="AB33" s="50"/>
      <c r="AC33" s="50"/>
      <c r="AD33" s="50"/>
      <c r="AE33" s="50"/>
      <c r="AF33" s="66"/>
      <c r="AG33" s="71"/>
      <c r="AH33" s="68"/>
      <c r="AI33" s="72"/>
      <c r="AJ33" s="68"/>
    </row>
    <row r="34" spans="2:45" s="54" customFormat="1" ht="14.25" customHeight="1" x14ac:dyDescent="0.3">
      <c r="B34" s="28" t="s">
        <v>530</v>
      </c>
      <c r="C34" s="23"/>
      <c r="D34" s="50">
        <f>IS!P21</f>
        <v>6695</v>
      </c>
      <c r="E34" s="50">
        <f>IS!Q21</f>
        <v>8918</v>
      </c>
      <c r="F34" s="50">
        <f>IS!R21</f>
        <v>9511</v>
      </c>
      <c r="G34" s="50">
        <f>IS!S21</f>
        <v>10214</v>
      </c>
      <c r="H34" s="58">
        <f>IS!T21</f>
        <v>35338</v>
      </c>
      <c r="I34" s="57"/>
      <c r="J34" s="50">
        <f>IS!V21</f>
        <v>7934</v>
      </c>
      <c r="K34" s="50">
        <f>IS!W21</f>
        <v>10730</v>
      </c>
      <c r="L34" s="50">
        <f>IS!X21</f>
        <v>9624</v>
      </c>
      <c r="M34" s="50">
        <f>IS!Y21</f>
        <v>9427</v>
      </c>
      <c r="N34" s="58">
        <f>IS!Z21</f>
        <v>37715</v>
      </c>
      <c r="O34" s="57"/>
      <c r="P34" s="50">
        <f>IS!AB21</f>
        <v>7200</v>
      </c>
      <c r="Q34" s="50">
        <f>IS!AC21</f>
        <v>9157</v>
      </c>
      <c r="R34" s="50">
        <f>IS!AD21</f>
        <v>7848</v>
      </c>
      <c r="S34" s="50">
        <f>IS!AE21</f>
        <v>6571</v>
      </c>
      <c r="T34" s="58">
        <f>IS!AF21</f>
        <v>30775</v>
      </c>
      <c r="U34" s="49"/>
      <c r="V34" s="50">
        <f>IS!AH21</f>
        <v>5037</v>
      </c>
      <c r="W34" s="50">
        <f>IS!AI21</f>
        <v>7609</v>
      </c>
      <c r="X34" s="46">
        <v>7570</v>
      </c>
      <c r="Y34" s="46">
        <f>(Y35+Sensitivity!$U$39)*Y$31</f>
        <v>7462.2870000000012</v>
      </c>
      <c r="Z34" s="57">
        <f>SUM(V34:Y34)</f>
        <v>27678.287</v>
      </c>
      <c r="AA34" s="71"/>
      <c r="AB34" s="46">
        <f>(AB35+Sensitivity!$U$39)*AB$31</f>
        <v>5850</v>
      </c>
      <c r="AC34" s="46">
        <f>(AC35+Sensitivity!$U$39)*AC$31</f>
        <v>7800</v>
      </c>
      <c r="AD34" s="46">
        <f>(AD35+Sensitivity!$U$39)*AD$31</f>
        <v>8320</v>
      </c>
      <c r="AE34" s="46">
        <f>(AE35+Sensitivity!$U$39)*AE$31</f>
        <v>8904.32</v>
      </c>
      <c r="AF34" s="57">
        <f>SUM(AB34:AE34)</f>
        <v>30874.32</v>
      </c>
      <c r="AG34" s="71"/>
      <c r="AH34" s="57">
        <f>(AH35+Sensitivity!$U$39)*AH$31</f>
        <v>34507.362500000003</v>
      </c>
      <c r="AI34" s="72"/>
      <c r="AJ34" s="57">
        <f>(AJ35+Sensitivity!$U$39)*AJ$31</f>
        <v>37940.6034</v>
      </c>
      <c r="AL34" s="57">
        <f>(AL35+Sensitivity!$U$39)*AL$31</f>
        <v>37844.387703199136</v>
      </c>
    </row>
    <row r="35" spans="2:45" s="54" customFormat="1" ht="14.25" customHeight="1" x14ac:dyDescent="0.25">
      <c r="B35" s="31" t="s">
        <v>531</v>
      </c>
      <c r="C35" s="23"/>
      <c r="D35" s="305">
        <f>D34/D31</f>
        <v>0.6996551363778869</v>
      </c>
      <c r="E35" s="305">
        <f t="shared" ref="E35:H35" si="2">E34/E31</f>
        <v>0.66701570680628275</v>
      </c>
      <c r="F35" s="305">
        <f t="shared" si="2"/>
        <v>0.67444334137001849</v>
      </c>
      <c r="G35" s="305">
        <f>G34/G31</f>
        <v>0.65744078269824924</v>
      </c>
      <c r="H35" s="306">
        <f t="shared" si="2"/>
        <v>0.67211898738992337</v>
      </c>
      <c r="I35" s="57"/>
      <c r="J35" s="305">
        <f>J34/J31</f>
        <v>0.62709453050901043</v>
      </c>
      <c r="K35" s="305">
        <f t="shared" ref="K35:N35" si="3">K34/K31</f>
        <v>0.61712773911543106</v>
      </c>
      <c r="L35" s="305">
        <f t="shared" si="3"/>
        <v>0.60907537497626729</v>
      </c>
      <c r="M35" s="305">
        <f t="shared" si="3"/>
        <v>0.61166623410329612</v>
      </c>
      <c r="N35" s="306">
        <f t="shared" si="3"/>
        <v>0.61574504906042349</v>
      </c>
      <c r="O35" s="57"/>
      <c r="P35" s="305">
        <f>P34/P31</f>
        <v>0.59089043906442351</v>
      </c>
      <c r="Q35" s="305">
        <f t="shared" ref="Q35:T35" si="4">Q34/Q31</f>
        <v>0.60105021332458153</v>
      </c>
      <c r="R35" s="305">
        <f t="shared" si="4"/>
        <v>0.59671532846715325</v>
      </c>
      <c r="S35" s="305">
        <f t="shared" si="4"/>
        <v>0.5896975679798977</v>
      </c>
      <c r="T35" s="306">
        <f t="shared" si="4"/>
        <v>0.59507695877484723</v>
      </c>
      <c r="U35" s="49"/>
      <c r="V35" s="305">
        <f>V34/V31</f>
        <v>0.59203102961918197</v>
      </c>
      <c r="W35" s="305">
        <f t="shared" ref="W35" si="5">W34/W31</f>
        <v>0.59617644754368093</v>
      </c>
      <c r="X35" s="316">
        <f>X34/X31</f>
        <v>0.6298885005824596</v>
      </c>
      <c r="Y35" s="316">
        <v>0.63</v>
      </c>
      <c r="Z35" s="306">
        <f>Z34/Z31</f>
        <v>0.61324829008793835</v>
      </c>
      <c r="AA35" s="71"/>
      <c r="AB35" s="316">
        <v>0.65</v>
      </c>
      <c r="AC35" s="316">
        <v>0.65</v>
      </c>
      <c r="AD35" s="316">
        <v>0.64</v>
      </c>
      <c r="AE35" s="316">
        <v>0.64</v>
      </c>
      <c r="AF35" s="306">
        <f>AF34/AF31</f>
        <v>0.64438926518804163</v>
      </c>
      <c r="AG35" s="71"/>
      <c r="AH35" s="316">
        <v>0.65</v>
      </c>
      <c r="AI35" s="72"/>
      <c r="AJ35" s="316">
        <v>0.63</v>
      </c>
      <c r="AL35" s="316">
        <v>0.6</v>
      </c>
    </row>
    <row r="36" spans="2:45" s="54" customFormat="1" ht="14.25" customHeight="1" x14ac:dyDescent="0.25">
      <c r="B36" s="31"/>
      <c r="C36" s="23"/>
      <c r="D36" s="46"/>
      <c r="E36" s="46"/>
      <c r="F36" s="46"/>
      <c r="G36" s="46"/>
      <c r="H36" s="57"/>
      <c r="I36" s="57"/>
      <c r="J36" s="46"/>
      <c r="K36" s="46"/>
      <c r="L36" s="46"/>
      <c r="M36" s="46"/>
      <c r="N36" s="57"/>
      <c r="O36" s="57"/>
      <c r="P36" s="46"/>
      <c r="Q36" s="46"/>
      <c r="R36" s="46"/>
      <c r="S36" s="46"/>
      <c r="T36" s="57"/>
      <c r="U36" s="49"/>
      <c r="V36" s="46"/>
      <c r="W36" s="46"/>
      <c r="X36" s="50"/>
      <c r="Y36" s="50"/>
      <c r="Z36" s="57"/>
      <c r="AA36" s="71"/>
      <c r="AB36" s="50"/>
      <c r="AC36" s="50"/>
      <c r="AD36" s="50"/>
      <c r="AE36" s="50"/>
      <c r="AF36" s="57"/>
      <c r="AG36" s="71"/>
      <c r="AH36" s="58"/>
      <c r="AI36" s="72"/>
      <c r="AJ36" s="58"/>
    </row>
    <row r="37" spans="2:45" s="54" customFormat="1" ht="14.25" customHeight="1" x14ac:dyDescent="0.3">
      <c r="B37" s="28" t="s">
        <v>532</v>
      </c>
      <c r="C37" s="23"/>
      <c r="D37" s="50">
        <f>IS!P22</f>
        <v>0</v>
      </c>
      <c r="E37" s="50">
        <f>IS!Q22</f>
        <v>0</v>
      </c>
      <c r="F37" s="50">
        <f>IS!R22</f>
        <v>0</v>
      </c>
      <c r="G37" s="50">
        <f>IS!S22</f>
        <v>0</v>
      </c>
      <c r="H37" s="58">
        <f>IS!T22</f>
        <v>0</v>
      </c>
      <c r="I37" s="57"/>
      <c r="J37" s="50">
        <f>IS!V22</f>
        <v>0</v>
      </c>
      <c r="K37" s="50">
        <f>IS!W22</f>
        <v>0</v>
      </c>
      <c r="L37" s="50">
        <f>IS!X22</f>
        <v>0</v>
      </c>
      <c r="M37" s="50">
        <f>IS!Y22</f>
        <v>0</v>
      </c>
      <c r="N37" s="58">
        <f>IS!Z22</f>
        <v>0</v>
      </c>
      <c r="O37" s="57"/>
      <c r="P37" s="50">
        <f>IS!AB22</f>
        <v>0</v>
      </c>
      <c r="Q37" s="50">
        <f>IS!AC22</f>
        <v>0</v>
      </c>
      <c r="R37" s="50">
        <f>IS!AD22</f>
        <v>0</v>
      </c>
      <c r="S37" s="50">
        <f>IS!AE22</f>
        <v>0</v>
      </c>
      <c r="T37" s="58">
        <f>IS!AF22</f>
        <v>0</v>
      </c>
      <c r="U37" s="49"/>
      <c r="V37" s="50">
        <f>IS!AH22</f>
        <v>0</v>
      </c>
      <c r="W37" s="50">
        <f>IS!AI22</f>
        <v>0</v>
      </c>
      <c r="X37" s="46">
        <f>X38*X34</f>
        <v>0</v>
      </c>
      <c r="Y37" s="46">
        <f>Y38*Y34</f>
        <v>0</v>
      </c>
      <c r="Z37" s="57">
        <f>SUM(V37:Y37)</f>
        <v>0</v>
      </c>
      <c r="AA37" s="71"/>
      <c r="AB37" s="46">
        <f t="shared" ref="AB37:AE37" si="6">AB38*AB34</f>
        <v>0</v>
      </c>
      <c r="AC37" s="46">
        <f t="shared" si="6"/>
        <v>0</v>
      </c>
      <c r="AD37" s="46">
        <f t="shared" si="6"/>
        <v>0</v>
      </c>
      <c r="AE37" s="46">
        <f t="shared" si="6"/>
        <v>0</v>
      </c>
      <c r="AF37" s="57">
        <f>SUM(AB37:AE37)</f>
        <v>0</v>
      </c>
      <c r="AG37" s="71"/>
      <c r="AH37" s="57">
        <f t="shared" ref="AH37:AL37" si="7">AH38*AH34</f>
        <v>0</v>
      </c>
      <c r="AI37" s="72"/>
      <c r="AJ37" s="57">
        <f t="shared" si="7"/>
        <v>0</v>
      </c>
      <c r="AL37" s="57">
        <f t="shared" si="7"/>
        <v>0</v>
      </c>
    </row>
    <row r="38" spans="2:45" s="54" customFormat="1" ht="14.25" customHeight="1" x14ac:dyDescent="0.25">
      <c r="B38" s="31" t="s">
        <v>533</v>
      </c>
      <c r="C38" s="23"/>
      <c r="D38" s="307">
        <f>D37/D34</f>
        <v>0</v>
      </c>
      <c r="E38" s="307">
        <f t="shared" ref="E38:H38" si="8">E37/E34</f>
        <v>0</v>
      </c>
      <c r="F38" s="307">
        <f t="shared" si="8"/>
        <v>0</v>
      </c>
      <c r="G38" s="307">
        <f t="shared" si="8"/>
        <v>0</v>
      </c>
      <c r="H38" s="306">
        <f t="shared" si="8"/>
        <v>0</v>
      </c>
      <c r="I38" s="57"/>
      <c r="J38" s="307">
        <f>J37/J34</f>
        <v>0</v>
      </c>
      <c r="K38" s="307">
        <f t="shared" ref="K38:N38" si="9">K37/K34</f>
        <v>0</v>
      </c>
      <c r="L38" s="307">
        <f t="shared" si="9"/>
        <v>0</v>
      </c>
      <c r="M38" s="307">
        <f t="shared" si="9"/>
        <v>0</v>
      </c>
      <c r="N38" s="306">
        <f t="shared" si="9"/>
        <v>0</v>
      </c>
      <c r="O38" s="57"/>
      <c r="P38" s="307">
        <f>P37/P34</f>
        <v>0</v>
      </c>
      <c r="Q38" s="307">
        <f t="shared" ref="Q38:T38" si="10">Q37/Q34</f>
        <v>0</v>
      </c>
      <c r="R38" s="307">
        <f t="shared" si="10"/>
        <v>0</v>
      </c>
      <c r="S38" s="307">
        <f t="shared" si="10"/>
        <v>0</v>
      </c>
      <c r="T38" s="306">
        <f t="shared" si="10"/>
        <v>0</v>
      </c>
      <c r="U38" s="49"/>
      <c r="V38" s="307">
        <f>V37/V34</f>
        <v>0</v>
      </c>
      <c r="W38" s="307">
        <f t="shared" ref="W38" si="11">W37/W34</f>
        <v>0</v>
      </c>
      <c r="X38" s="316">
        <v>0</v>
      </c>
      <c r="Y38" s="316">
        <v>0</v>
      </c>
      <c r="Z38" s="306">
        <f>Z37/Z34</f>
        <v>0</v>
      </c>
      <c r="AA38" s="71"/>
      <c r="AB38" s="316">
        <v>0</v>
      </c>
      <c r="AC38" s="316">
        <v>0</v>
      </c>
      <c r="AD38" s="316">
        <v>0</v>
      </c>
      <c r="AE38" s="316">
        <v>0</v>
      </c>
      <c r="AF38" s="306">
        <f>AF37/AF34</f>
        <v>0</v>
      </c>
      <c r="AG38" s="71"/>
      <c r="AH38" s="316">
        <v>0</v>
      </c>
      <c r="AI38" s="72"/>
      <c r="AJ38" s="316">
        <v>0</v>
      </c>
      <c r="AL38" s="316">
        <v>0</v>
      </c>
    </row>
    <row r="39" spans="2:45" s="54" customFormat="1" ht="14.25" customHeight="1" x14ac:dyDescent="0.25">
      <c r="B39" s="31"/>
      <c r="C39" s="23"/>
      <c r="D39" s="60"/>
      <c r="E39" s="60"/>
      <c r="F39" s="60"/>
      <c r="G39" s="60"/>
      <c r="H39" s="181"/>
      <c r="I39" s="57"/>
      <c r="J39" s="60"/>
      <c r="K39" s="60"/>
      <c r="L39" s="60"/>
      <c r="M39" s="60"/>
      <c r="N39" s="181"/>
      <c r="O39" s="57"/>
      <c r="P39" s="60"/>
      <c r="Q39" s="60"/>
      <c r="R39" s="60"/>
      <c r="S39" s="60"/>
      <c r="T39" s="181"/>
      <c r="U39" s="49"/>
      <c r="V39" s="60"/>
      <c r="W39" s="60"/>
      <c r="X39" s="62"/>
      <c r="Y39" s="62"/>
      <c r="Z39" s="181"/>
      <c r="AA39" s="71"/>
      <c r="AB39" s="62"/>
      <c r="AC39" s="62"/>
      <c r="AD39" s="62"/>
      <c r="AE39" s="62"/>
      <c r="AF39" s="181"/>
      <c r="AG39" s="71"/>
      <c r="AH39" s="182"/>
      <c r="AI39" s="72"/>
      <c r="AJ39" s="182"/>
    </row>
    <row r="40" spans="2:45" s="54" customFormat="1" ht="14.25" customHeight="1" x14ac:dyDescent="0.3">
      <c r="B40" s="28" t="s">
        <v>534</v>
      </c>
      <c r="C40" s="23"/>
      <c r="D40" s="50">
        <f>IS!P24</f>
        <v>2874</v>
      </c>
      <c r="E40" s="50">
        <f>IS!Q24</f>
        <v>4452</v>
      </c>
      <c r="F40" s="50">
        <f>IS!R24</f>
        <v>4591</v>
      </c>
      <c r="G40" s="50">
        <f>IS!S24</f>
        <v>5322</v>
      </c>
      <c r="H40" s="58">
        <f>IS!T24</f>
        <v>17239</v>
      </c>
      <c r="I40" s="57"/>
      <c r="J40" s="50">
        <f>IS!V24</f>
        <v>4718</v>
      </c>
      <c r="K40" s="50">
        <f>IS!W24</f>
        <v>6657</v>
      </c>
      <c r="L40" s="50">
        <f>IS!X24</f>
        <v>6177</v>
      </c>
      <c r="M40" s="50">
        <f>IS!Y24</f>
        <v>5985</v>
      </c>
      <c r="N40" s="58">
        <f>IS!Z24</f>
        <v>23536</v>
      </c>
      <c r="O40" s="57"/>
      <c r="P40" s="50">
        <f>IS!AB24</f>
        <v>4985</v>
      </c>
      <c r="Q40" s="50">
        <f>IS!AC24</f>
        <v>6078</v>
      </c>
      <c r="R40" s="50">
        <f>IS!AD24</f>
        <v>5304</v>
      </c>
      <c r="S40" s="50">
        <f>IS!AE24</f>
        <v>4572</v>
      </c>
      <c r="T40" s="58">
        <f>IS!AF24</f>
        <v>20941</v>
      </c>
      <c r="U40" s="49"/>
      <c r="V40" s="50">
        <f>IS!AH24</f>
        <v>3471</v>
      </c>
      <c r="W40" s="50">
        <f>IS!AI24</f>
        <v>5154</v>
      </c>
      <c r="X40" s="46">
        <f>X31-X34-X37</f>
        <v>4448</v>
      </c>
      <c r="Y40" s="46">
        <f>Y31-Y34-Y37</f>
        <v>4382.6130000000003</v>
      </c>
      <c r="Z40" s="57">
        <f>SUM(V40:Y40)</f>
        <v>17455.613000000001</v>
      </c>
      <c r="AA40" s="71"/>
      <c r="AB40" s="46">
        <f t="shared" ref="AB40:AE40" si="12">AB31-AB34-AB37</f>
        <v>3150</v>
      </c>
      <c r="AC40" s="46">
        <f t="shared" si="12"/>
        <v>4200</v>
      </c>
      <c r="AD40" s="46">
        <f t="shared" si="12"/>
        <v>4680</v>
      </c>
      <c r="AE40" s="46">
        <f t="shared" si="12"/>
        <v>5008.68</v>
      </c>
      <c r="AF40" s="57">
        <f>SUM(AB40:AE40)</f>
        <v>17038.68</v>
      </c>
      <c r="AG40" s="57"/>
      <c r="AH40" s="57">
        <f t="shared" ref="AH40:AJ40" si="13">AH31-AH34-AH37</f>
        <v>18580.887499999997</v>
      </c>
      <c r="AI40" s="57"/>
      <c r="AJ40" s="57">
        <f t="shared" si="13"/>
        <v>22282.5766</v>
      </c>
      <c r="AK40" s="57"/>
      <c r="AL40" s="57">
        <f>AL31-AL34-AL37</f>
        <v>25229.59180213276</v>
      </c>
    </row>
    <row r="41" spans="2:45" s="54" customFormat="1" ht="14.25" customHeight="1" x14ac:dyDescent="0.25">
      <c r="B41" s="31" t="s">
        <v>531</v>
      </c>
      <c r="C41" s="21"/>
      <c r="D41" s="305">
        <f>D40/D31</f>
        <v>0.3003448636221131</v>
      </c>
      <c r="E41" s="305">
        <f t="shared" ref="E41:H41" si="14">E40/E31</f>
        <v>0.33298429319371725</v>
      </c>
      <c r="F41" s="305">
        <f t="shared" si="14"/>
        <v>0.32555665862998157</v>
      </c>
      <c r="G41" s="305">
        <f t="shared" si="14"/>
        <v>0.34255921730175076</v>
      </c>
      <c r="H41" s="308">
        <f t="shared" si="14"/>
        <v>0.32788101261007663</v>
      </c>
      <c r="I41" s="48"/>
      <c r="J41" s="305">
        <f>J40/J31</f>
        <v>0.37290546949098957</v>
      </c>
      <c r="K41" s="305">
        <f t="shared" ref="K41:N41" si="15">K40/K31</f>
        <v>0.38287226088456894</v>
      </c>
      <c r="L41" s="305">
        <f t="shared" si="15"/>
        <v>0.39092462502373265</v>
      </c>
      <c r="M41" s="305">
        <f t="shared" si="15"/>
        <v>0.38833376589670388</v>
      </c>
      <c r="N41" s="308">
        <f t="shared" si="15"/>
        <v>0.38425495093957651</v>
      </c>
      <c r="O41" s="71"/>
      <c r="P41" s="305">
        <f>P40/P31</f>
        <v>0.40910956093557654</v>
      </c>
      <c r="Q41" s="305">
        <f t="shared" ref="Q41:T41" si="16">Q40/Q31</f>
        <v>0.39894978667541847</v>
      </c>
      <c r="R41" s="305">
        <f t="shared" si="16"/>
        <v>0.40328467153284669</v>
      </c>
      <c r="S41" s="305">
        <f t="shared" si="16"/>
        <v>0.4103024320201023</v>
      </c>
      <c r="T41" s="308">
        <f t="shared" si="16"/>
        <v>0.40492304122515277</v>
      </c>
      <c r="U41" s="49"/>
      <c r="V41" s="305">
        <f>V40/V31</f>
        <v>0.40796897038081803</v>
      </c>
      <c r="W41" s="305">
        <f t="shared" ref="W41:AL41" si="17">W40/W31</f>
        <v>0.40382355245631907</v>
      </c>
      <c r="X41" s="305">
        <f t="shared" si="17"/>
        <v>0.37011149941754035</v>
      </c>
      <c r="Y41" s="305">
        <f t="shared" si="17"/>
        <v>0.37</v>
      </c>
      <c r="Z41" s="306">
        <f>Z40/Z$31</f>
        <v>0.3867517099120617</v>
      </c>
      <c r="AA41" s="183"/>
      <c r="AB41" s="305">
        <f t="shared" si="17"/>
        <v>0.35</v>
      </c>
      <c r="AC41" s="305">
        <f t="shared" si="17"/>
        <v>0.35</v>
      </c>
      <c r="AD41" s="305">
        <f t="shared" si="17"/>
        <v>0.36</v>
      </c>
      <c r="AE41" s="305">
        <f t="shared" si="17"/>
        <v>0.36000000000000004</v>
      </c>
      <c r="AF41" s="306">
        <f>AF40/AF$31</f>
        <v>0.35562054435447266</v>
      </c>
      <c r="AG41" s="183"/>
      <c r="AH41" s="308">
        <f t="shared" si="17"/>
        <v>0.34999999999999992</v>
      </c>
      <c r="AI41" s="184"/>
      <c r="AJ41" s="308">
        <f t="shared" si="17"/>
        <v>0.37</v>
      </c>
      <c r="AL41" s="308">
        <f t="shared" si="17"/>
        <v>0.4</v>
      </c>
    </row>
    <row r="42" spans="2:45" s="54" customFormat="1" ht="14.25" customHeight="1" x14ac:dyDescent="0.3">
      <c r="B42" s="28"/>
      <c r="C42" s="23"/>
      <c r="D42" s="60"/>
      <c r="E42" s="60"/>
      <c r="F42" s="60"/>
      <c r="G42" s="60"/>
      <c r="H42" s="66"/>
      <c r="I42" s="48"/>
      <c r="J42" s="60"/>
      <c r="K42" s="60"/>
      <c r="L42" s="60"/>
      <c r="M42" s="60"/>
      <c r="N42" s="66"/>
      <c r="O42" s="71"/>
      <c r="P42" s="60"/>
      <c r="Q42" s="60"/>
      <c r="R42" s="60"/>
      <c r="S42" s="60"/>
      <c r="T42" s="66"/>
      <c r="U42" s="49"/>
      <c r="V42" s="60"/>
      <c r="W42" s="60"/>
      <c r="X42" s="50"/>
      <c r="Y42" s="50"/>
      <c r="Z42" s="66"/>
      <c r="AA42" s="71"/>
      <c r="AB42" s="50"/>
      <c r="AC42" s="50"/>
      <c r="AD42" s="50"/>
      <c r="AE42" s="50"/>
      <c r="AF42" s="66"/>
      <c r="AG42" s="71"/>
      <c r="AH42" s="68"/>
      <c r="AI42" s="72"/>
      <c r="AJ42" s="68"/>
    </row>
    <row r="43" spans="2:45" s="54" customFormat="1" ht="14.25" customHeight="1" x14ac:dyDescent="0.3">
      <c r="B43" s="28" t="s">
        <v>535</v>
      </c>
      <c r="C43" s="21"/>
      <c r="D43" s="62">
        <f>IS!P27</f>
        <v>781</v>
      </c>
      <c r="E43" s="62">
        <f>IS!Q27</f>
        <v>932</v>
      </c>
      <c r="F43" s="62">
        <f>IS!R27</f>
        <v>959</v>
      </c>
      <c r="G43" s="62">
        <f>IS!S27</f>
        <v>1191</v>
      </c>
      <c r="H43" s="68">
        <f>IS!T27</f>
        <v>3863</v>
      </c>
      <c r="I43" s="48"/>
      <c r="J43" s="62">
        <f>IS!V27</f>
        <v>952</v>
      </c>
      <c r="K43" s="62">
        <f>IS!W27</f>
        <v>1330</v>
      </c>
      <c r="L43" s="62">
        <f>IS!X27</f>
        <v>1110</v>
      </c>
      <c r="M43" s="62">
        <f>IS!Y27</f>
        <v>1203</v>
      </c>
      <c r="N43" s="68">
        <f>IS!Z27</f>
        <v>4595</v>
      </c>
      <c r="O43" s="71"/>
      <c r="P43" s="62">
        <f>IS!AB27</f>
        <v>1066</v>
      </c>
      <c r="Q43" s="62">
        <f>IS!AC27</f>
        <v>1265</v>
      </c>
      <c r="R43" s="62">
        <f>IS!AD27</f>
        <v>1278</v>
      </c>
      <c r="S43" s="62">
        <f>IS!AE27</f>
        <v>1232</v>
      </c>
      <c r="T43" s="68">
        <f>IS!AF27</f>
        <v>4840</v>
      </c>
      <c r="U43" s="49"/>
      <c r="V43" s="62">
        <f>IS!AH27</f>
        <v>972</v>
      </c>
      <c r="W43" s="62">
        <f>IS!AI27</f>
        <v>1197</v>
      </c>
      <c r="X43" s="46">
        <v>1217</v>
      </c>
      <c r="Y43" s="46">
        <f>(Y44+Sensitivity!$U$40)*Y$31</f>
        <v>1066.0410000000002</v>
      </c>
      <c r="Z43" s="57">
        <f>SUM(V43:Y43)</f>
        <v>4452.0410000000002</v>
      </c>
      <c r="AA43" s="71"/>
      <c r="AB43" s="46">
        <f>(AB44+Sensitivity!$U$40)*AB$31</f>
        <v>810</v>
      </c>
      <c r="AC43" s="46">
        <f>(AC44+Sensitivity!$U$40)*AC$31</f>
        <v>1080</v>
      </c>
      <c r="AD43" s="46">
        <f>(AD44+Sensitivity!$U$40)*AD$31</f>
        <v>1170</v>
      </c>
      <c r="AE43" s="46">
        <f>(AE44+Sensitivity!$U$40)*AE$31</f>
        <v>1252.1699999999998</v>
      </c>
      <c r="AF43" s="57">
        <f>SUM(AB43:AE43)</f>
        <v>4312.17</v>
      </c>
      <c r="AG43" s="57"/>
      <c r="AH43" s="57">
        <f>(AH44+Sensitivity!$U$40)*AH$31</f>
        <v>4777.9425000000001</v>
      </c>
      <c r="AI43" s="57"/>
      <c r="AJ43" s="57">
        <f>(AJ44+Sensitivity!$U$40)*AJ$31</f>
        <v>5420.0861999999997</v>
      </c>
      <c r="AK43" s="57"/>
      <c r="AL43" s="57">
        <f>(AL44+Sensitivity!$U$40)*AL$31</f>
        <v>5676.6581554798704</v>
      </c>
    </row>
    <row r="44" spans="2:45" s="54" customFormat="1" ht="14.25" customHeight="1" x14ac:dyDescent="0.25">
      <c r="B44" s="31" t="s">
        <v>531</v>
      </c>
      <c r="C44" s="23"/>
      <c r="D44" s="305">
        <f>D43/D31</f>
        <v>8.1617723900094058E-2</v>
      </c>
      <c r="E44" s="305">
        <f t="shared" ref="E44:H44" si="18">E43/E31</f>
        <v>6.9708302169035147E-2</v>
      </c>
      <c r="F44" s="305">
        <f t="shared" si="18"/>
        <v>6.8004538363352712E-2</v>
      </c>
      <c r="G44" s="305">
        <f t="shared" si="18"/>
        <v>7.6660659114315133E-2</v>
      </c>
      <c r="H44" s="308">
        <f t="shared" si="18"/>
        <v>7.3473191699792689E-2</v>
      </c>
      <c r="I44" s="48"/>
      <c r="J44" s="305">
        <f>J43/J31</f>
        <v>7.5245020550110661E-2</v>
      </c>
      <c r="K44" s="305">
        <f t="shared" ref="K44:N44" si="19">K43/K31</f>
        <v>7.6493932248231436E-2</v>
      </c>
      <c r="L44" s="305">
        <f t="shared" si="19"/>
        <v>7.0248718435542049E-2</v>
      </c>
      <c r="M44" s="305">
        <f t="shared" si="19"/>
        <v>7.8056060212821174E-2</v>
      </c>
      <c r="N44" s="308">
        <f t="shared" si="19"/>
        <v>7.5019183360271663E-2</v>
      </c>
      <c r="O44" s="71"/>
      <c r="P44" s="305">
        <f>P43/P31</f>
        <v>8.7484612228149364E-2</v>
      </c>
      <c r="Q44" s="305">
        <f t="shared" ref="Q44:T44" si="20">Q43/Q31</f>
        <v>8.3032490974729242E-2</v>
      </c>
      <c r="R44" s="305">
        <f t="shared" si="20"/>
        <v>9.7171532846715328E-2</v>
      </c>
      <c r="S44" s="305">
        <f t="shared" si="20"/>
        <v>0.11056268509378085</v>
      </c>
      <c r="T44" s="308">
        <f t="shared" si="20"/>
        <v>9.3588057854435761E-2</v>
      </c>
      <c r="U44" s="49"/>
      <c r="V44" s="305">
        <f>V43/V31</f>
        <v>0.11424541607898449</v>
      </c>
      <c r="W44" s="305">
        <f t="shared" ref="W44" si="21">W43/W31</f>
        <v>9.3786727258481542E-2</v>
      </c>
      <c r="X44" s="316">
        <f>X43/X31</f>
        <v>0.10126476951239807</v>
      </c>
      <c r="Y44" s="316">
        <v>0.09</v>
      </c>
      <c r="Z44" s="306">
        <f>Z43/Z31</f>
        <v>9.8640733461987554E-2</v>
      </c>
      <c r="AA44" s="71"/>
      <c r="AB44" s="316">
        <v>0.09</v>
      </c>
      <c r="AC44" s="316">
        <v>0.09</v>
      </c>
      <c r="AD44" s="316">
        <v>0.09</v>
      </c>
      <c r="AE44" s="316">
        <v>0.09</v>
      </c>
      <c r="AF44" s="306"/>
      <c r="AG44" s="71"/>
      <c r="AH44" s="316">
        <v>0.09</v>
      </c>
      <c r="AI44" s="72"/>
      <c r="AJ44" s="316">
        <v>0.09</v>
      </c>
      <c r="AL44" s="316">
        <v>0.09</v>
      </c>
    </row>
    <row r="45" spans="2:45" s="54" customFormat="1" ht="14.25" customHeight="1" x14ac:dyDescent="0.3">
      <c r="B45" s="29"/>
      <c r="C45" s="21"/>
      <c r="D45" s="46"/>
      <c r="E45" s="46"/>
      <c r="F45" s="46"/>
      <c r="G45" s="46"/>
      <c r="H45" s="66"/>
      <c r="I45" s="48"/>
      <c r="J45" s="46"/>
      <c r="K45" s="46"/>
      <c r="L45" s="46"/>
      <c r="M45" s="46"/>
      <c r="N45" s="66"/>
      <c r="O45" s="71"/>
      <c r="P45" s="46"/>
      <c r="Q45" s="46"/>
      <c r="R45" s="46"/>
      <c r="S45" s="46"/>
      <c r="T45" s="66"/>
      <c r="U45" s="49"/>
      <c r="V45" s="46"/>
      <c r="W45" s="46"/>
      <c r="X45" s="50"/>
      <c r="Y45" s="50"/>
      <c r="Z45" s="66"/>
      <c r="AA45" s="71"/>
      <c r="AB45" s="50"/>
      <c r="AC45" s="50"/>
      <c r="AD45" s="50"/>
      <c r="AE45" s="50"/>
      <c r="AF45" s="66"/>
      <c r="AG45" s="71"/>
      <c r="AH45" s="68"/>
      <c r="AI45" s="72"/>
      <c r="AJ45" s="68"/>
    </row>
    <row r="46" spans="2:45" s="54" customFormat="1" ht="14.25" customHeight="1" x14ac:dyDescent="0.3">
      <c r="B46" s="28" t="s">
        <v>536</v>
      </c>
      <c r="C46" s="23"/>
      <c r="D46" s="50">
        <f>IS!P29</f>
        <v>402</v>
      </c>
      <c r="E46" s="50">
        <f>IS!Q29</f>
        <v>453</v>
      </c>
      <c r="F46" s="50">
        <f>IS!R29</f>
        <v>481</v>
      </c>
      <c r="G46" s="50">
        <f>IS!S29</f>
        <v>576</v>
      </c>
      <c r="H46" s="68">
        <f>IS!T29</f>
        <v>1912</v>
      </c>
      <c r="I46" s="48"/>
      <c r="J46" s="50">
        <f>IS!V29</f>
        <v>495</v>
      </c>
      <c r="K46" s="50">
        <f>IS!W29</f>
        <v>547</v>
      </c>
      <c r="L46" s="50">
        <f>IS!X29</f>
        <v>528</v>
      </c>
      <c r="M46" s="50">
        <f>IS!Y29</f>
        <v>606</v>
      </c>
      <c r="N46" s="68">
        <f>IS!Z29</f>
        <v>2177</v>
      </c>
      <c r="O46" s="71"/>
      <c r="P46" s="50">
        <f>IS!AB29</f>
        <v>533</v>
      </c>
      <c r="Q46" s="50">
        <f>IS!AC29</f>
        <v>565</v>
      </c>
      <c r="R46" s="50">
        <f>IS!AD29</f>
        <v>567</v>
      </c>
      <c r="S46" s="50">
        <f>IS!AE29</f>
        <v>626</v>
      </c>
      <c r="T46" s="68">
        <f>IS!AF29</f>
        <v>2290</v>
      </c>
      <c r="U46" s="49"/>
      <c r="V46" s="50">
        <f>IS!AH29</f>
        <v>526</v>
      </c>
      <c r="W46" s="50">
        <f>IS!AI29</f>
        <v>549</v>
      </c>
      <c r="X46" s="46">
        <f>556</f>
        <v>556</v>
      </c>
      <c r="Y46" s="46">
        <f>Y47*Y40</f>
        <v>372.52210500000007</v>
      </c>
      <c r="Z46" s="57">
        <f>SUM(V46:Y46)</f>
        <v>2003.522105</v>
      </c>
      <c r="AA46" s="71"/>
      <c r="AB46" s="46">
        <f t="shared" ref="AB46:AE46" si="22">AB47*AB40</f>
        <v>315</v>
      </c>
      <c r="AC46" s="46">
        <f t="shared" si="22"/>
        <v>420</v>
      </c>
      <c r="AD46" s="46">
        <f t="shared" si="22"/>
        <v>468</v>
      </c>
      <c r="AE46" s="46">
        <f t="shared" si="22"/>
        <v>500.86800000000005</v>
      </c>
      <c r="AF46" s="57">
        <f>SUM(AB46:AE46)</f>
        <v>1703.8679999999999</v>
      </c>
      <c r="AG46" s="71"/>
      <c r="AH46" s="57">
        <f t="shared" ref="AH46:AJ46" si="23">AH47*AH40</f>
        <v>1858.0887499999999</v>
      </c>
      <c r="AI46" s="72"/>
      <c r="AJ46" s="57">
        <f t="shared" si="23"/>
        <v>2228.2576600000002</v>
      </c>
      <c r="AL46" s="57">
        <f>AL47*AL40</f>
        <v>2522.9591802132763</v>
      </c>
      <c r="AS46" s="312"/>
    </row>
    <row r="47" spans="2:45" s="54" customFormat="1" ht="14.25" customHeight="1" x14ac:dyDescent="0.25">
      <c r="B47" s="31" t="s">
        <v>537</v>
      </c>
      <c r="C47" s="21"/>
      <c r="D47" s="305">
        <f>D46/D40</f>
        <v>0.13987473903966596</v>
      </c>
      <c r="E47" s="305">
        <f t="shared" ref="E47:G47" si="24">E46/E40</f>
        <v>0.10175202156334232</v>
      </c>
      <c r="F47" s="305">
        <f t="shared" si="24"/>
        <v>0.10477020257024613</v>
      </c>
      <c r="G47" s="305">
        <f t="shared" si="24"/>
        <v>0.10822998872604284</v>
      </c>
      <c r="H47" s="308">
        <f>H46/H40</f>
        <v>0.11091130576019491</v>
      </c>
      <c r="I47" s="48"/>
      <c r="J47" s="305">
        <f>J46/J40</f>
        <v>0.10491733785502332</v>
      </c>
      <c r="K47" s="305">
        <f t="shared" ref="K47" si="25">K46/K40</f>
        <v>8.2169145260627907E-2</v>
      </c>
      <c r="L47" s="305">
        <f t="shared" ref="L47" si="26">L46/L40</f>
        <v>8.5478387566779987E-2</v>
      </c>
      <c r="M47" s="305">
        <f t="shared" ref="M47" si="27">M46/M40</f>
        <v>0.10125313283208021</v>
      </c>
      <c r="N47" s="308">
        <f>N46/N40</f>
        <v>9.249660095173351E-2</v>
      </c>
      <c r="O47" s="86"/>
      <c r="P47" s="305">
        <f>P46/P40</f>
        <v>0.10692076228686058</v>
      </c>
      <c r="Q47" s="305">
        <f t="shared" ref="Q47" si="28">Q46/Q40</f>
        <v>9.2958209937479427E-2</v>
      </c>
      <c r="R47" s="305">
        <f t="shared" ref="R47" si="29">R46/R40</f>
        <v>0.10690045248868778</v>
      </c>
      <c r="S47" s="305">
        <f t="shared" ref="S47" si="30">S46/S40</f>
        <v>0.13692038495188102</v>
      </c>
      <c r="T47" s="308">
        <f>T46/T40</f>
        <v>0.10935485411393916</v>
      </c>
      <c r="U47" s="82"/>
      <c r="V47" s="305">
        <f>V46/V40</f>
        <v>0.15154134255257851</v>
      </c>
      <c r="W47" s="305">
        <f t="shared" ref="W47" si="31">W46/W40</f>
        <v>0.10651920838183934</v>
      </c>
      <c r="X47" s="316">
        <f>X46/X40</f>
        <v>0.125</v>
      </c>
      <c r="Y47" s="316">
        <v>8.5000000000000006E-2</v>
      </c>
      <c r="Z47" s="306">
        <f>Z46/Z$40</f>
        <v>0.11477810060294072</v>
      </c>
      <c r="AA47" s="71"/>
      <c r="AB47" s="316">
        <v>0.1</v>
      </c>
      <c r="AC47" s="316">
        <v>0.1</v>
      </c>
      <c r="AD47" s="316">
        <v>0.1</v>
      </c>
      <c r="AE47" s="316">
        <v>0.1</v>
      </c>
      <c r="AF47" s="306">
        <f>AF46/AF$40</f>
        <v>9.9999999999999992E-2</v>
      </c>
      <c r="AG47" s="71"/>
      <c r="AH47" s="316">
        <v>0.1</v>
      </c>
      <c r="AI47" s="72"/>
      <c r="AJ47" s="316">
        <v>0.1</v>
      </c>
      <c r="AL47" s="316">
        <v>0.1</v>
      </c>
    </row>
    <row r="48" spans="2:45" s="54" customFormat="1" ht="14.25" customHeight="1" x14ac:dyDescent="0.25">
      <c r="B48" s="31"/>
      <c r="C48" s="23"/>
      <c r="D48" s="305"/>
      <c r="E48" s="305"/>
      <c r="F48" s="305"/>
      <c r="G48" s="305"/>
      <c r="H48" s="308"/>
      <c r="I48" s="48"/>
      <c r="J48" s="305"/>
      <c r="K48" s="305"/>
      <c r="L48" s="305"/>
      <c r="M48" s="305"/>
      <c r="N48" s="308"/>
      <c r="O48" s="71"/>
      <c r="P48" s="305"/>
      <c r="Q48" s="305"/>
      <c r="R48" s="305"/>
      <c r="S48" s="305"/>
      <c r="T48" s="308"/>
      <c r="U48" s="49"/>
      <c r="V48" s="305"/>
      <c r="W48" s="305"/>
      <c r="X48" s="50"/>
      <c r="Y48" s="50"/>
      <c r="Z48" s="66"/>
      <c r="AA48" s="71"/>
      <c r="AB48" s="50"/>
      <c r="AC48" s="50"/>
      <c r="AD48" s="50"/>
      <c r="AE48" s="50"/>
      <c r="AF48" s="66"/>
      <c r="AG48" s="71"/>
      <c r="AH48" s="68"/>
      <c r="AI48" s="72"/>
      <c r="AJ48" s="68"/>
    </row>
    <row r="49" spans="2:38" s="54" customFormat="1" ht="14.25" customHeight="1" x14ac:dyDescent="0.3">
      <c r="B49" s="28" t="s">
        <v>538</v>
      </c>
      <c r="C49" s="21"/>
      <c r="D49" s="50">
        <f>IS!P28</f>
        <v>0</v>
      </c>
      <c r="E49" s="50">
        <f>IS!Q28</f>
        <v>0</v>
      </c>
      <c r="F49" s="50">
        <f>IS!R28</f>
        <v>0</v>
      </c>
      <c r="G49" s="50">
        <f>IS!S28</f>
        <v>0</v>
      </c>
      <c r="H49" s="68">
        <f>IS!T28</f>
        <v>0</v>
      </c>
      <c r="I49" s="48"/>
      <c r="J49" s="50">
        <f>IS!V28</f>
        <v>0</v>
      </c>
      <c r="K49" s="50">
        <f>IS!W28</f>
        <v>0</v>
      </c>
      <c r="L49" s="50">
        <f>IS!X28</f>
        <v>0</v>
      </c>
      <c r="M49" s="50">
        <f>IS!Y28</f>
        <v>0</v>
      </c>
      <c r="N49" s="68">
        <f>IS!Z28</f>
        <v>0</v>
      </c>
      <c r="O49" s="86"/>
      <c r="P49" s="50">
        <f>IS!AB28</f>
        <v>0</v>
      </c>
      <c r="Q49" s="50">
        <f>IS!AC28</f>
        <v>0</v>
      </c>
      <c r="R49" s="50">
        <f>IS!AD28</f>
        <v>0</v>
      </c>
      <c r="S49" s="50">
        <f>IS!AE28</f>
        <v>0</v>
      </c>
      <c r="T49" s="68">
        <f>IS!AF28</f>
        <v>0</v>
      </c>
      <c r="U49" s="82"/>
      <c r="V49" s="50">
        <f>IS!AH28</f>
        <v>0</v>
      </c>
      <c r="W49" s="50">
        <f>IS!AI28</f>
        <v>0</v>
      </c>
      <c r="X49" s="46">
        <f>X52+X55</f>
        <v>0</v>
      </c>
      <c r="Y49" s="46">
        <f>Y52+Y55</f>
        <v>0</v>
      </c>
      <c r="Z49" s="57">
        <f>SUM(V49:Y49)</f>
        <v>0</v>
      </c>
      <c r="AA49" s="185"/>
      <c r="AB49" s="46">
        <f t="shared" ref="AB49:AE49" si="32">AB52+AB55</f>
        <v>0</v>
      </c>
      <c r="AC49" s="46">
        <f t="shared" si="32"/>
        <v>0</v>
      </c>
      <c r="AD49" s="46">
        <f t="shared" si="32"/>
        <v>0</v>
      </c>
      <c r="AE49" s="46">
        <f t="shared" si="32"/>
        <v>0</v>
      </c>
      <c r="AF49" s="57">
        <f>SUM(AB49:AE49)</f>
        <v>0</v>
      </c>
      <c r="AG49" s="185"/>
      <c r="AH49" s="66">
        <f>AH52+AH55</f>
        <v>0</v>
      </c>
      <c r="AI49" s="185"/>
      <c r="AJ49" s="66">
        <f>AJ52+AJ55</f>
        <v>0</v>
      </c>
      <c r="AK49" s="66"/>
      <c r="AL49" s="66">
        <f>AL52+AL55</f>
        <v>0</v>
      </c>
    </row>
    <row r="50" spans="2:38" s="54" customFormat="1" ht="14.25" customHeight="1" x14ac:dyDescent="0.25">
      <c r="B50" s="31" t="s">
        <v>539</v>
      </c>
      <c r="C50" s="23"/>
      <c r="D50" s="305">
        <f>D49/(D79+D82)</f>
        <v>0</v>
      </c>
      <c r="E50" s="305">
        <f>E49/(E79+E82)</f>
        <v>0</v>
      </c>
      <c r="F50" s="305">
        <f>F49/(F79+F82)</f>
        <v>0</v>
      </c>
      <c r="G50" s="305">
        <f>G49/(G79+G82)</f>
        <v>0</v>
      </c>
      <c r="H50" s="308">
        <f>H49/(H79+H82)</f>
        <v>0</v>
      </c>
      <c r="I50" s="48"/>
      <c r="J50" s="305">
        <f>J49/(J79+J82)</f>
        <v>0</v>
      </c>
      <c r="K50" s="305">
        <f>K49/(K79+K82)</f>
        <v>0</v>
      </c>
      <c r="L50" s="305">
        <f>L49/(L79+L82)</f>
        <v>0</v>
      </c>
      <c r="M50" s="305">
        <f>M49/(M79+M82)</f>
        <v>0</v>
      </c>
      <c r="N50" s="308">
        <f>N49/(N79+N82)</f>
        <v>0</v>
      </c>
      <c r="O50" s="71"/>
      <c r="P50" s="305">
        <f>P49/(P79+P82)</f>
        <v>0</v>
      </c>
      <c r="Q50" s="305">
        <f>Q49/(Q79+Q82)</f>
        <v>0</v>
      </c>
      <c r="R50" s="305">
        <f>R49/(R79+R82)</f>
        <v>0</v>
      </c>
      <c r="S50" s="305">
        <f>S49/(S79+S82)</f>
        <v>0</v>
      </c>
      <c r="T50" s="308">
        <f>T49/(T79+T82)</f>
        <v>0</v>
      </c>
      <c r="U50" s="49"/>
      <c r="V50" s="305">
        <f>V49/(V79+V82)</f>
        <v>0</v>
      </c>
      <c r="W50" s="305">
        <f>W49/(W79+W82)</f>
        <v>0</v>
      </c>
      <c r="X50" s="305">
        <f>X49/( X79+X82)</f>
        <v>0</v>
      </c>
      <c r="Y50" s="305">
        <f>Y49/( Y79+Y82)</f>
        <v>0</v>
      </c>
      <c r="Z50" s="308">
        <f>Z49/( Z79+Z82)</f>
        <v>0</v>
      </c>
      <c r="AA50" s="71"/>
      <c r="AB50" s="305">
        <f t="shared" ref="AB50:AE50" si="33">AB49/( AB79+AB82)</f>
        <v>0</v>
      </c>
      <c r="AC50" s="305">
        <f t="shared" si="33"/>
        <v>0</v>
      </c>
      <c r="AD50" s="305">
        <f t="shared" si="33"/>
        <v>0</v>
      </c>
      <c r="AE50" s="305">
        <f t="shared" si="33"/>
        <v>0</v>
      </c>
      <c r="AF50" s="308">
        <f>AF49/( AF79+AF82)</f>
        <v>0</v>
      </c>
      <c r="AG50" s="71"/>
      <c r="AH50" s="308">
        <f>AH49/( AH79+AH82)</f>
        <v>0</v>
      </c>
      <c r="AI50" s="72"/>
      <c r="AJ50" s="308">
        <f>AJ49/( AJ79+AJ82)</f>
        <v>0</v>
      </c>
      <c r="AL50" s="308">
        <f>AL49/( AL79+AL82)</f>
        <v>0</v>
      </c>
    </row>
    <row r="51" spans="2:38" s="54" customFormat="1" ht="14.25" customHeight="1" x14ac:dyDescent="0.25">
      <c r="B51" s="31"/>
      <c r="C51" s="23"/>
      <c r="D51" s="305"/>
      <c r="E51" s="305"/>
      <c r="F51" s="305"/>
      <c r="G51" s="305"/>
      <c r="H51" s="308"/>
      <c r="I51" s="48"/>
      <c r="J51" s="305"/>
      <c r="K51" s="305"/>
      <c r="L51" s="305"/>
      <c r="M51" s="305"/>
      <c r="N51" s="308"/>
      <c r="O51" s="71"/>
      <c r="P51" s="305"/>
      <c r="Q51" s="305"/>
      <c r="R51" s="305"/>
      <c r="S51" s="305"/>
      <c r="T51" s="308"/>
      <c r="U51" s="49"/>
      <c r="V51" s="305"/>
      <c r="W51" s="305"/>
      <c r="X51" s="50"/>
      <c r="Y51" s="50"/>
      <c r="Z51" s="66"/>
      <c r="AA51" s="71"/>
      <c r="AB51" s="50"/>
      <c r="AC51" s="50"/>
      <c r="AD51" s="50"/>
      <c r="AE51" s="50"/>
      <c r="AF51" s="66"/>
      <c r="AG51" s="71"/>
      <c r="AH51" s="68"/>
      <c r="AI51" s="72"/>
      <c r="AJ51" s="68"/>
    </row>
    <row r="52" spans="2:38" s="54" customFormat="1" ht="14.25" customHeight="1" x14ac:dyDescent="0.3">
      <c r="B52" s="301" t="s">
        <v>540</v>
      </c>
      <c r="C52" s="23"/>
      <c r="D52" s="50">
        <f>IS!P64</f>
        <v>0</v>
      </c>
      <c r="E52" s="50">
        <f>IS!Q64</f>
        <v>0</v>
      </c>
      <c r="F52" s="50">
        <f>IS!R64</f>
        <v>0</v>
      </c>
      <c r="G52" s="50">
        <f>IS!S64</f>
        <v>0</v>
      </c>
      <c r="H52" s="68">
        <f>IS!T64</f>
        <v>0</v>
      </c>
      <c r="I52" s="48"/>
      <c r="J52" s="50">
        <f>IS!V64</f>
        <v>0</v>
      </c>
      <c r="K52" s="50">
        <f>IS!W64</f>
        <v>0</v>
      </c>
      <c r="L52" s="50">
        <f>IS!X64</f>
        <v>0</v>
      </c>
      <c r="M52" s="50">
        <f>IS!Y64</f>
        <v>0</v>
      </c>
      <c r="N52" s="68">
        <f>IS!Z64</f>
        <v>0</v>
      </c>
      <c r="O52" s="71"/>
      <c r="P52" s="50">
        <f>IS!AB64</f>
        <v>0</v>
      </c>
      <c r="Q52" s="50">
        <f>IS!AC64</f>
        <v>0</v>
      </c>
      <c r="R52" s="50">
        <f>IS!AD64</f>
        <v>0</v>
      </c>
      <c r="S52" s="50">
        <f>IS!AE64</f>
        <v>0</v>
      </c>
      <c r="T52" s="68">
        <f>IS!AF64</f>
        <v>0</v>
      </c>
      <c r="U52" s="49"/>
      <c r="V52" s="50">
        <f>IS!AH64</f>
        <v>0</v>
      </c>
      <c r="W52" s="50">
        <f>IS!AI64</f>
        <v>0</v>
      </c>
      <c r="X52" s="46">
        <f>X53*W79</f>
        <v>0</v>
      </c>
      <c r="Y52" s="46">
        <f>Y53*X79</f>
        <v>0</v>
      </c>
      <c r="Z52" s="57">
        <f>SUM(V52:Y52)</f>
        <v>0</v>
      </c>
      <c r="AA52" s="71"/>
      <c r="AB52" s="46">
        <f>AB53*Y79</f>
        <v>0</v>
      </c>
      <c r="AC52" s="46">
        <f>AC53*AB79</f>
        <v>0</v>
      </c>
      <c r="AD52" s="46">
        <f t="shared" ref="AD52:AE52" si="34">AD53*AC79</f>
        <v>0</v>
      </c>
      <c r="AE52" s="46">
        <f t="shared" si="34"/>
        <v>0</v>
      </c>
      <c r="AF52" s="57">
        <f>SUM(AB52:AE52)</f>
        <v>0</v>
      </c>
      <c r="AG52" s="71"/>
      <c r="AH52" s="57">
        <f>AH53*AF79</f>
        <v>0</v>
      </c>
      <c r="AI52" s="72"/>
      <c r="AJ52" s="57">
        <f>AJ53*AH79</f>
        <v>0</v>
      </c>
      <c r="AL52" s="57">
        <f>AL53*AJ79</f>
        <v>0</v>
      </c>
    </row>
    <row r="53" spans="2:38" s="54" customFormat="1" ht="14.25" customHeight="1" x14ac:dyDescent="0.25">
      <c r="B53" s="302" t="s">
        <v>541</v>
      </c>
      <c r="C53" s="23"/>
      <c r="D53" s="305">
        <f>D52/D79</f>
        <v>0</v>
      </c>
      <c r="E53" s="305">
        <f>E52/E79</f>
        <v>0</v>
      </c>
      <c r="F53" s="305">
        <f>F52/F79</f>
        <v>0</v>
      </c>
      <c r="G53" s="305">
        <f>G52/G79</f>
        <v>0</v>
      </c>
      <c r="H53" s="308">
        <f>H52/H79</f>
        <v>0</v>
      </c>
      <c r="I53" s="48"/>
      <c r="J53" s="305">
        <f>J52/J79</f>
        <v>0</v>
      </c>
      <c r="K53" s="305">
        <f>K52/K79</f>
        <v>0</v>
      </c>
      <c r="L53" s="305">
        <f>L52/L79</f>
        <v>0</v>
      </c>
      <c r="M53" s="305">
        <f>M52/M79</f>
        <v>0</v>
      </c>
      <c r="N53" s="308">
        <f>N52/N79</f>
        <v>0</v>
      </c>
      <c r="O53" s="71"/>
      <c r="P53" s="305">
        <f>P52/P79</f>
        <v>0</v>
      </c>
      <c r="Q53" s="305">
        <f>Q52/Q79</f>
        <v>0</v>
      </c>
      <c r="R53" s="305">
        <f>R52/R79</f>
        <v>0</v>
      </c>
      <c r="S53" s="305">
        <f>S52/S79</f>
        <v>0</v>
      </c>
      <c r="T53" s="308">
        <f>T52/T79</f>
        <v>0</v>
      </c>
      <c r="U53" s="49"/>
      <c r="V53" s="305">
        <f>V52/V79</f>
        <v>0</v>
      </c>
      <c r="W53" s="305">
        <f>W52/W79</f>
        <v>0</v>
      </c>
      <c r="X53" s="316">
        <v>0</v>
      </c>
      <c r="Y53" s="316">
        <v>0</v>
      </c>
      <c r="Z53" s="306">
        <f>Z52/Z79</f>
        <v>0</v>
      </c>
      <c r="AA53" s="71"/>
      <c r="AB53" s="316">
        <v>0</v>
      </c>
      <c r="AC53" s="316">
        <v>0</v>
      </c>
      <c r="AD53" s="316">
        <v>0</v>
      </c>
      <c r="AE53" s="316">
        <v>0</v>
      </c>
      <c r="AF53" s="306">
        <f>AF52/AF79</f>
        <v>0</v>
      </c>
      <c r="AG53" s="71"/>
      <c r="AH53" s="316">
        <v>0</v>
      </c>
      <c r="AI53" s="72"/>
      <c r="AJ53" s="316">
        <v>0</v>
      </c>
      <c r="AL53" s="316">
        <v>0</v>
      </c>
    </row>
    <row r="54" spans="2:38" s="54" customFormat="1" ht="14.25" customHeight="1" x14ac:dyDescent="0.25">
      <c r="B54" s="31"/>
      <c r="C54" s="23"/>
      <c r="D54" s="305"/>
      <c r="E54" s="305"/>
      <c r="F54" s="305"/>
      <c r="G54" s="305"/>
      <c r="H54" s="308"/>
      <c r="I54" s="48"/>
      <c r="J54" s="305"/>
      <c r="K54" s="305"/>
      <c r="L54" s="305"/>
      <c r="M54" s="305"/>
      <c r="N54" s="308"/>
      <c r="O54" s="71"/>
      <c r="P54" s="305"/>
      <c r="Q54" s="305"/>
      <c r="R54" s="305"/>
      <c r="S54" s="305"/>
      <c r="T54" s="308"/>
      <c r="U54" s="49"/>
      <c r="V54" s="305"/>
      <c r="W54" s="305"/>
      <c r="X54" s="50"/>
      <c r="Y54" s="50"/>
      <c r="Z54" s="66"/>
      <c r="AA54" s="71"/>
      <c r="AB54" s="50"/>
      <c r="AC54" s="50"/>
      <c r="AD54" s="50"/>
      <c r="AE54" s="50"/>
      <c r="AF54" s="66"/>
      <c r="AG54" s="71"/>
      <c r="AH54" s="68"/>
      <c r="AI54" s="72"/>
      <c r="AJ54" s="68"/>
    </row>
    <row r="55" spans="2:38" s="54" customFormat="1" ht="14.25" customHeight="1" x14ac:dyDescent="0.3">
      <c r="B55" s="301" t="s">
        <v>542</v>
      </c>
      <c r="C55" s="23"/>
      <c r="D55" s="50">
        <f>IS!P65</f>
        <v>0</v>
      </c>
      <c r="E55" s="50">
        <f>IS!Q65</f>
        <v>0</v>
      </c>
      <c r="F55" s="50">
        <f>IS!R65</f>
        <v>0</v>
      </c>
      <c r="G55" s="50">
        <f>IS!S65</f>
        <v>0</v>
      </c>
      <c r="H55" s="68">
        <f>IS!T65</f>
        <v>0</v>
      </c>
      <c r="I55" s="48"/>
      <c r="J55" s="50">
        <f>IS!V65</f>
        <v>0</v>
      </c>
      <c r="K55" s="50">
        <f>IS!W65</f>
        <v>0</v>
      </c>
      <c r="L55" s="50">
        <f>IS!X65</f>
        <v>0</v>
      </c>
      <c r="M55" s="50">
        <f>IS!Y65</f>
        <v>0</v>
      </c>
      <c r="N55" s="68">
        <f>IS!Z65</f>
        <v>0</v>
      </c>
      <c r="O55" s="71"/>
      <c r="P55" s="50">
        <f>IS!AB65</f>
        <v>0</v>
      </c>
      <c r="Q55" s="50">
        <f>IS!AC65</f>
        <v>0</v>
      </c>
      <c r="R55" s="50">
        <f>IS!AD65</f>
        <v>0</v>
      </c>
      <c r="S55" s="50">
        <f>IS!AE65</f>
        <v>0</v>
      </c>
      <c r="T55" s="68">
        <f>IS!AF65</f>
        <v>0</v>
      </c>
      <c r="U55" s="49"/>
      <c r="V55" s="50">
        <f>IS!AH65</f>
        <v>0</v>
      </c>
      <c r="W55" s="50">
        <f>IS!AI65</f>
        <v>0</v>
      </c>
      <c r="X55" s="46">
        <f>X56*W82</f>
        <v>0</v>
      </c>
      <c r="Y55" s="46">
        <f>Y56*X82</f>
        <v>0</v>
      </c>
      <c r="Z55" s="57">
        <f>SUM(V55:Y55)</f>
        <v>0</v>
      </c>
      <c r="AA55" s="71"/>
      <c r="AB55" s="46">
        <f>AB56*Y82</f>
        <v>0</v>
      </c>
      <c r="AC55" s="46">
        <f t="shared" ref="AC55:AE55" si="35">AC56*AB82</f>
        <v>0</v>
      </c>
      <c r="AD55" s="46">
        <f t="shared" si="35"/>
        <v>0</v>
      </c>
      <c r="AE55" s="46">
        <f t="shared" si="35"/>
        <v>0</v>
      </c>
      <c r="AF55" s="57">
        <f>SUM(AB55:AE55)</f>
        <v>0</v>
      </c>
      <c r="AG55" s="71"/>
      <c r="AH55" s="57">
        <f>AH56*AF82</f>
        <v>0</v>
      </c>
      <c r="AI55" s="72"/>
      <c r="AJ55" s="57">
        <f>AJ56*AH82</f>
        <v>0</v>
      </c>
      <c r="AL55" s="57">
        <f>AL56*AJ82</f>
        <v>0</v>
      </c>
    </row>
    <row r="56" spans="2:38" s="54" customFormat="1" ht="14.25" customHeight="1" x14ac:dyDescent="0.25">
      <c r="B56" s="302" t="s">
        <v>543</v>
      </c>
      <c r="C56" s="23"/>
      <c r="D56" s="305">
        <f>D55/D82</f>
        <v>0</v>
      </c>
      <c r="E56" s="305">
        <f>E55/E82</f>
        <v>0</v>
      </c>
      <c r="F56" s="305">
        <f>F55/F82</f>
        <v>0</v>
      </c>
      <c r="G56" s="305">
        <f>G55/G82</f>
        <v>0</v>
      </c>
      <c r="H56" s="308">
        <f>H55/H82</f>
        <v>0</v>
      </c>
      <c r="I56" s="48"/>
      <c r="J56" s="305">
        <f>J55/J82</f>
        <v>0</v>
      </c>
      <c r="K56" s="305">
        <f>K55/K82</f>
        <v>0</v>
      </c>
      <c r="L56" s="305">
        <f>L55/L82</f>
        <v>0</v>
      </c>
      <c r="M56" s="305">
        <f>M55/M82</f>
        <v>0</v>
      </c>
      <c r="N56" s="308">
        <f>N55/N82</f>
        <v>0</v>
      </c>
      <c r="O56" s="71"/>
      <c r="P56" s="305">
        <f>P55/P82</f>
        <v>0</v>
      </c>
      <c r="Q56" s="305">
        <f>Q55/Q82</f>
        <v>0</v>
      </c>
      <c r="R56" s="305">
        <f>R55/R82</f>
        <v>0</v>
      </c>
      <c r="S56" s="305">
        <f>S55/S82</f>
        <v>0</v>
      </c>
      <c r="T56" s="308">
        <f>T55/T82</f>
        <v>0</v>
      </c>
      <c r="U56" s="49"/>
      <c r="V56" s="305">
        <f>V55/V82</f>
        <v>0</v>
      </c>
      <c r="W56" s="305">
        <f>W55/W82</f>
        <v>0</v>
      </c>
      <c r="X56" s="316">
        <v>0</v>
      </c>
      <c r="Y56" s="316">
        <v>0</v>
      </c>
      <c r="Z56" s="306">
        <f>Z55/Z82</f>
        <v>0</v>
      </c>
      <c r="AA56" s="71"/>
      <c r="AB56" s="316">
        <v>0</v>
      </c>
      <c r="AC56" s="316">
        <v>0</v>
      </c>
      <c r="AD56" s="316">
        <v>0</v>
      </c>
      <c r="AE56" s="316">
        <v>0</v>
      </c>
      <c r="AF56" s="306">
        <f>AF55/AF82</f>
        <v>0</v>
      </c>
      <c r="AG56" s="71"/>
      <c r="AH56" s="316">
        <v>0</v>
      </c>
      <c r="AI56" s="72"/>
      <c r="AJ56" s="316">
        <v>0</v>
      </c>
      <c r="AL56" s="316">
        <v>0</v>
      </c>
    </row>
    <row r="57" spans="2:38" s="54" customFormat="1" ht="14.25" customHeight="1" x14ac:dyDescent="0.25">
      <c r="B57" s="31"/>
      <c r="C57" s="23"/>
      <c r="D57" s="46"/>
      <c r="E57" s="46"/>
      <c r="F57" s="46"/>
      <c r="G57" s="46"/>
      <c r="H57" s="66"/>
      <c r="I57" s="48"/>
      <c r="J57" s="46"/>
      <c r="K57" s="46"/>
      <c r="L57" s="46"/>
      <c r="M57" s="46"/>
      <c r="N57" s="66"/>
      <c r="O57" s="71"/>
      <c r="P57" s="46"/>
      <c r="Q57" s="46"/>
      <c r="R57" s="46"/>
      <c r="S57" s="46"/>
      <c r="T57" s="66"/>
      <c r="U57" s="49"/>
      <c r="V57" s="46"/>
      <c r="W57" s="46"/>
      <c r="X57" s="50"/>
      <c r="Y57" s="50"/>
      <c r="Z57" s="66"/>
      <c r="AA57" s="71"/>
      <c r="AB57" s="50"/>
      <c r="AC57" s="50"/>
      <c r="AD57" s="50"/>
      <c r="AE57" s="50"/>
      <c r="AF57" s="66"/>
      <c r="AG57" s="71"/>
      <c r="AH57" s="68"/>
      <c r="AI57" s="72"/>
      <c r="AJ57" s="68"/>
    </row>
    <row r="58" spans="2:38" s="54" customFormat="1" ht="14.25" customHeight="1" x14ac:dyDescent="0.3">
      <c r="B58" s="39" t="s">
        <v>544</v>
      </c>
      <c r="C58" s="23"/>
      <c r="D58" s="50">
        <f>IS!P30+IS!P32</f>
        <v>221</v>
      </c>
      <c r="E58" s="50">
        <f>IS!Q30+IS!Q32</f>
        <v>259</v>
      </c>
      <c r="F58" s="50">
        <f>IS!R30+IS!R32</f>
        <v>276</v>
      </c>
      <c r="G58" s="50">
        <f>IS!S30+IS!S32</f>
        <v>555</v>
      </c>
      <c r="H58" s="68">
        <f>IS!T30+IS!T32</f>
        <v>1428</v>
      </c>
      <c r="I58" s="48"/>
      <c r="J58" s="50">
        <f>IS!V30+IS!V32</f>
        <v>299</v>
      </c>
      <c r="K58" s="50">
        <f>IS!W30+IS!W32</f>
        <v>190</v>
      </c>
      <c r="L58" s="50">
        <f>IS!X30+IS!X32</f>
        <v>310</v>
      </c>
      <c r="M58" s="50">
        <f>IS!Y30+IS!Y32</f>
        <v>304</v>
      </c>
      <c r="N58" s="68">
        <f>IS!Z30+IS!Z32</f>
        <v>1101</v>
      </c>
      <c r="O58" s="71"/>
      <c r="P58" s="50">
        <f>IS!AB30+IS!AB32</f>
        <v>369</v>
      </c>
      <c r="Q58" s="50">
        <f>IS!AC30+IS!AC32</f>
        <v>295</v>
      </c>
      <c r="R58" s="50">
        <f>IS!AD30+IS!AD32</f>
        <v>264</v>
      </c>
      <c r="S58" s="50">
        <f>IS!AE30+IS!AE32</f>
        <v>279</v>
      </c>
      <c r="T58" s="68">
        <f>IS!AF30+IS!AF32</f>
        <v>1009</v>
      </c>
      <c r="U58" s="49"/>
      <c r="V58" s="50">
        <f>IS!AH30+IS!AH32</f>
        <v>281</v>
      </c>
      <c r="W58" s="50">
        <f>IS!AI30+IS!AI32</f>
        <v>287</v>
      </c>
      <c r="X58" s="46">
        <f>281</f>
        <v>281</v>
      </c>
      <c r="Y58" s="46">
        <f>Y59*Y$31</f>
        <v>165.82860000000002</v>
      </c>
      <c r="Z58" s="57">
        <f>SUM(V58:Y58)</f>
        <v>1014.8286000000001</v>
      </c>
      <c r="AA58" s="71"/>
      <c r="AB58" s="46">
        <f>AB59*AB$31</f>
        <v>180</v>
      </c>
      <c r="AC58" s="46">
        <f>AC59*AC$31</f>
        <v>240</v>
      </c>
      <c r="AD58" s="46">
        <f>AD59*AD$31</f>
        <v>260</v>
      </c>
      <c r="AE58" s="46">
        <f>AE59*AE$31</f>
        <v>278.26</v>
      </c>
      <c r="AF58" s="57">
        <f>SUM(AB58:AE58)</f>
        <v>958.26</v>
      </c>
      <c r="AG58" s="71"/>
      <c r="AH58" s="57">
        <f>AH59*AH$31</f>
        <v>1061.7650000000001</v>
      </c>
      <c r="AI58" s="72"/>
      <c r="AJ58" s="57">
        <f>AJ59*AJ$31</f>
        <v>1204.4636</v>
      </c>
      <c r="AL58" s="57">
        <f>AL59*AL$31</f>
        <v>1261.4795901066379</v>
      </c>
    </row>
    <row r="59" spans="2:38" s="54" customFormat="1" ht="14.25" customHeight="1" x14ac:dyDescent="0.25">
      <c r="B59" s="31" t="s">
        <v>531</v>
      </c>
      <c r="C59" s="21"/>
      <c r="D59" s="305">
        <f>D58/D31</f>
        <v>2.3095412268784615E-2</v>
      </c>
      <c r="E59" s="305">
        <f>E58/E31</f>
        <v>1.93717277486911E-2</v>
      </c>
      <c r="F59" s="305">
        <f>F58/F31</f>
        <v>1.9571691958587434E-2</v>
      </c>
      <c r="G59" s="305">
        <f>G58/G31</f>
        <v>3.5723480947476828E-2</v>
      </c>
      <c r="H59" s="308">
        <f>H58/H31</f>
        <v>2.7160165091199576E-2</v>
      </c>
      <c r="I59" s="48"/>
      <c r="J59" s="305">
        <f>J58/J31</f>
        <v>2.3632627252608285E-2</v>
      </c>
      <c r="K59" s="305">
        <f>K58/K31</f>
        <v>1.0927704606890205E-2</v>
      </c>
      <c r="L59" s="305">
        <f>L58/L31</f>
        <v>1.9619011454971205E-2</v>
      </c>
      <c r="M59" s="305">
        <f>M58/M31</f>
        <v>1.9724889696340515E-2</v>
      </c>
      <c r="N59" s="308">
        <f>N58/N31</f>
        <v>1.7975216731155409E-2</v>
      </c>
      <c r="O59" s="86"/>
      <c r="P59" s="305">
        <f>P58/P31</f>
        <v>3.0283135002051702E-2</v>
      </c>
      <c r="Q59" s="305">
        <f>Q58/Q31</f>
        <v>1.9363308171972432E-2</v>
      </c>
      <c r="R59" s="305">
        <f>R58/R31</f>
        <v>2.0072992700729927E-2</v>
      </c>
      <c r="S59" s="305">
        <f>S58/S31</f>
        <v>2.5038140536659786E-2</v>
      </c>
      <c r="T59" s="308">
        <f>T58/T31</f>
        <v>1.951040297006729E-2</v>
      </c>
      <c r="U59" s="82"/>
      <c r="V59" s="305">
        <f>V58/V31</f>
        <v>3.3027738598965677E-2</v>
      </c>
      <c r="W59" s="305">
        <f>W58/W31</f>
        <v>2.2486876126302593E-2</v>
      </c>
      <c r="X59" s="316">
        <f>X58/X31</f>
        <v>2.3381594275253787E-2</v>
      </c>
      <c r="Y59" s="316">
        <v>1.4E-2</v>
      </c>
      <c r="Z59" s="306">
        <f>Z58/Z$31</f>
        <v>2.2484841770819716E-2</v>
      </c>
      <c r="AA59" s="71"/>
      <c r="AB59" s="316">
        <v>0.02</v>
      </c>
      <c r="AC59" s="316">
        <v>0.02</v>
      </c>
      <c r="AD59" s="316">
        <v>0.02</v>
      </c>
      <c r="AE59" s="316">
        <v>0.02</v>
      </c>
      <c r="AF59" s="306">
        <f>AF58/AF$31</f>
        <v>2.0000196190850285E-2</v>
      </c>
      <c r="AG59" s="71"/>
      <c r="AH59" s="316">
        <v>0.02</v>
      </c>
      <c r="AI59" s="72"/>
      <c r="AJ59" s="316">
        <v>0.02</v>
      </c>
      <c r="AL59" s="316">
        <v>0.02</v>
      </c>
    </row>
    <row r="60" spans="2:38" s="54" customFormat="1" ht="14.25" customHeight="1" x14ac:dyDescent="0.3">
      <c r="B60" s="39"/>
      <c r="C60" s="23"/>
      <c r="D60" s="46"/>
      <c r="E60" s="46"/>
      <c r="F60" s="46"/>
      <c r="G60" s="46"/>
      <c r="H60" s="66"/>
      <c r="I60" s="48"/>
      <c r="J60" s="46"/>
      <c r="K60" s="46"/>
      <c r="L60" s="46"/>
      <c r="M60" s="46"/>
      <c r="N60" s="66"/>
      <c r="O60" s="71"/>
      <c r="P60" s="46"/>
      <c r="Q60" s="46"/>
      <c r="R60" s="46"/>
      <c r="S60" s="46"/>
      <c r="T60" s="66"/>
      <c r="U60" s="49"/>
      <c r="V60" s="46"/>
      <c r="W60" s="46"/>
      <c r="X60" s="50"/>
      <c r="Y60" s="50"/>
      <c r="Z60" s="66"/>
      <c r="AA60" s="71"/>
      <c r="AB60" s="50"/>
      <c r="AC60" s="50"/>
      <c r="AD60" s="50"/>
      <c r="AE60" s="50"/>
      <c r="AF60" s="66"/>
      <c r="AG60" s="71"/>
      <c r="AH60" s="68"/>
      <c r="AI60" s="72"/>
      <c r="AJ60" s="68"/>
    </row>
    <row r="61" spans="2:38" s="54" customFormat="1" ht="14.25" customHeight="1" x14ac:dyDescent="0.3">
      <c r="B61" s="28" t="s">
        <v>545</v>
      </c>
      <c r="C61" s="23"/>
      <c r="D61" s="50">
        <f>IS!P33</f>
        <v>1470</v>
      </c>
      <c r="E61" s="50">
        <f>IS!Q33</f>
        <v>2808</v>
      </c>
      <c r="F61" s="50">
        <f>IS!R33</f>
        <v>2875</v>
      </c>
      <c r="G61" s="50">
        <f>IS!S33</f>
        <v>3000</v>
      </c>
      <c r="H61" s="68">
        <f>IS!T33</f>
        <v>10036</v>
      </c>
      <c r="I61" s="48"/>
      <c r="J61" s="50">
        <f>IS!V33</f>
        <v>2972</v>
      </c>
      <c r="K61" s="50">
        <f>IS!W33</f>
        <v>4590</v>
      </c>
      <c r="L61" s="50">
        <f>IS!X33</f>
        <v>4229</v>
      </c>
      <c r="M61" s="50">
        <f>IS!Y33</f>
        <v>3872</v>
      </c>
      <c r="N61" s="68">
        <f>IS!Z33</f>
        <v>15663</v>
      </c>
      <c r="O61" s="71"/>
      <c r="P61" s="50">
        <f>IS!AB33</f>
        <v>3017</v>
      </c>
      <c r="Q61" s="50">
        <f>IS!AC33</f>
        <v>3953</v>
      </c>
      <c r="R61" s="50">
        <f>IS!AD33</f>
        <v>3195</v>
      </c>
      <c r="S61" s="50">
        <f>IS!AE33</f>
        <v>2435</v>
      </c>
      <c r="T61" s="68">
        <f>IS!AF33</f>
        <v>12802</v>
      </c>
      <c r="U61" s="49"/>
      <c r="V61" s="50">
        <f>IS!AH33</f>
        <v>1692</v>
      </c>
      <c r="W61" s="50">
        <f>IS!AI33</f>
        <v>3121</v>
      </c>
      <c r="X61" s="46">
        <f>X40-X43-X46-X49-X58</f>
        <v>2394</v>
      </c>
      <c r="Y61" s="46">
        <f>Y40-Y43-Y46-Y49-Y58</f>
        <v>2778.2212950000003</v>
      </c>
      <c r="Z61" s="66">
        <f>SUM(V61:Y61)</f>
        <v>9985.2212949999994</v>
      </c>
      <c r="AA61" s="71"/>
      <c r="AB61" s="46">
        <f t="shared" ref="AB61:AE61" si="36">AB40-AB43-AB46-AB49-AB58</f>
        <v>1845</v>
      </c>
      <c r="AC61" s="46">
        <f t="shared" si="36"/>
        <v>2460</v>
      </c>
      <c r="AD61" s="46">
        <f t="shared" si="36"/>
        <v>2782</v>
      </c>
      <c r="AE61" s="46">
        <f t="shared" si="36"/>
        <v>2977.3820000000005</v>
      </c>
      <c r="AF61" s="66">
        <f>SUM(AB61:AE61)</f>
        <v>10064.382000000001</v>
      </c>
      <c r="AG61" s="71"/>
      <c r="AH61" s="54">
        <f>AH40-AH43-AH46-AH49-AH58</f>
        <v>10883.091249999998</v>
      </c>
      <c r="AI61" s="72"/>
      <c r="AJ61" s="54">
        <f>AJ40-AJ43-AJ46-AJ49-AJ58</f>
        <v>13429.769140000004</v>
      </c>
      <c r="AL61" s="54">
        <f>AL40-AL43-AL46-AL49-AL58</f>
        <v>15768.494876332976</v>
      </c>
    </row>
    <row r="62" spans="2:38" s="54" customFormat="1" ht="14.25" customHeight="1" x14ac:dyDescent="0.25">
      <c r="B62" s="31" t="s">
        <v>531</v>
      </c>
      <c r="C62" s="23"/>
      <c r="D62" s="305">
        <f>D61/D31</f>
        <v>0.15362106803218728</v>
      </c>
      <c r="E62" s="305">
        <f>E61/E31</f>
        <v>0.21002243829468961</v>
      </c>
      <c r="F62" s="305">
        <f>F61/F31</f>
        <v>0.20387179123528579</v>
      </c>
      <c r="G62" s="305">
        <f>G61/G31</f>
        <v>0.19309989701338826</v>
      </c>
      <c r="H62" s="308">
        <f>H61/H31</f>
        <v>0.19088194457652585</v>
      </c>
      <c r="I62" s="48"/>
      <c r="J62" s="305">
        <f>J61/J31</f>
        <v>0.23490357255769839</v>
      </c>
      <c r="K62" s="305">
        <f>K61/K31</f>
        <v>0.26399033760855811</v>
      </c>
      <c r="L62" s="305">
        <f>L61/L31</f>
        <v>0.26764128852604263</v>
      </c>
      <c r="M62" s="305">
        <f>M61/M31</f>
        <v>0.25123280560602129</v>
      </c>
      <c r="N62" s="308">
        <f>N61/N31</f>
        <v>0.25571827398736346</v>
      </c>
      <c r="O62" s="71"/>
      <c r="P62" s="305">
        <f>P61/P31</f>
        <v>0.24759950759130078</v>
      </c>
      <c r="Q62" s="305">
        <f>Q61/Q31</f>
        <v>0.25946832950443061</v>
      </c>
      <c r="R62" s="305">
        <f>R61/R31</f>
        <v>0.24292883211678831</v>
      </c>
      <c r="S62" s="305">
        <f>S61/S31</f>
        <v>0.21852283945077627</v>
      </c>
      <c r="T62" s="308">
        <f>T61/T31</f>
        <v>0.24754428030010056</v>
      </c>
      <c r="U62" s="49"/>
      <c r="V62" s="305">
        <f>V61/V31</f>
        <v>0.19887165021156558</v>
      </c>
      <c r="W62" s="305">
        <f>W61/W31</f>
        <v>0.24453498393794562</v>
      </c>
      <c r="X62" s="307">
        <f t="shared" ref="X62:Y62" si="37">X61/X$31</f>
        <v>0.19920119820269597</v>
      </c>
      <c r="Y62" s="307">
        <f t="shared" si="37"/>
        <v>0.23455000000000001</v>
      </c>
      <c r="Z62" s="306">
        <f>Z61/Z$31</f>
        <v>0.2212355080106084</v>
      </c>
      <c r="AA62" s="71"/>
      <c r="AB62" s="307">
        <f t="shared" ref="AB62" si="38">AB61/AB$31</f>
        <v>0.20499999999999999</v>
      </c>
      <c r="AC62" s="307">
        <f t="shared" ref="AC62" si="39">AC61/AC$31</f>
        <v>0.20499999999999999</v>
      </c>
      <c r="AD62" s="307">
        <f t="shared" ref="AD62" si="40">AD61/AD$31</f>
        <v>0.214</v>
      </c>
      <c r="AE62" s="307">
        <f t="shared" ref="AE62" si="41">AE61/AE$31</f>
        <v>0.21400000000000002</v>
      </c>
      <c r="AF62" s="306">
        <f>AF61/AF$31</f>
        <v>0.21005741086934882</v>
      </c>
      <c r="AG62" s="71"/>
      <c r="AH62" s="306">
        <f>AH61/AH$31</f>
        <v>0.20499999999999996</v>
      </c>
      <c r="AI62" s="72"/>
      <c r="AJ62" s="306">
        <f>AJ61/AJ$31</f>
        <v>0.22300000000000006</v>
      </c>
      <c r="AL62" s="306">
        <f>AL61/AL$31</f>
        <v>0.25000000000000006</v>
      </c>
    </row>
    <row r="63" spans="2:38" s="54" customFormat="1" ht="14.25" customHeight="1" x14ac:dyDescent="0.25">
      <c r="B63" s="31"/>
      <c r="C63" s="23"/>
      <c r="D63" s="46"/>
      <c r="E63" s="46"/>
      <c r="F63" s="46"/>
      <c r="G63" s="46"/>
      <c r="H63" s="66"/>
      <c r="I63" s="48"/>
      <c r="J63" s="46"/>
      <c r="K63" s="46"/>
      <c r="L63" s="46"/>
      <c r="M63" s="46"/>
      <c r="N63" s="66"/>
      <c r="O63" s="71"/>
      <c r="P63" s="46"/>
      <c r="Q63" s="46"/>
      <c r="R63" s="46"/>
      <c r="S63" s="46"/>
      <c r="T63" s="66"/>
      <c r="U63" s="49"/>
      <c r="V63" s="46"/>
      <c r="W63" s="46"/>
      <c r="X63" s="50"/>
      <c r="Y63" s="50"/>
      <c r="Z63" s="66"/>
      <c r="AA63" s="71"/>
      <c r="AB63" s="50"/>
      <c r="AC63" s="50"/>
      <c r="AD63" s="50"/>
      <c r="AE63" s="50"/>
      <c r="AF63" s="66"/>
      <c r="AG63" s="71"/>
      <c r="AH63" s="68"/>
      <c r="AI63" s="72"/>
      <c r="AJ63" s="68"/>
    </row>
    <row r="64" spans="2:38" s="54" customFormat="1" ht="14.25" customHeight="1" x14ac:dyDescent="0.3">
      <c r="B64" s="28" t="s">
        <v>546</v>
      </c>
      <c r="C64" s="23"/>
      <c r="D64" s="320">
        <f>IS!P59</f>
        <v>307.39999999999998</v>
      </c>
      <c r="E64" s="320">
        <f>IS!Q59</f>
        <v>306.2</v>
      </c>
      <c r="F64" s="320">
        <f>IS!R59</f>
        <v>304.10000000000002</v>
      </c>
      <c r="G64" s="320">
        <f>IS!S59</f>
        <v>300.60000000000002</v>
      </c>
      <c r="H64" s="330">
        <f>IS!T59</f>
        <v>304.5</v>
      </c>
      <c r="I64" s="331"/>
      <c r="J64" s="320">
        <f>IS!V59</f>
        <v>297.60000000000002</v>
      </c>
      <c r="K64" s="320">
        <f>IS!W59</f>
        <v>295.10000000000002</v>
      </c>
      <c r="L64" s="320">
        <f>IS!X59</f>
        <v>290.8</v>
      </c>
      <c r="M64" s="320">
        <f>IS!Y59</f>
        <v>285.5</v>
      </c>
      <c r="N64" s="330">
        <f>IS!Z59</f>
        <v>292.2</v>
      </c>
      <c r="O64" s="334"/>
      <c r="P64" s="320">
        <f>IS!AB59</f>
        <v>279.89999999999998</v>
      </c>
      <c r="Q64" s="320">
        <f>IS!AC59</f>
        <v>276.8</v>
      </c>
      <c r="R64" s="320">
        <f>IS!AD59</f>
        <v>274.5</v>
      </c>
      <c r="S64" s="320">
        <f>IS!AE59</f>
        <v>272.60000000000002</v>
      </c>
      <c r="T64" s="330">
        <f>IS!AF59</f>
        <v>276</v>
      </c>
      <c r="U64" s="335"/>
      <c r="V64" s="320">
        <f>IS!AH59</f>
        <v>271.60000000000002</v>
      </c>
      <c r="W64" s="320">
        <f>IS!AI59</f>
        <v>271.10000000000002</v>
      </c>
      <c r="X64" s="320">
        <f>W64+X101</f>
        <v>271.12611200144795</v>
      </c>
      <c r="Y64" s="320">
        <f>X64+Y101</f>
        <v>271.1485255405056</v>
      </c>
      <c r="Z64" s="330">
        <f>AVERAGE(V64:Y64)</f>
        <v>271.2436593854884</v>
      </c>
      <c r="AA64" s="71"/>
      <c r="AB64" s="320">
        <f>Y64+AB101</f>
        <v>271.16537356037827</v>
      </c>
      <c r="AC64" s="320">
        <f t="shared" ref="AC64:AE64" si="42">AB64+AC101</f>
        <v>271.18822106047429</v>
      </c>
      <c r="AD64" s="320">
        <f t="shared" si="42"/>
        <v>271.21244438226677</v>
      </c>
      <c r="AE64" s="320">
        <f t="shared" si="42"/>
        <v>271.23725214430812</v>
      </c>
      <c r="AF64" s="330">
        <f>AVERAGE(AB64:AE64)</f>
        <v>271.20082278685686</v>
      </c>
      <c r="AG64" s="71"/>
      <c r="AH64" s="330">
        <f>AE64+AH101</f>
        <v>271.57901108200997</v>
      </c>
      <c r="AI64" s="72"/>
      <c r="AJ64" s="330">
        <f>AF64+AJ101</f>
        <v>271.54301234082021</v>
      </c>
      <c r="AL64" s="330">
        <f>AH64+AL101</f>
        <v>271.92115527755942</v>
      </c>
    </row>
    <row r="65" spans="2:38" s="54" customFormat="1" ht="14.25" customHeight="1" x14ac:dyDescent="0.3">
      <c r="B65" s="28" t="s">
        <v>547</v>
      </c>
      <c r="C65" s="23"/>
      <c r="D65" s="320">
        <f>IS!P60</f>
        <v>309.39999999999998</v>
      </c>
      <c r="E65" s="320">
        <f>IS!Q60</f>
        <v>308.10000000000002</v>
      </c>
      <c r="F65" s="320">
        <f>IS!R60</f>
        <v>305.7</v>
      </c>
      <c r="G65" s="320">
        <f>IS!S60</f>
        <v>302.10000000000002</v>
      </c>
      <c r="H65" s="330">
        <f>IS!T60</f>
        <v>306.3</v>
      </c>
      <c r="I65" s="331"/>
      <c r="J65" s="320">
        <f>IS!V60</f>
        <v>299.10000000000002</v>
      </c>
      <c r="K65" s="320">
        <f>IS!W60</f>
        <v>296.5</v>
      </c>
      <c r="L65" s="320">
        <f>IS!X60</f>
        <v>292.10000000000002</v>
      </c>
      <c r="M65" s="320">
        <f>IS!Y60</f>
        <v>286.89999999999998</v>
      </c>
      <c r="N65" s="330">
        <f>IS!Z60</f>
        <v>293.60000000000002</v>
      </c>
      <c r="O65" s="334"/>
      <c r="P65" s="320">
        <f>IS!AB60</f>
        <v>281.10000000000002</v>
      </c>
      <c r="Q65" s="320">
        <f>IS!AC60</f>
        <v>277.89999999999998</v>
      </c>
      <c r="R65" s="320">
        <f>IS!AD60</f>
        <v>275.60000000000002</v>
      </c>
      <c r="S65" s="320">
        <f>IS!AE60</f>
        <v>273.60000000000002</v>
      </c>
      <c r="T65" s="330">
        <f>IS!AF60</f>
        <v>277.10000000000002</v>
      </c>
      <c r="U65" s="335"/>
      <c r="V65" s="320">
        <f>IS!AH60</f>
        <v>272.3</v>
      </c>
      <c r="W65" s="320">
        <f>IS!AI60</f>
        <v>271.8</v>
      </c>
      <c r="X65" s="320">
        <f>W65</f>
        <v>271.8</v>
      </c>
      <c r="Y65" s="320">
        <f>X65</f>
        <v>271.8</v>
      </c>
      <c r="Z65" s="330">
        <f>AVERAGE(V65:Y65)</f>
        <v>271.92500000000001</v>
      </c>
      <c r="AA65" s="71"/>
      <c r="AB65" s="320">
        <f>Y65</f>
        <v>271.8</v>
      </c>
      <c r="AC65" s="320">
        <f t="shared" ref="AC65:AE65" si="43">AB65</f>
        <v>271.8</v>
      </c>
      <c r="AD65" s="320">
        <f t="shared" si="43"/>
        <v>271.8</v>
      </c>
      <c r="AE65" s="320">
        <f t="shared" si="43"/>
        <v>271.8</v>
      </c>
      <c r="AF65" s="330">
        <f>AVERAGE(AB65:AE65)</f>
        <v>271.8</v>
      </c>
      <c r="AG65" s="71"/>
      <c r="AH65" s="330">
        <f>AF65</f>
        <v>271.8</v>
      </c>
      <c r="AI65" s="72"/>
      <c r="AJ65" s="330">
        <f>AH65</f>
        <v>271.8</v>
      </c>
      <c r="AL65" s="330">
        <f>AJ65</f>
        <v>271.8</v>
      </c>
    </row>
    <row r="66" spans="2:38" ht="14.25" customHeight="1" x14ac:dyDescent="0.25">
      <c r="U66" s="205"/>
    </row>
    <row r="67" spans="2:38" s="55" customFormat="1" ht="14.25" customHeight="1" x14ac:dyDescent="0.3">
      <c r="B67" s="161" t="s">
        <v>548</v>
      </c>
      <c r="C67" s="32"/>
      <c r="D67" s="358" t="s">
        <v>549</v>
      </c>
      <c r="E67" s="358" t="s">
        <v>550</v>
      </c>
      <c r="F67" s="358" t="s">
        <v>551</v>
      </c>
      <c r="G67" s="358" t="s">
        <v>552</v>
      </c>
      <c r="H67" s="358" t="s">
        <v>553</v>
      </c>
      <c r="I67" s="37"/>
      <c r="J67" s="358" t="s">
        <v>554</v>
      </c>
      <c r="K67" s="358" t="s">
        <v>555</v>
      </c>
      <c r="L67" s="358" t="s">
        <v>556</v>
      </c>
      <c r="M67" s="358" t="s">
        <v>557</v>
      </c>
      <c r="N67" s="358" t="s">
        <v>558</v>
      </c>
      <c r="O67" s="37"/>
      <c r="P67" s="358" t="s">
        <v>559</v>
      </c>
      <c r="Q67" s="358" t="s">
        <v>560</v>
      </c>
      <c r="R67" s="358" t="s">
        <v>561</v>
      </c>
      <c r="S67" s="358" t="s">
        <v>562</v>
      </c>
      <c r="T67" s="358" t="s">
        <v>563</v>
      </c>
      <c r="U67" s="37"/>
      <c r="V67" s="358" t="s">
        <v>564</v>
      </c>
      <c r="W67" s="358" t="s">
        <v>565</v>
      </c>
      <c r="X67" s="358" t="s">
        <v>566</v>
      </c>
      <c r="Y67" s="358" t="s">
        <v>567</v>
      </c>
      <c r="Z67" s="358" t="s">
        <v>568</v>
      </c>
      <c r="AA67" s="37"/>
      <c r="AB67" s="358" t="s">
        <v>569</v>
      </c>
      <c r="AC67" s="358" t="s">
        <v>570</v>
      </c>
      <c r="AD67" s="358" t="s">
        <v>571</v>
      </c>
      <c r="AE67" s="358" t="s">
        <v>572</v>
      </c>
      <c r="AF67" s="358" t="s">
        <v>573</v>
      </c>
      <c r="AG67" s="37"/>
      <c r="AH67" s="358" t="s">
        <v>574</v>
      </c>
      <c r="AI67" s="37"/>
      <c r="AJ67" s="358" t="s">
        <v>575</v>
      </c>
      <c r="AK67" s="358"/>
      <c r="AL67" s="358" t="s">
        <v>576</v>
      </c>
    </row>
    <row r="68" spans="2:38" ht="4.3499999999999996" customHeight="1" x14ac:dyDescent="0.25">
      <c r="B68" s="288"/>
      <c r="C68" s="36"/>
      <c r="D68" s="288"/>
      <c r="E68" s="288"/>
      <c r="F68" s="288"/>
      <c r="G68" s="288"/>
      <c r="H68" s="288"/>
      <c r="I68" s="36"/>
      <c r="J68" s="288"/>
      <c r="K68" s="288"/>
      <c r="L68" s="288"/>
      <c r="M68" s="288"/>
      <c r="N68" s="288"/>
      <c r="O68" s="36"/>
      <c r="P68" s="288"/>
      <c r="Q68" s="288"/>
      <c r="R68" s="288"/>
      <c r="S68" s="288"/>
      <c r="T68" s="288"/>
      <c r="U68" s="36"/>
      <c r="V68" s="288"/>
      <c r="W68" s="288"/>
      <c r="X68" s="288"/>
      <c r="Y68" s="288"/>
      <c r="Z68" s="288"/>
      <c r="AA68" s="36"/>
      <c r="AB68" s="288"/>
      <c r="AC68" s="288"/>
      <c r="AD68" s="288"/>
      <c r="AE68" s="288"/>
      <c r="AF68" s="288"/>
      <c r="AG68" s="36"/>
      <c r="AH68" s="288"/>
      <c r="AI68" s="36"/>
      <c r="AJ68" s="289"/>
      <c r="AK68" s="288"/>
      <c r="AL68" s="288"/>
    </row>
    <row r="69" spans="2:38" ht="4.3499999999999996" customHeight="1" x14ac:dyDescent="0.25">
      <c r="U69" s="205"/>
    </row>
    <row r="70" spans="2:38" ht="14.25" customHeight="1" x14ac:dyDescent="0.3">
      <c r="B70" s="28" t="s">
        <v>577</v>
      </c>
      <c r="D70" s="50">
        <f>BS!P18</f>
        <v>4855</v>
      </c>
      <c r="E70" s="50">
        <f>BS!Q18</f>
        <v>6258</v>
      </c>
      <c r="F70" s="50">
        <f>BS!R18</f>
        <v>6696</v>
      </c>
      <c r="G70" s="50">
        <f>BS!S18</f>
        <v>6410</v>
      </c>
      <c r="H70" s="68">
        <f>BS!T18</f>
        <v>6410</v>
      </c>
      <c r="J70" s="50">
        <f>BS!V18</f>
        <v>7609</v>
      </c>
      <c r="K70" s="50">
        <f>BS!W18</f>
        <v>9971</v>
      </c>
      <c r="L70" s="50">
        <f>BS!X18</f>
        <v>9297</v>
      </c>
      <c r="M70" s="50">
        <f>BS!Y18</f>
        <v>7739</v>
      </c>
      <c r="N70" s="68">
        <f>BS!Z18</f>
        <v>7739</v>
      </c>
      <c r="P70" s="50">
        <f>BS!AB18</f>
        <v>7795</v>
      </c>
      <c r="Q70" s="50">
        <f>BS!AC18</f>
        <v>8880</v>
      </c>
      <c r="R70" s="50">
        <f>BS!AD18</f>
        <v>7469</v>
      </c>
      <c r="S70" s="50">
        <f>BS!AE18</f>
        <v>5326</v>
      </c>
      <c r="T70" s="68">
        <f>BS!AF18</f>
        <v>5326</v>
      </c>
      <c r="U70" s="205"/>
      <c r="V70" s="50">
        <f>BS!AH18</f>
        <v>4931</v>
      </c>
      <c r="W70" s="50">
        <f>BS!AI18</f>
        <v>6748</v>
      </c>
      <c r="X70" s="46">
        <v>6103</v>
      </c>
      <c r="Y70" s="46">
        <f>Y31*Y71/92</f>
        <v>5793.7010869565229</v>
      </c>
      <c r="Z70" s="312">
        <f>Y70</f>
        <v>5793.7010869565229</v>
      </c>
      <c r="AB70" s="46">
        <f>AB31*AB71/90</f>
        <v>4500</v>
      </c>
      <c r="AC70" s="46">
        <f>AC31*AC71/91</f>
        <v>5934.065934065934</v>
      </c>
      <c r="AD70" s="46">
        <f t="shared" ref="AD70:AE70" si="44">AD31*AD71/92</f>
        <v>6358.695652173913</v>
      </c>
      <c r="AE70" s="46">
        <f t="shared" si="44"/>
        <v>6805.271739130435</v>
      </c>
      <c r="AF70" s="312">
        <f>AE70</f>
        <v>6805.271739130435</v>
      </c>
      <c r="AH70" s="312">
        <f>AH31*AH71/365</f>
        <v>6545.1267123287671</v>
      </c>
      <c r="AJ70" s="312">
        <f>AJ31*AJ71/366</f>
        <v>7404.4893442622952</v>
      </c>
      <c r="AL70" s="312">
        <f>AL31*AL71/365</f>
        <v>7776.2440486025625</v>
      </c>
    </row>
    <row r="71" spans="2:38" ht="14.25" customHeight="1" x14ac:dyDescent="0.25">
      <c r="B71" s="31" t="s">
        <v>578</v>
      </c>
      <c r="D71" s="323">
        <f>D70/D31*90</f>
        <v>45.66307869160832</v>
      </c>
      <c r="E71" s="323">
        <f>E70/E31*91</f>
        <v>42.59371727748691</v>
      </c>
      <c r="F71" s="323">
        <f>F70/F31*92</f>
        <v>43.684016451567153</v>
      </c>
      <c r="G71" s="323">
        <f>G70/G31*92</f>
        <v>37.958290422245106</v>
      </c>
      <c r="H71" s="324">
        <f>H70/H31*365</f>
        <v>44.499495977328486</v>
      </c>
      <c r="I71" s="325"/>
      <c r="J71" s="323">
        <f>J70/J31*90</f>
        <v>54.126620297186221</v>
      </c>
      <c r="K71" s="323">
        <f>K70/K31*91</f>
        <v>52.186173577960545</v>
      </c>
      <c r="L71" s="323">
        <f>L70/L31*92</f>
        <v>54.131004366812228</v>
      </c>
      <c r="M71" s="323">
        <f>M70/M31*92</f>
        <v>46.196989358941089</v>
      </c>
      <c r="N71" s="324">
        <f>N70/N31*365</f>
        <v>46.117369512334491</v>
      </c>
      <c r="O71" s="325"/>
      <c r="P71" s="323">
        <f>P70/P31*90</f>
        <v>57.574887156339763</v>
      </c>
      <c r="Q71" s="323">
        <f>Q70/Q31*91</f>
        <v>53.041023957991463</v>
      </c>
      <c r="R71" s="323">
        <f>R70/R31*92</f>
        <v>52.24665450121654</v>
      </c>
      <c r="S71" s="323">
        <f>S70/S31*92</f>
        <v>43.973077268240154</v>
      </c>
      <c r="T71" s="324">
        <f>T70/T31*365</f>
        <v>37.589720782736485</v>
      </c>
      <c r="U71" s="326"/>
      <c r="V71" s="323">
        <f>V70/V31*90</f>
        <v>52.16149506346968</v>
      </c>
      <c r="W71" s="323">
        <f>W70/W31*91</f>
        <v>48.113139543994357</v>
      </c>
      <c r="X71" s="327">
        <f>X70/X31*92</f>
        <v>46.719587285738058</v>
      </c>
      <c r="Y71" s="327">
        <v>45</v>
      </c>
      <c r="Z71" s="324">
        <f>Z70/Z31*365</f>
        <v>46.853936769016876</v>
      </c>
      <c r="AA71" s="325"/>
      <c r="AB71" s="327">
        <v>45</v>
      </c>
      <c r="AC71" s="327">
        <v>45</v>
      </c>
      <c r="AD71" s="327">
        <v>45</v>
      </c>
      <c r="AE71" s="327">
        <v>45</v>
      </c>
      <c r="AF71" s="324">
        <f>AF70/AF31*365</f>
        <v>51.842893388902837</v>
      </c>
      <c r="AG71" s="325"/>
      <c r="AH71" s="327">
        <v>45</v>
      </c>
      <c r="AI71" s="325"/>
      <c r="AJ71" s="327">
        <v>45</v>
      </c>
      <c r="AK71" s="324"/>
      <c r="AL71" s="327">
        <v>45</v>
      </c>
    </row>
    <row r="72" spans="2:38" ht="14.25" customHeight="1" x14ac:dyDescent="0.3">
      <c r="B72" s="28"/>
      <c r="D72" s="46"/>
      <c r="E72" s="46"/>
      <c r="F72" s="46"/>
      <c r="G72" s="46"/>
      <c r="J72" s="46"/>
      <c r="K72" s="46"/>
      <c r="L72" s="46"/>
      <c r="M72" s="46"/>
      <c r="P72" s="46"/>
      <c r="Q72" s="46"/>
      <c r="R72" s="46"/>
      <c r="S72" s="46"/>
      <c r="U72" s="205"/>
      <c r="V72" s="46"/>
      <c r="W72" s="46"/>
      <c r="X72" s="46"/>
      <c r="Y72" s="46"/>
      <c r="AB72" s="46"/>
      <c r="AC72" s="46"/>
      <c r="AD72" s="46"/>
      <c r="AE72" s="46"/>
    </row>
    <row r="73" spans="2:38" ht="14.25" customHeight="1" x14ac:dyDescent="0.3">
      <c r="B73" s="28" t="s">
        <v>579</v>
      </c>
      <c r="D73" s="50">
        <f>BS!P19</f>
        <v>7935</v>
      </c>
      <c r="E73" s="50">
        <f>BS!Q19</f>
        <v>9030</v>
      </c>
      <c r="F73" s="50">
        <f>BS!R19</f>
        <v>9121</v>
      </c>
      <c r="G73" s="50">
        <f>BS!S19</f>
        <v>8495</v>
      </c>
      <c r="H73" s="68">
        <f>BS!T19</f>
        <v>8495</v>
      </c>
      <c r="J73" s="50">
        <f>BS!V19</f>
        <v>10056</v>
      </c>
      <c r="K73" s="50">
        <f>BS!W19</f>
        <v>9713</v>
      </c>
      <c r="L73" s="50">
        <f>BS!X19</f>
        <v>9350</v>
      </c>
      <c r="M73" s="50">
        <f>BS!Y19</f>
        <v>8160</v>
      </c>
      <c r="N73" s="68">
        <f>BS!Z19</f>
        <v>8160</v>
      </c>
      <c r="P73" s="50">
        <f>BS!AB19</f>
        <v>8937</v>
      </c>
      <c r="Q73" s="50">
        <f>BS!AC19</f>
        <v>8443</v>
      </c>
      <c r="R73" s="50">
        <f>BS!AD19</f>
        <v>7696</v>
      </c>
      <c r="S73" s="50">
        <f>BS!AE19</f>
        <v>7093</v>
      </c>
      <c r="T73" s="68">
        <f>BS!AF19</f>
        <v>7093</v>
      </c>
      <c r="U73" s="205"/>
      <c r="V73" s="50">
        <f>BS!AH19</f>
        <v>7744</v>
      </c>
      <c r="W73" s="50">
        <f>BS!AI19</f>
        <v>7870</v>
      </c>
      <c r="X73" s="46">
        <v>7713</v>
      </c>
      <c r="Y73" s="46">
        <f>Y74*Y34/92</f>
        <v>6488.9452173913051</v>
      </c>
      <c r="Z73" s="312">
        <f>Y73</f>
        <v>6488.9452173913051</v>
      </c>
      <c r="AB73" s="46">
        <f t="shared" ref="AB73:AE73" si="45">AB74*AB34/92</f>
        <v>5086.95652173913</v>
      </c>
      <c r="AC73" s="46">
        <f t="shared" si="45"/>
        <v>6782.608695652174</v>
      </c>
      <c r="AD73" s="46">
        <f t="shared" si="45"/>
        <v>7234.782608695652</v>
      </c>
      <c r="AE73" s="46">
        <f t="shared" si="45"/>
        <v>7742.8869565217392</v>
      </c>
      <c r="AF73" s="312">
        <f>AE73</f>
        <v>7742.8869565217392</v>
      </c>
      <c r="AH73" s="312">
        <f>AH74*AH34/365</f>
        <v>7563.2575342465752</v>
      </c>
      <c r="AJ73" s="312">
        <f>AJ74*AJ34/366</f>
        <v>8293.0280655737697</v>
      </c>
      <c r="AL73" s="312">
        <f>AL74*AL34/365</f>
        <v>8294.6603185094009</v>
      </c>
    </row>
    <row r="74" spans="2:38" ht="14.25" customHeight="1" x14ac:dyDescent="0.25">
      <c r="B74" s="31" t="s">
        <v>580</v>
      </c>
      <c r="D74" s="323">
        <f>D73/D34*90</f>
        <v>106.66915608663182</v>
      </c>
      <c r="E74" s="323">
        <f>E73/E34*91</f>
        <v>92.142857142857153</v>
      </c>
      <c r="F74" s="323">
        <f>F73/F34*92</f>
        <v>88.227526022500271</v>
      </c>
      <c r="G74" s="323">
        <f>G73/G34*92</f>
        <v>76.516545917368319</v>
      </c>
      <c r="H74" s="324">
        <f>H73/H34*365</f>
        <v>87.743364083988908</v>
      </c>
      <c r="I74" s="325"/>
      <c r="J74" s="323">
        <f>J73/J34*90</f>
        <v>114.0710864633224</v>
      </c>
      <c r="K74" s="323">
        <f>K73/K34*91</f>
        <v>82.374930102516316</v>
      </c>
      <c r="L74" s="323">
        <f>L73/L34*92</f>
        <v>89.380714879468002</v>
      </c>
      <c r="M74" s="323">
        <f>M73/M34*92</f>
        <v>79.635090696934341</v>
      </c>
      <c r="N74" s="324">
        <f>N73/N34*365</f>
        <v>78.971231605462009</v>
      </c>
      <c r="O74" s="325"/>
      <c r="P74" s="323">
        <f>P73/P34*90</f>
        <v>111.71249999999999</v>
      </c>
      <c r="Q74" s="323">
        <f>Q73/Q34*91</f>
        <v>83.904444687124609</v>
      </c>
      <c r="R74" s="323">
        <f>R73/R34*92</f>
        <v>90.218144750254837</v>
      </c>
      <c r="S74" s="323">
        <f>S73/S34*92</f>
        <v>99.308476639780864</v>
      </c>
      <c r="T74" s="324">
        <f>T73/T34*365</f>
        <v>84.124939073923642</v>
      </c>
      <c r="U74" s="326"/>
      <c r="V74" s="323">
        <f>V73/V34*90</f>
        <v>138.36807623585466</v>
      </c>
      <c r="W74" s="323">
        <f>W73/W34*91</f>
        <v>94.121435142594294</v>
      </c>
      <c r="X74" s="327">
        <f>X73/X34*92</f>
        <v>93.737912813738447</v>
      </c>
      <c r="Y74" s="327">
        <v>80</v>
      </c>
      <c r="Z74" s="324">
        <f>Z73/Z34*365</f>
        <v>85.571227885158734</v>
      </c>
      <c r="AA74" s="325"/>
      <c r="AB74" s="327">
        <v>80</v>
      </c>
      <c r="AC74" s="327">
        <v>80</v>
      </c>
      <c r="AD74" s="327">
        <v>80</v>
      </c>
      <c r="AE74" s="327">
        <v>80</v>
      </c>
      <c r="AF74" s="324">
        <f>AF73/AF34*365</f>
        <v>91.537359822999662</v>
      </c>
      <c r="AG74" s="325"/>
      <c r="AH74" s="327">
        <v>80</v>
      </c>
      <c r="AI74" s="325"/>
      <c r="AJ74" s="327">
        <v>80</v>
      </c>
      <c r="AK74" s="324"/>
      <c r="AL74" s="327">
        <v>80</v>
      </c>
    </row>
    <row r="75" spans="2:38" ht="14.25" customHeight="1" x14ac:dyDescent="0.3">
      <c r="B75" s="28"/>
      <c r="D75" s="46"/>
      <c r="E75" s="46"/>
      <c r="F75" s="46"/>
      <c r="G75" s="46"/>
      <c r="J75" s="46"/>
      <c r="K75" s="46"/>
      <c r="L75" s="46"/>
      <c r="M75" s="46"/>
      <c r="P75" s="46"/>
      <c r="Q75" s="46"/>
      <c r="R75" s="46"/>
      <c r="S75" s="46"/>
      <c r="U75" s="205"/>
      <c r="V75" s="46"/>
      <c r="W75" s="46"/>
      <c r="X75" s="46"/>
      <c r="Y75" s="46"/>
      <c r="AB75" s="46"/>
      <c r="AC75" s="46"/>
      <c r="AD75" s="46"/>
      <c r="AE75" s="46"/>
    </row>
    <row r="76" spans="2:38" ht="14.25" customHeight="1" x14ac:dyDescent="0.3">
      <c r="B76" s="28" t="s">
        <v>581</v>
      </c>
      <c r="D76" s="50">
        <f>BS!P20</f>
        <v>1936</v>
      </c>
      <c r="E76" s="50">
        <f>BS!Q20</f>
        <v>2306</v>
      </c>
      <c r="F76" s="50">
        <f>BS!R20</f>
        <v>1999</v>
      </c>
      <c r="G76" s="50">
        <f>BS!S20</f>
        <v>2492</v>
      </c>
      <c r="H76" s="68">
        <f>BS!T20</f>
        <v>2492</v>
      </c>
      <c r="J76" s="50">
        <f>BS!V20</f>
        <v>1992</v>
      </c>
      <c r="K76" s="50">
        <f>BS!W20</f>
        <v>2593</v>
      </c>
      <c r="L76" s="50">
        <f>BS!X20</f>
        <v>3118</v>
      </c>
      <c r="M76" s="50">
        <f>BS!Y20</f>
        <v>2623</v>
      </c>
      <c r="N76" s="68">
        <f>BS!Z20</f>
        <v>2623</v>
      </c>
      <c r="P76" s="50">
        <f>BS!AB20</f>
        <v>2017</v>
      </c>
      <c r="Q76" s="50">
        <f>BS!AC20</f>
        <v>2535</v>
      </c>
      <c r="R76" s="50">
        <f>BS!AD20</f>
        <v>5235</v>
      </c>
      <c r="S76" s="50">
        <f>BS!AE20</f>
        <v>5489</v>
      </c>
      <c r="T76" s="68">
        <f>BS!AF20</f>
        <v>5489</v>
      </c>
      <c r="U76" s="205"/>
      <c r="V76" s="50">
        <f>BS!AH20</f>
        <v>5908</v>
      </c>
      <c r="W76" s="50">
        <f>BS!AI20</f>
        <v>2975</v>
      </c>
      <c r="X76" s="46">
        <f>X77*X$31</f>
        <v>4807.2</v>
      </c>
      <c r="Y76" s="46">
        <f>Y77*Y$31</f>
        <v>4737.9600000000009</v>
      </c>
      <c r="Z76" s="312">
        <f>Y76</f>
        <v>4737.9600000000009</v>
      </c>
      <c r="AB76" s="46">
        <f t="shared" ref="AB76:AE76" si="46">AB77*AB$31</f>
        <v>3600</v>
      </c>
      <c r="AC76" s="46">
        <f t="shared" si="46"/>
        <v>4800</v>
      </c>
      <c r="AD76" s="46">
        <f t="shared" si="46"/>
        <v>5200</v>
      </c>
      <c r="AE76" s="46">
        <f t="shared" si="46"/>
        <v>5565.2000000000007</v>
      </c>
      <c r="AF76" s="312">
        <f>AE76</f>
        <v>5565.2000000000007</v>
      </c>
      <c r="AH76" s="57">
        <f>AH77*AH$31</f>
        <v>5308.8250000000007</v>
      </c>
      <c r="AJ76" s="57">
        <f>AJ77*AJ$31</f>
        <v>6022.3180000000002</v>
      </c>
      <c r="AL76" s="57">
        <f>AL77*AL$31</f>
        <v>6307.3979505331899</v>
      </c>
    </row>
    <row r="77" spans="2:38" ht="14.25" customHeight="1" x14ac:dyDescent="0.25">
      <c r="B77" s="31" t="s">
        <v>531</v>
      </c>
      <c r="D77" s="305">
        <f>D76/D31</f>
        <v>0.20231999163966977</v>
      </c>
      <c r="E77" s="305">
        <f>E76/E31</f>
        <v>0.17247569184741959</v>
      </c>
      <c r="F77" s="305">
        <f>F76/F31</f>
        <v>0.14175294284498652</v>
      </c>
      <c r="G77" s="305">
        <f>G76/G31</f>
        <v>0.16040164778578786</v>
      </c>
      <c r="H77" s="308">
        <f>H76/H31</f>
        <v>4.7397150845426707E-2</v>
      </c>
      <c r="J77" s="305">
        <f>J76/J31</f>
        <v>0.15744546316787861</v>
      </c>
      <c r="K77" s="305">
        <f>K76/K31</f>
        <v>0.14913441076666475</v>
      </c>
      <c r="L77" s="305">
        <f>L76/L31</f>
        <v>0.19732928295677488</v>
      </c>
      <c r="M77" s="305">
        <f>M76/M31</f>
        <v>0.170192058136517</v>
      </c>
      <c r="N77" s="308">
        <f>N76/N31</f>
        <v>4.2823790631989683E-2</v>
      </c>
      <c r="P77" s="305">
        <f>P76/P31</f>
        <v>0.16553139105457529</v>
      </c>
      <c r="Q77" s="305">
        <f>Q76/Q31</f>
        <v>0.16639317361339023</v>
      </c>
      <c r="R77" s="305">
        <f>R76/R31</f>
        <v>0.39803832116788324</v>
      </c>
      <c r="S77" s="305">
        <f>S76/S31</f>
        <v>0.49259624876604147</v>
      </c>
      <c r="T77" s="308">
        <f>T76/T31</f>
        <v>0.10613736561218966</v>
      </c>
      <c r="U77" s="205"/>
      <c r="V77" s="305">
        <f>V76/V31</f>
        <v>0.69440526563234606</v>
      </c>
      <c r="W77" s="305">
        <f>W76/W31</f>
        <v>0.23309566716289273</v>
      </c>
      <c r="X77" s="316">
        <v>0.4</v>
      </c>
      <c r="Y77" s="316">
        <v>0.4</v>
      </c>
      <c r="Z77" s="306">
        <f>Z76/Z$31</f>
        <v>0.10497563915371817</v>
      </c>
      <c r="AB77" s="316">
        <v>0.4</v>
      </c>
      <c r="AC77" s="316">
        <v>0.4</v>
      </c>
      <c r="AD77" s="316">
        <v>0.4</v>
      </c>
      <c r="AE77" s="316">
        <v>0.4</v>
      </c>
      <c r="AF77" s="306">
        <f>AF76/AF$31</f>
        <v>0.11615333191547182</v>
      </c>
      <c r="AH77" s="316">
        <v>0.1</v>
      </c>
      <c r="AJ77" s="316">
        <v>0.1</v>
      </c>
      <c r="AL77" s="316">
        <v>0.1</v>
      </c>
    </row>
    <row r="78" spans="2:38" ht="14.25" customHeight="1" x14ac:dyDescent="0.3">
      <c r="B78" s="28"/>
      <c r="D78" s="46"/>
      <c r="E78" s="46"/>
      <c r="F78" s="46"/>
      <c r="G78" s="46"/>
      <c r="J78" s="46"/>
      <c r="K78" s="46"/>
      <c r="L78" s="46"/>
      <c r="M78" s="46"/>
      <c r="P78" s="46"/>
      <c r="Q78" s="46"/>
      <c r="R78" s="46"/>
      <c r="S78" s="46"/>
      <c r="U78" s="205"/>
      <c r="V78" s="46"/>
      <c r="W78" s="46"/>
      <c r="X78" s="46"/>
      <c r="Y78" s="46"/>
      <c r="AB78" s="46"/>
      <c r="AC78" s="46"/>
      <c r="AD78" s="46"/>
      <c r="AE78" s="46"/>
    </row>
    <row r="79" spans="2:38" ht="14.25" customHeight="1" x14ac:dyDescent="0.3">
      <c r="B79" s="28" t="s">
        <v>582</v>
      </c>
      <c r="D79" s="50">
        <f>BS!P24</f>
        <v>12289</v>
      </c>
      <c r="E79" s="50">
        <f>BS!Q24</f>
        <v>12180</v>
      </c>
      <c r="F79" s="50">
        <f>BS!R24</f>
        <v>12220</v>
      </c>
      <c r="G79" s="50">
        <f>BS!S24</f>
        <v>12679</v>
      </c>
      <c r="H79" s="68">
        <f>BS!T24</f>
        <v>12679</v>
      </c>
      <c r="J79" s="50">
        <f>BS!V24</f>
        <v>12714</v>
      </c>
      <c r="K79" s="50">
        <f>BS!W24</f>
        <v>12812</v>
      </c>
      <c r="L79" s="50">
        <f>BS!X24</f>
        <v>13127</v>
      </c>
      <c r="M79" s="50">
        <f>BS!Y24</f>
        <v>13796</v>
      </c>
      <c r="N79" s="68">
        <f>BS!Z24</f>
        <v>13796</v>
      </c>
      <c r="P79" s="50">
        <f>BS!AB24</f>
        <v>13665</v>
      </c>
      <c r="Q79" s="50">
        <f>BS!AC24</f>
        <v>13999</v>
      </c>
      <c r="R79" s="50">
        <f>BS!AD24</f>
        <v>14210</v>
      </c>
      <c r="S79" s="50">
        <f>BS!AE24</f>
        <v>15031</v>
      </c>
      <c r="T79" s="68">
        <f>BS!AF24</f>
        <v>15031</v>
      </c>
      <c r="U79" s="205"/>
      <c r="V79" s="50">
        <f>BS!AH24</f>
        <v>14582</v>
      </c>
      <c r="W79" s="50">
        <f>BS!AI24</f>
        <v>14891</v>
      </c>
      <c r="X79" s="46">
        <v>7713</v>
      </c>
      <c r="Y79" s="46">
        <f>X79-Y80*Y106-Y109-Y52-Y37</f>
        <v>7287.0439999999999</v>
      </c>
      <c r="Z79" s="57">
        <f>Y79</f>
        <v>7287.0439999999999</v>
      </c>
      <c r="AB79" s="46">
        <f>Y79-AB80*AB106-AB109-AB52-AB37</f>
        <v>6955.8440000000001</v>
      </c>
      <c r="AC79" s="46">
        <f>AB79-AC80*AC106-AC109-AC52-AC37</f>
        <v>6514.2439999999997</v>
      </c>
      <c r="AD79" s="46">
        <f>AC79-AD80*AD106-AD109-AD52-AD37</f>
        <v>6035.8440000000001</v>
      </c>
      <c r="AE79" s="46">
        <f>AD79-AE80*AE106-AE109-AE52-AE37</f>
        <v>5523.8456000000006</v>
      </c>
      <c r="AF79" s="57">
        <f>AE79</f>
        <v>5523.8456000000006</v>
      </c>
      <c r="AH79" s="57">
        <f>AF79-AH80*AH106-AH109-AH52-AH37</f>
        <v>3570.1980000000008</v>
      </c>
      <c r="AI79" s="72"/>
      <c r="AJ79" s="57">
        <f>AH79-AJ80*AJ106-AJ109-AJ52-AJ37</f>
        <v>1353.9849760000006</v>
      </c>
      <c r="AK79" s="54"/>
      <c r="AL79" s="57">
        <f>AJ79-AL80*AL106-AL109-AL52-AL37</f>
        <v>-967.13746979621328</v>
      </c>
    </row>
    <row r="80" spans="2:38" ht="14.25" customHeight="1" x14ac:dyDescent="0.25">
      <c r="B80" s="31" t="s">
        <v>583</v>
      </c>
      <c r="D80" s="305">
        <f>-D106/D31</f>
        <v>2.8320618664437244E-2</v>
      </c>
      <c r="E80" s="305">
        <f t="shared" ref="E80:G80" si="47">-E106/E31</f>
        <v>1.2640239341810022E-2</v>
      </c>
      <c r="F80" s="305">
        <f t="shared" si="47"/>
        <v>1.0707701035314141E-2</v>
      </c>
      <c r="G80" s="305">
        <f t="shared" si="47"/>
        <v>1.448249227600412E-2</v>
      </c>
      <c r="H80" s="741">
        <f>-H106/H31</f>
        <v>1.5520094337828328E-2</v>
      </c>
      <c r="I80" s="741"/>
      <c r="J80" s="305">
        <f t="shared" ref="J80:W80" si="48">-J106/J31</f>
        <v>2.489724944672779E-2</v>
      </c>
      <c r="K80" s="305">
        <f t="shared" si="48"/>
        <v>1.5471329153965607E-2</v>
      </c>
      <c r="L80" s="305">
        <f t="shared" si="48"/>
        <v>1.9176001518891209E-2</v>
      </c>
      <c r="M80" s="305">
        <f t="shared" si="48"/>
        <v>3.9774201920581363E-2</v>
      </c>
      <c r="N80" s="741">
        <f t="shared" si="48"/>
        <v>2.4489396091492383E-2</v>
      </c>
      <c r="O80" s="741" t="e">
        <f t="shared" si="48"/>
        <v>#DIV/0!</v>
      </c>
      <c r="P80" s="305">
        <f t="shared" si="48"/>
        <v>2.9708658186294624E-2</v>
      </c>
      <c r="Q80" s="305">
        <f t="shared" si="48"/>
        <v>2.3432884804725961E-2</v>
      </c>
      <c r="R80" s="305">
        <f t="shared" si="48"/>
        <v>2.4635036496350366E-2</v>
      </c>
      <c r="S80" s="305">
        <f t="shared" si="48"/>
        <v>4.9986538634120073E-2</v>
      </c>
      <c r="T80" s="741">
        <f>-T106/T31</f>
        <v>3.093820094361513E-2</v>
      </c>
      <c r="U80" s="741" t="e">
        <f t="shared" si="48"/>
        <v>#DIV/0!</v>
      </c>
      <c r="V80" s="305">
        <f t="shared" si="48"/>
        <v>4.1372825575928536E-2</v>
      </c>
      <c r="W80" s="305">
        <f t="shared" si="48"/>
        <v>1.5905351406409151E-2</v>
      </c>
      <c r="X80" s="316">
        <v>0.08</v>
      </c>
      <c r="Y80" s="316">
        <v>0.08</v>
      </c>
      <c r="Z80" s="319">
        <f>AVERAGE(V80:Y80)</f>
        <v>5.4319544245584425E-2</v>
      </c>
      <c r="AB80" s="316">
        <v>0.08</v>
      </c>
      <c r="AC80" s="316">
        <v>0.08</v>
      </c>
      <c r="AD80" s="316">
        <v>0.08</v>
      </c>
      <c r="AE80" s="316">
        <v>0.08</v>
      </c>
      <c r="AF80" s="319">
        <f>AVERAGE(AB80:AE80)</f>
        <v>0.08</v>
      </c>
      <c r="AH80" s="316">
        <v>0.08</v>
      </c>
      <c r="AJ80" s="316">
        <v>0.08</v>
      </c>
      <c r="AL80" s="316">
        <v>0.08</v>
      </c>
    </row>
    <row r="81" spans="2:38" ht="14.25" customHeight="1" x14ac:dyDescent="0.25">
      <c r="D81" s="46"/>
      <c r="E81" s="46"/>
      <c r="F81" s="46"/>
      <c r="G81" s="46"/>
      <c r="J81" s="46"/>
      <c r="K81" s="46"/>
      <c r="L81" s="46"/>
      <c r="M81" s="46"/>
      <c r="P81" s="46"/>
      <c r="Q81" s="46"/>
      <c r="R81" s="46"/>
      <c r="S81" s="46"/>
      <c r="U81" s="205"/>
      <c r="V81" s="46"/>
      <c r="W81" s="46"/>
      <c r="X81" s="46"/>
      <c r="Y81" s="46"/>
      <c r="AB81" s="46"/>
      <c r="AC81" s="46"/>
      <c r="AD81" s="46"/>
      <c r="AE81" s="46"/>
    </row>
    <row r="82" spans="2:38" ht="14.25" customHeight="1" x14ac:dyDescent="0.3">
      <c r="B82" s="28" t="s">
        <v>584</v>
      </c>
      <c r="D82" s="50">
        <f>IF($B$82="Intangibles excl. Goodwill",BS!P29,BS!P27)</f>
        <v>4401</v>
      </c>
      <c r="E82" s="50">
        <f>IF($B$82="Intangibles excl. Goodwill",BS!Q29,BS!Q27)</f>
        <v>5164</v>
      </c>
      <c r="F82" s="50">
        <f>IF($B$82="Intangibles excl. Goodwill",BS!R29,BS!R27)</f>
        <v>5035</v>
      </c>
      <c r="G82" s="50">
        <f>IF($B$82="Intangibles excl. Goodwill",BS!S29,BS!S27)</f>
        <v>4905</v>
      </c>
      <c r="H82" s="68">
        <f>IF($B$82="Intangibles excl. Goodwill",BS!T29,BS!T27)</f>
        <v>4905</v>
      </c>
      <c r="J82" s="50">
        <f>IF($B$82="Intangibles excl. Goodwill",BS!V29,BS!V27)</f>
        <v>5146</v>
      </c>
      <c r="K82" s="50">
        <f>IF($B$82="Intangibles excl. Goodwill",BS!W29,BS!W27)</f>
        <v>5185</v>
      </c>
      <c r="L82" s="50">
        <f>IF($B$82="Intangibles excl. Goodwill",BS!X29,BS!X27)</f>
        <v>5193</v>
      </c>
      <c r="M82" s="50">
        <f>IF($B$82="Intangibles excl. Goodwill",BS!Y29,BS!Y27)</f>
        <v>5033</v>
      </c>
      <c r="N82" s="68">
        <f>IF($B$82="Intangibles excl. Goodwill",BS!Z29,BS!Z27)</f>
        <v>5033</v>
      </c>
      <c r="P82" s="50">
        <f>IF($B$82="Intangibles excl. Goodwill",BS!AB29,BS!AB27)</f>
        <v>5078</v>
      </c>
      <c r="Q82" s="50">
        <f>IF($B$82="Intangibles excl. Goodwill",BS!AC29,BS!AC27)</f>
        <v>5000</v>
      </c>
      <c r="R82" s="50">
        <f>IF($B$82="Intangibles excl. Goodwill",BS!AD29,BS!AD27)</f>
        <v>4990</v>
      </c>
      <c r="S82" s="50">
        <f>IF($B$82="Intangibles excl. Goodwill",BS!AE29,BS!AE27)</f>
        <v>4958</v>
      </c>
      <c r="T82" s="68">
        <f>IF($B$82="Intangibles excl. Goodwill",BS!AF29,BS!AF27)</f>
        <v>4958</v>
      </c>
      <c r="U82" s="205"/>
      <c r="V82" s="50">
        <f>IF($B$82="Intangibles excl. Goodwill",BS!AH29,BS!AH27)</f>
        <v>4809</v>
      </c>
      <c r="W82" s="50">
        <f>IF($B$82="Intangibles excl. Goodwill",BS!AI29,BS!AI27)</f>
        <v>5058</v>
      </c>
      <c r="X82" s="46">
        <f>W82-(1-X80)*X106-X55+X83*X46</f>
        <v>5331.24</v>
      </c>
      <c r="Y82" s="46">
        <f>X82-(1-Y80)*Y106-Y55+Y83*Y46</f>
        <v>5881.4</v>
      </c>
      <c r="Z82" s="57">
        <f>Y82</f>
        <v>5881.4</v>
      </c>
      <c r="AB82" s="46">
        <f>Y82-(1-AB80)*AB106-AB55+AB83*AB46</f>
        <v>6212.5999999999995</v>
      </c>
      <c r="AC82" s="46">
        <f>AB82-(1-AC80)*AC106-AC55+AC83*AC46</f>
        <v>6654.2</v>
      </c>
      <c r="AD82" s="46">
        <f t="shared" ref="AD82:AE82" si="49">AC82-(1-AD80)*AD106-AD55+AD83*AD46</f>
        <v>7132.5999999999995</v>
      </c>
      <c r="AE82" s="46">
        <f t="shared" si="49"/>
        <v>7644.5983999999999</v>
      </c>
      <c r="AF82" s="57">
        <f>AE82</f>
        <v>7644.5983999999999</v>
      </c>
      <c r="AH82" s="57">
        <f>AF82-(1-AH80)*AH106-AH55+AH83*AH46</f>
        <v>9598.2459999999992</v>
      </c>
      <c r="AJ82" s="57">
        <f>AH82-(1-AJ80)*AJ106-AJ55+AJ83*AJ46</f>
        <v>11814.459024</v>
      </c>
      <c r="AL82" s="57">
        <f>AJ82-(1-AL80)*AL106-AL55+AL83*AL46</f>
        <v>14135.581469796214</v>
      </c>
    </row>
    <row r="83" spans="2:38" ht="14.25" customHeight="1" x14ac:dyDescent="0.25">
      <c r="B83" s="31" t="s">
        <v>585</v>
      </c>
      <c r="D83" s="305">
        <f>IFERROR(BS!P57/FCFF!D82,"")</f>
        <v>0</v>
      </c>
      <c r="E83" s="305">
        <f>IFERROR(BS!Q57/FCFF!E82,"")</f>
        <v>0</v>
      </c>
      <c r="F83" s="305">
        <f>IFERROR(BS!R57/FCFF!F82,"")</f>
        <v>0</v>
      </c>
      <c r="G83" s="305">
        <f>IFERROR(BS!S57/FCFF!G82,"")</f>
        <v>0</v>
      </c>
      <c r="H83" s="308">
        <f>IFERROR(BS!T57/FCFF!H82,"")</f>
        <v>0</v>
      </c>
      <c r="J83" s="305">
        <f>IFERROR(BS!V57/FCFF!J82,"")</f>
        <v>0</v>
      </c>
      <c r="K83" s="305">
        <f>IFERROR(BS!W57/FCFF!K82,"")</f>
        <v>0</v>
      </c>
      <c r="L83" s="305">
        <f>IFERROR(BS!X57/FCFF!L82,"")</f>
        <v>0</v>
      </c>
      <c r="M83" s="305">
        <f>IFERROR(BS!Y57/FCFF!M82,"")</f>
        <v>0</v>
      </c>
      <c r="N83" s="308">
        <f>IFERROR(BS!Z57/FCFF!N82,"")</f>
        <v>0</v>
      </c>
      <c r="P83" s="305">
        <f>IFERROR(BS!AB57/FCFF!P82,"")</f>
        <v>0</v>
      </c>
      <c r="Q83" s="305">
        <f>IFERROR(BS!AC57/FCFF!Q82,"")</f>
        <v>0</v>
      </c>
      <c r="R83" s="305">
        <f>IFERROR(BS!AD57/FCFF!R82,"")</f>
        <v>0</v>
      </c>
      <c r="S83" s="305">
        <f>IFERROR(BS!AE57/FCFF!S82,"")</f>
        <v>0</v>
      </c>
      <c r="T83" s="308">
        <f>IFERROR(BS!AF57/FCFF!T82,"")</f>
        <v>0</v>
      </c>
      <c r="U83" s="205"/>
      <c r="V83" s="305">
        <f>IFERROR(BS!AH57/FCFF!V82,"")</f>
        <v>0</v>
      </c>
      <c r="W83" s="305">
        <f>IFERROR(BS!AI57/FCFF!W82,"")</f>
        <v>0</v>
      </c>
      <c r="X83" s="316">
        <v>0</v>
      </c>
      <c r="Y83" s="316">
        <v>0</v>
      </c>
      <c r="Z83" s="319">
        <f>AVERAGE(V83:Y83)</f>
        <v>0</v>
      </c>
      <c r="AB83" s="316">
        <v>0</v>
      </c>
      <c r="AC83" s="316">
        <v>0</v>
      </c>
      <c r="AD83" s="316">
        <v>0</v>
      </c>
      <c r="AE83" s="316">
        <v>0</v>
      </c>
      <c r="AF83" s="319">
        <f>AVERAGE(AB83:AE83)</f>
        <v>0</v>
      </c>
      <c r="AH83" s="316">
        <v>0</v>
      </c>
      <c r="AJ83" s="316">
        <v>0</v>
      </c>
      <c r="AL83" s="316">
        <v>0</v>
      </c>
    </row>
    <row r="84" spans="2:38" ht="14.25" customHeight="1" x14ac:dyDescent="0.25">
      <c r="D84" s="46"/>
      <c r="E84" s="46"/>
      <c r="F84" s="46"/>
      <c r="G84" s="46"/>
      <c r="J84" s="46"/>
      <c r="K84" s="46"/>
      <c r="L84" s="46"/>
      <c r="M84" s="46"/>
      <c r="P84" s="46"/>
      <c r="Q84" s="46"/>
      <c r="R84" s="46"/>
      <c r="S84" s="46"/>
      <c r="U84" s="205"/>
      <c r="V84" s="46"/>
      <c r="W84" s="46"/>
      <c r="X84" s="46"/>
      <c r="Y84" s="46"/>
      <c r="AB84" s="46"/>
      <c r="AC84" s="46"/>
      <c r="AD84" s="46"/>
      <c r="AE84" s="46"/>
    </row>
    <row r="85" spans="2:38" ht="14.25" customHeight="1" x14ac:dyDescent="0.3">
      <c r="B85" s="28" t="s">
        <v>586</v>
      </c>
      <c r="D85" s="50">
        <f>BS!P37</f>
        <v>10108</v>
      </c>
      <c r="E85" s="50">
        <f>BS!Q37</f>
        <v>11899</v>
      </c>
      <c r="F85" s="50">
        <f>BS!R37</f>
        <v>12319</v>
      </c>
      <c r="G85" s="50">
        <f>BS!S37</f>
        <v>12333</v>
      </c>
      <c r="H85" s="68">
        <f>BS!T37</f>
        <v>12333</v>
      </c>
      <c r="J85" s="50">
        <f>BS!V37</f>
        <v>12217</v>
      </c>
      <c r="K85" s="50">
        <f>BS!W37</f>
        <v>12844</v>
      </c>
      <c r="L85" s="50">
        <f>BS!X37</f>
        <v>13210</v>
      </c>
      <c r="M85" s="50">
        <f>BS!Y37</f>
        <v>13592</v>
      </c>
      <c r="N85" s="68">
        <f>BS!Z37</f>
        <v>13592</v>
      </c>
      <c r="P85" s="50">
        <f>BS!AB37</f>
        <v>12621</v>
      </c>
      <c r="Q85" s="50">
        <f>BS!AC37</f>
        <v>12320</v>
      </c>
      <c r="R85" s="50">
        <f>BS!AD37</f>
        <v>12569</v>
      </c>
      <c r="S85" s="50">
        <f>BS!AE37</f>
        <v>12452</v>
      </c>
      <c r="T85" s="68">
        <f>BS!AF37</f>
        <v>12452</v>
      </c>
      <c r="U85" s="205"/>
      <c r="V85" s="50">
        <f>BS!AH37</f>
        <v>11946</v>
      </c>
      <c r="W85" s="50">
        <f>BS!AI37</f>
        <v>11312</v>
      </c>
      <c r="X85" s="46">
        <v>11182</v>
      </c>
      <c r="Y85" s="46">
        <f>Y86*Y34/92</f>
        <v>11355.654130434785</v>
      </c>
      <c r="Z85" s="312">
        <f>Y85</f>
        <v>11355.654130434785</v>
      </c>
      <c r="AB85" s="46">
        <f>AB86*AB34/90</f>
        <v>9100</v>
      </c>
      <c r="AC85" s="46">
        <f>AC86*AC34/91</f>
        <v>12000</v>
      </c>
      <c r="AD85" s="46">
        <f t="shared" ref="AD85:AE85" si="50">AD86*AD34/92</f>
        <v>12660.869565217392</v>
      </c>
      <c r="AE85" s="46">
        <f t="shared" si="50"/>
        <v>13550.052173913044</v>
      </c>
      <c r="AF85" s="312">
        <f>AE85</f>
        <v>13550.052173913044</v>
      </c>
      <c r="AH85" s="57">
        <f>AH86*AH34/365</f>
        <v>13235.700684931508</v>
      </c>
      <c r="AJ85" s="57">
        <f>AJ86*AJ34/366</f>
        <v>14512.799114754098</v>
      </c>
      <c r="AL85" s="57">
        <f>AL86*AL34/365</f>
        <v>14515.65555739145</v>
      </c>
    </row>
    <row r="86" spans="2:38" ht="14.25" customHeight="1" x14ac:dyDescent="0.25">
      <c r="B86" s="31" t="s">
        <v>587</v>
      </c>
      <c r="D86" s="323">
        <f>D85/D34*90</f>
        <v>135.88050784167288</v>
      </c>
      <c r="E86" s="323">
        <f>E85/E34*91</f>
        <v>121.41836734693878</v>
      </c>
      <c r="F86" s="323">
        <f>F85/F34*92</f>
        <v>119.16181263799811</v>
      </c>
      <c r="G86" s="323">
        <f>G85/G34*92</f>
        <v>111.08635206579204</v>
      </c>
      <c r="H86" s="324">
        <f>H85/H34*365</f>
        <v>127.38539249533081</v>
      </c>
      <c r="I86" s="325"/>
      <c r="J86" s="323">
        <f>J85/J34*90</f>
        <v>138.58457272498109</v>
      </c>
      <c r="K86" s="323">
        <f>K85/K34*91</f>
        <v>108.92861136999069</v>
      </c>
      <c r="L86" s="323">
        <f>L85/L34*92</f>
        <v>126.28013300083124</v>
      </c>
      <c r="M86" s="323">
        <f>M85/M34*92</f>
        <v>132.64707754322691</v>
      </c>
      <c r="N86" s="324">
        <f>N85/N34*365</f>
        <v>131.54129656635291</v>
      </c>
      <c r="O86" s="325"/>
      <c r="P86" s="323">
        <f>P85/P34*90</f>
        <v>157.76249999999999</v>
      </c>
      <c r="Q86" s="323">
        <f>Q85/Q34*91</f>
        <v>122.43311128098722</v>
      </c>
      <c r="R86" s="323">
        <f>R85/R34*92</f>
        <v>147.34301732925584</v>
      </c>
      <c r="S86" s="323">
        <f>S85/S34*92</f>
        <v>174.33936995891037</v>
      </c>
      <c r="T86" s="324">
        <f>T85/T34*365</f>
        <v>147.68415922014623</v>
      </c>
      <c r="U86" s="326"/>
      <c r="V86" s="323">
        <f>V85/V34*90</f>
        <v>213.44848123883264</v>
      </c>
      <c r="W86" s="323">
        <f>W85/W34*91</f>
        <v>135.28610855565779</v>
      </c>
      <c r="X86" s="327">
        <f>X85/X34*92</f>
        <v>135.89749009247026</v>
      </c>
      <c r="Y86" s="327">
        <v>140</v>
      </c>
      <c r="Z86" s="324">
        <f>Z85/Z34*365</f>
        <v>149.74964879902777</v>
      </c>
      <c r="AA86" s="325"/>
      <c r="AB86" s="327">
        <v>140</v>
      </c>
      <c r="AC86" s="327">
        <v>140</v>
      </c>
      <c r="AD86" s="327">
        <v>140</v>
      </c>
      <c r="AE86" s="327">
        <v>140</v>
      </c>
      <c r="AF86" s="324">
        <f>AF85/AF34*365</f>
        <v>160.19037969024939</v>
      </c>
      <c r="AG86" s="325"/>
      <c r="AH86" s="327">
        <v>140</v>
      </c>
      <c r="AI86" s="325"/>
      <c r="AJ86" s="327">
        <v>140</v>
      </c>
      <c r="AK86" s="324"/>
      <c r="AL86" s="327">
        <v>140</v>
      </c>
    </row>
    <row r="87" spans="2:38" ht="14.25" customHeight="1" x14ac:dyDescent="0.3">
      <c r="B87" s="28"/>
      <c r="D87" s="46"/>
      <c r="E87" s="46"/>
      <c r="F87" s="46"/>
      <c r="G87" s="46"/>
      <c r="J87" s="46"/>
      <c r="K87" s="46"/>
      <c r="L87" s="46"/>
      <c r="M87" s="46"/>
      <c r="P87" s="46"/>
      <c r="Q87" s="46"/>
      <c r="R87" s="46"/>
      <c r="S87" s="46"/>
      <c r="U87" s="205"/>
      <c r="V87" s="46"/>
      <c r="W87" s="46"/>
      <c r="X87" s="46"/>
      <c r="Y87" s="46"/>
      <c r="AB87" s="46"/>
      <c r="AC87" s="46"/>
      <c r="AD87" s="46"/>
      <c r="AE87" s="46"/>
    </row>
    <row r="88" spans="2:38" ht="14.25" customHeight="1" x14ac:dyDescent="0.3">
      <c r="B88" s="28" t="s">
        <v>588</v>
      </c>
      <c r="D88" s="50">
        <f>BS!P40</f>
        <v>276</v>
      </c>
      <c r="E88" s="50">
        <f>BS!Q40</f>
        <v>780</v>
      </c>
      <c r="F88" s="50">
        <f>BS!R40</f>
        <v>667</v>
      </c>
      <c r="G88" s="50">
        <f>BS!S40</f>
        <v>2187</v>
      </c>
      <c r="H88" s="68">
        <f>BS!T40</f>
        <v>2187</v>
      </c>
      <c r="J88" s="50">
        <f>BS!V40</f>
        <v>891</v>
      </c>
      <c r="K88" s="50">
        <f>BS!W40</f>
        <v>1872</v>
      </c>
      <c r="L88" s="50">
        <f>BS!X40</f>
        <v>2130</v>
      </c>
      <c r="M88" s="50">
        <f>BS!Y40</f>
        <v>2257</v>
      </c>
      <c r="N88" s="68">
        <f>BS!Z40</f>
        <v>2257</v>
      </c>
      <c r="P88" s="50">
        <f>BS!AB40</f>
        <v>740</v>
      </c>
      <c r="Q88" s="50">
        <f>BS!AC40</f>
        <v>2289</v>
      </c>
      <c r="R88" s="50">
        <f>BS!AD40</f>
        <v>3631</v>
      </c>
      <c r="S88" s="50">
        <f>BS!AE40</f>
        <v>1821</v>
      </c>
      <c r="T88" s="68">
        <f>BS!AF40</f>
        <v>1821</v>
      </c>
      <c r="U88" s="205"/>
      <c r="V88" s="50">
        <f>BS!AH40</f>
        <v>216</v>
      </c>
      <c r="W88" s="50">
        <f>BS!AI40</f>
        <v>2033</v>
      </c>
      <c r="X88" s="46">
        <v>2000</v>
      </c>
      <c r="Y88" s="46">
        <f t="shared" ref="Y88" si="51">Y89*Y43</f>
        <v>1279.2492000000002</v>
      </c>
      <c r="Z88" s="312">
        <f>Y88</f>
        <v>1279.2492000000002</v>
      </c>
      <c r="AB88" s="46">
        <f t="shared" ref="AB88" si="52">AB89*AB43</f>
        <v>972</v>
      </c>
      <c r="AC88" s="46">
        <f t="shared" ref="AC88" si="53">AC89*AC43</f>
        <v>1296</v>
      </c>
      <c r="AD88" s="46">
        <f t="shared" ref="AD88" si="54">AD89*AD43</f>
        <v>1404</v>
      </c>
      <c r="AE88" s="46">
        <f t="shared" ref="AE88" si="55">AE89*AE43</f>
        <v>1502.6039999999998</v>
      </c>
      <c r="AF88" s="312">
        <f>AE88</f>
        <v>1502.6039999999998</v>
      </c>
      <c r="AH88" s="57">
        <f t="shared" ref="AH88:AL88" si="56">AH89*AH43</f>
        <v>1672.2798749999999</v>
      </c>
      <c r="AJ88" s="57">
        <f t="shared" si="56"/>
        <v>1897.0301699999998</v>
      </c>
      <c r="AL88" s="57">
        <f t="shared" si="56"/>
        <v>1986.8303544179546</v>
      </c>
    </row>
    <row r="89" spans="2:38" s="785" customFormat="1" ht="14.25" customHeight="1" x14ac:dyDescent="0.25">
      <c r="B89" s="782" t="s">
        <v>589</v>
      </c>
      <c r="C89" s="476"/>
      <c r="D89" s="786">
        <f>D88/D43</f>
        <v>0.35339308578745199</v>
      </c>
      <c r="E89" s="786">
        <f>E88/E43</f>
        <v>0.83690987124463523</v>
      </c>
      <c r="F89" s="786">
        <f>F88/F43</f>
        <v>0.69551616266944738</v>
      </c>
      <c r="G89" s="786">
        <f>G88/G43</f>
        <v>1.836272040302267</v>
      </c>
      <c r="H89" s="741">
        <f>H88/H43</f>
        <v>0.56614030546207605</v>
      </c>
      <c r="I89" s="476"/>
      <c r="J89" s="305">
        <f>J88/J43</f>
        <v>0.93592436974789917</v>
      </c>
      <c r="K89" s="305">
        <f>K88/K43</f>
        <v>1.4075187969924812</v>
      </c>
      <c r="L89" s="305">
        <f>L88/L43</f>
        <v>1.9189189189189189</v>
      </c>
      <c r="M89" s="305">
        <f>M88/M43</f>
        <v>1.8761429758935992</v>
      </c>
      <c r="N89" s="741">
        <f>N88/N43</f>
        <v>0.49118607181719259</v>
      </c>
      <c r="O89" s="476"/>
      <c r="P89" s="305">
        <f>P88/P43</f>
        <v>0.69418386491557227</v>
      </c>
      <c r="Q89" s="305">
        <f>Q88/Q43</f>
        <v>1.8094861660079051</v>
      </c>
      <c r="R89" s="305">
        <f>R88/R43</f>
        <v>2.8411580594679187</v>
      </c>
      <c r="S89" s="305">
        <f>S88/S43</f>
        <v>1.4780844155844155</v>
      </c>
      <c r="T89" s="741">
        <f>T88/T43</f>
        <v>0.37623966942148762</v>
      </c>
      <c r="U89" s="783"/>
      <c r="V89" s="305">
        <f>V88/V43</f>
        <v>0.22222222222222221</v>
      </c>
      <c r="W89" s="305">
        <f>W88/W43</f>
        <v>1.6984126984126984</v>
      </c>
      <c r="X89" s="316">
        <f>X88/X43</f>
        <v>1.6433853738701725</v>
      </c>
      <c r="Y89" s="316">
        <v>1.2</v>
      </c>
      <c r="Z89" s="784">
        <f>Z88/Z43</f>
        <v>0.28733994138867996</v>
      </c>
      <c r="AA89" s="476"/>
      <c r="AB89" s="316">
        <v>1.2</v>
      </c>
      <c r="AC89" s="316">
        <v>1.2</v>
      </c>
      <c r="AD89" s="316">
        <v>1.2</v>
      </c>
      <c r="AE89" s="316">
        <v>1.2</v>
      </c>
      <c r="AF89" s="784">
        <f>AF88/AF43</f>
        <v>0.34845657754680354</v>
      </c>
      <c r="AG89" s="476"/>
      <c r="AH89" s="789">
        <v>0.35</v>
      </c>
      <c r="AI89" s="787"/>
      <c r="AJ89" s="790">
        <v>0.35</v>
      </c>
      <c r="AK89" s="787"/>
      <c r="AL89" s="788">
        <v>0.35</v>
      </c>
    </row>
    <row r="90" spans="2:38" ht="14.25" customHeight="1" x14ac:dyDescent="0.25">
      <c r="U90" s="205"/>
    </row>
    <row r="91" spans="2:38" ht="14.25" customHeight="1" x14ac:dyDescent="0.3">
      <c r="B91" s="161" t="s">
        <v>590</v>
      </c>
      <c r="C91" s="186"/>
      <c r="D91" s="358" t="s">
        <v>549</v>
      </c>
      <c r="E91" s="358" t="s">
        <v>550</v>
      </c>
      <c r="F91" s="358" t="s">
        <v>551</v>
      </c>
      <c r="G91" s="358" t="s">
        <v>552</v>
      </c>
      <c r="H91" s="358" t="s">
        <v>553</v>
      </c>
      <c r="I91" s="37"/>
      <c r="J91" s="358" t="s">
        <v>554</v>
      </c>
      <c r="K91" s="358" t="s">
        <v>555</v>
      </c>
      <c r="L91" s="358" t="s">
        <v>556</v>
      </c>
      <c r="M91" s="358" t="s">
        <v>557</v>
      </c>
      <c r="N91" s="358" t="s">
        <v>558</v>
      </c>
      <c r="O91" s="37"/>
      <c r="P91" s="358" t="s">
        <v>559</v>
      </c>
      <c r="Q91" s="358" t="s">
        <v>560</v>
      </c>
      <c r="R91" s="358" t="s">
        <v>561</v>
      </c>
      <c r="S91" s="358" t="s">
        <v>562</v>
      </c>
      <c r="T91" s="358" t="s">
        <v>563</v>
      </c>
      <c r="U91" s="37"/>
      <c r="V91" s="358" t="s">
        <v>564</v>
      </c>
      <c r="W91" s="358" t="s">
        <v>565</v>
      </c>
      <c r="X91" s="358" t="s">
        <v>566</v>
      </c>
      <c r="Y91" s="358" t="s">
        <v>567</v>
      </c>
      <c r="Z91" s="358" t="s">
        <v>568</v>
      </c>
      <c r="AA91" s="37"/>
      <c r="AB91" s="358" t="s">
        <v>569</v>
      </c>
      <c r="AC91" s="358" t="s">
        <v>570</v>
      </c>
      <c r="AD91" s="358" t="s">
        <v>571</v>
      </c>
      <c r="AE91" s="358" t="s">
        <v>572</v>
      </c>
      <c r="AF91" s="358" t="s">
        <v>573</v>
      </c>
      <c r="AG91" s="37"/>
      <c r="AH91" s="358" t="s">
        <v>574</v>
      </c>
      <c r="AI91" s="37"/>
      <c r="AJ91" s="358" t="s">
        <v>575</v>
      </c>
      <c r="AK91" s="358"/>
      <c r="AL91" s="358" t="s">
        <v>576</v>
      </c>
    </row>
    <row r="92" spans="2:38" ht="4.3499999999999996" customHeight="1" x14ac:dyDescent="0.25">
      <c r="B92" s="288"/>
      <c r="C92" s="36"/>
      <c r="D92" s="288"/>
      <c r="E92" s="288"/>
      <c r="F92" s="288"/>
      <c r="G92" s="288"/>
      <c r="H92" s="288"/>
      <c r="I92" s="36"/>
      <c r="J92" s="288"/>
      <c r="K92" s="288"/>
      <c r="L92" s="288"/>
      <c r="M92" s="288"/>
      <c r="N92" s="288"/>
      <c r="O92" s="36"/>
      <c r="P92" s="288"/>
      <c r="Q92" s="288"/>
      <c r="R92" s="288"/>
      <c r="S92" s="288"/>
      <c r="T92" s="288"/>
      <c r="U92" s="36"/>
      <c r="V92" s="288"/>
      <c r="W92" s="288"/>
      <c r="X92" s="288"/>
      <c r="Y92" s="288"/>
      <c r="Z92" s="288"/>
      <c r="AA92" s="36"/>
      <c r="AB92" s="288"/>
      <c r="AC92" s="288"/>
      <c r="AD92" s="288"/>
      <c r="AE92" s="288"/>
      <c r="AF92" s="288"/>
      <c r="AG92" s="36"/>
      <c r="AH92" s="288"/>
      <c r="AI92" s="36"/>
      <c r="AJ92" s="289"/>
      <c r="AK92" s="288"/>
      <c r="AL92" s="288"/>
    </row>
    <row r="93" spans="2:38" ht="4.3499999999999996" customHeight="1" x14ac:dyDescent="0.25">
      <c r="U93" s="205"/>
    </row>
    <row r="94" spans="2:38" ht="14.25" customHeight="1" x14ac:dyDescent="0.3">
      <c r="B94" s="28" t="s">
        <v>538</v>
      </c>
      <c r="D94" s="50">
        <f>CF!P17</f>
        <v>486</v>
      </c>
      <c r="E94" s="50">
        <f>CF!Q17</f>
        <v>447</v>
      </c>
      <c r="F94" s="50">
        <f>CF!R17</f>
        <v>510</v>
      </c>
      <c r="G94" s="50">
        <f>CF!S17</f>
        <v>452</v>
      </c>
      <c r="H94" s="68">
        <f>CF!T17</f>
        <v>1895</v>
      </c>
      <c r="J94" s="50">
        <f>CF!V17</f>
        <v>494</v>
      </c>
      <c r="K94" s="50">
        <f>CF!W17</f>
        <v>501</v>
      </c>
      <c r="L94" s="50">
        <f>CF!X17</f>
        <v>532</v>
      </c>
      <c r="M94" s="50">
        <f>CF!Y17</f>
        <v>477</v>
      </c>
      <c r="N94" s="68">
        <f>CF!Z17</f>
        <v>2004</v>
      </c>
      <c r="P94" s="50">
        <f>CF!AB17</f>
        <v>520</v>
      </c>
      <c r="Q94" s="50">
        <f>CF!AC17</f>
        <v>525</v>
      </c>
      <c r="R94" s="50">
        <f>CF!AD17</f>
        <v>553</v>
      </c>
      <c r="S94" s="50">
        <f>CF!AE17</f>
        <v>520</v>
      </c>
      <c r="T94" s="68">
        <f>CF!AF17</f>
        <v>2118</v>
      </c>
      <c r="U94" s="205"/>
      <c r="V94" s="50">
        <f>CF!AH17</f>
        <v>549</v>
      </c>
      <c r="W94" s="50">
        <f>CF!AI17</f>
        <v>555</v>
      </c>
      <c r="X94" s="46">
        <f>X95*(X79+X82)</f>
        <v>352.19448</v>
      </c>
      <c r="Y94" s="46">
        <f>Y95*(Y79+Y82)</f>
        <v>355.54798799999998</v>
      </c>
      <c r="Z94" s="312">
        <f>SUM(V94:Y94)</f>
        <v>1811.7424680000001</v>
      </c>
      <c r="AB94" s="46">
        <f>AB95*(AB79+AB82)</f>
        <v>355.54798799999998</v>
      </c>
      <c r="AC94" s="46">
        <f>AC95*(AC79+AC82)</f>
        <v>355.54798799999998</v>
      </c>
      <c r="AD94" s="46">
        <f>AD95*(AD79+AD82)</f>
        <v>355.54798799999998</v>
      </c>
      <c r="AE94" s="46">
        <f>AE95*(AE79+AE82)</f>
        <v>355.54798799999998</v>
      </c>
      <c r="AF94" s="312">
        <f>SUM(AB94:AE94)</f>
        <v>1422.1919519999999</v>
      </c>
      <c r="AH94" s="57">
        <f>AH95*(AH79+AH82)</f>
        <v>355.54798799999998</v>
      </c>
      <c r="AJ94" s="57">
        <f>AJ95*(AJ79+AJ82)</f>
        <v>355.54798799999998</v>
      </c>
      <c r="AL94" s="57">
        <f>AL95*(AL79+AL82)</f>
        <v>355.54798800000003</v>
      </c>
    </row>
    <row r="95" spans="2:38" ht="14.25" customHeight="1" x14ac:dyDescent="0.25">
      <c r="B95" s="31" t="s">
        <v>539</v>
      </c>
      <c r="D95" s="305">
        <f>D94/(D82+D79)</f>
        <v>2.9119233073696824E-2</v>
      </c>
      <c r="E95" s="305">
        <f>E94/(E82+E79)</f>
        <v>2.5772601476014761E-2</v>
      </c>
      <c r="F95" s="305">
        <f>F94/(F82+F79)</f>
        <v>2.9556650246305417E-2</v>
      </c>
      <c r="G95" s="305">
        <f>G94/(G82+G79)</f>
        <v>2.5705186533212011E-2</v>
      </c>
      <c r="H95" s="308">
        <f>H94/(H82+H79)</f>
        <v>0.10776842584167425</v>
      </c>
      <c r="J95" s="305">
        <f>J94/(J82+J79)</f>
        <v>2.7659574468085105E-2</v>
      </c>
      <c r="K95" s="305">
        <f>K94/(K82+K79)</f>
        <v>2.7837972995499251E-2</v>
      </c>
      <c r="L95" s="305">
        <f>L94/(L82+L79)</f>
        <v>2.9039301310043668E-2</v>
      </c>
      <c r="M95" s="305">
        <f>M94/(M82+M79)</f>
        <v>2.5333262520579956E-2</v>
      </c>
      <c r="N95" s="308">
        <f>N94/(N82+N79)</f>
        <v>0.10643156832545542</v>
      </c>
      <c r="P95" s="305">
        <f>P94/(P82+P79)</f>
        <v>2.7743690977965106E-2</v>
      </c>
      <c r="Q95" s="305">
        <f>Q94/(Q82+Q79)</f>
        <v>2.7633033317543028E-2</v>
      </c>
      <c r="R95" s="305">
        <f>R94/(R82+R79)</f>
        <v>2.8802083333333332E-2</v>
      </c>
      <c r="S95" s="305">
        <f>S94/(S82+S79)</f>
        <v>2.6014307869328131E-2</v>
      </c>
      <c r="T95" s="308">
        <f>T94/(T82+T79)</f>
        <v>0.10595827705237881</v>
      </c>
      <c r="U95" s="205"/>
      <c r="V95" s="305">
        <f>V94/(V82+V79)</f>
        <v>2.831210355319478E-2</v>
      </c>
      <c r="W95" s="305">
        <f>W94/(W82+W79)</f>
        <v>2.7820943405684497E-2</v>
      </c>
      <c r="X95" s="305">
        <v>2.7E-2</v>
      </c>
      <c r="Y95" s="305">
        <v>2.7E-2</v>
      </c>
      <c r="Z95" s="328">
        <f>Z94/(Z79+Z82)</f>
        <v>0.13758212192723759</v>
      </c>
      <c r="AB95" s="305">
        <v>2.7E-2</v>
      </c>
      <c r="AC95" s="305">
        <v>2.7E-2</v>
      </c>
      <c r="AD95" s="305">
        <v>2.7E-2</v>
      </c>
      <c r="AE95" s="305">
        <v>2.7E-2</v>
      </c>
      <c r="AF95" s="328">
        <f t="shared" ref="AF95" si="57">AF94/(AF79+AF82)</f>
        <v>0.108</v>
      </c>
      <c r="AH95" s="328">
        <v>2.7E-2</v>
      </c>
      <c r="AJ95" s="328">
        <v>2.7E-2</v>
      </c>
      <c r="AL95" s="328">
        <v>2.7E-2</v>
      </c>
    </row>
    <row r="96" spans="2:38" ht="14.25" customHeight="1" x14ac:dyDescent="0.25">
      <c r="D96" s="46"/>
      <c r="E96" s="46"/>
      <c r="F96" s="46"/>
      <c r="G96" s="46"/>
      <c r="J96" s="46"/>
      <c r="K96" s="46"/>
      <c r="L96" s="46"/>
      <c r="M96" s="46"/>
      <c r="P96" s="46"/>
      <c r="Q96" s="46"/>
      <c r="R96" s="46"/>
      <c r="S96" s="46"/>
      <c r="U96" s="205"/>
      <c r="V96" s="46"/>
      <c r="W96" s="46"/>
      <c r="X96" s="46"/>
      <c r="Y96" s="46"/>
      <c r="AB96" s="46"/>
      <c r="AC96" s="46"/>
      <c r="AD96" s="46"/>
      <c r="AE96" s="46"/>
    </row>
    <row r="97" spans="2:41" ht="14.25" customHeight="1" x14ac:dyDescent="0.3">
      <c r="B97" s="28" t="s">
        <v>591</v>
      </c>
      <c r="D97" s="50">
        <f>CF!P18</f>
        <v>18</v>
      </c>
      <c r="E97" s="50">
        <f>CF!Q18</f>
        <v>26</v>
      </c>
      <c r="F97" s="50">
        <f>CF!R18</f>
        <v>20</v>
      </c>
      <c r="G97" s="50">
        <f>CF!S18</f>
        <v>21</v>
      </c>
      <c r="H97" s="68">
        <f>CF!T18</f>
        <v>85</v>
      </c>
      <c r="J97" s="50">
        <f>CF!V18</f>
        <v>23</v>
      </c>
      <c r="K97" s="50">
        <f>CF!W18</f>
        <v>31</v>
      </c>
      <c r="L97" s="50">
        <f>CF!X18</f>
        <v>58</v>
      </c>
      <c r="M97" s="50">
        <f>CF!Y18</f>
        <v>18</v>
      </c>
      <c r="N97" s="68">
        <f>CF!Z18</f>
        <v>130</v>
      </c>
      <c r="P97" s="50">
        <f>CF!AB18</f>
        <v>46</v>
      </c>
      <c r="Q97" s="50">
        <f>CF!AC18</f>
        <v>58</v>
      </c>
      <c r="R97" s="50">
        <f>CF!AD18</f>
        <v>55</v>
      </c>
      <c r="S97" s="50">
        <f>CF!AE18</f>
        <v>49</v>
      </c>
      <c r="T97" s="68">
        <f>CF!AF18</f>
        <v>208</v>
      </c>
      <c r="U97" s="205"/>
      <c r="V97" s="50">
        <f>CF!AH18</f>
        <v>28</v>
      </c>
      <c r="W97" s="50">
        <f>CF!AI18</f>
        <v>26</v>
      </c>
      <c r="X97" s="46">
        <f>X98*X43</f>
        <v>49.897000000000006</v>
      </c>
      <c r="Y97" s="46">
        <f>Y98*Y43</f>
        <v>37.31143500000001</v>
      </c>
      <c r="Z97" s="312">
        <f>SUM(V97:Y97)</f>
        <v>141.20843500000001</v>
      </c>
      <c r="AB97" s="46">
        <f t="shared" ref="AB97:AE97" si="58">AB98*AB43</f>
        <v>28.35</v>
      </c>
      <c r="AC97" s="46">
        <f t="shared" si="58"/>
        <v>37.800000000000004</v>
      </c>
      <c r="AD97" s="46">
        <f t="shared" si="58"/>
        <v>40.950000000000003</v>
      </c>
      <c r="AE97" s="46">
        <f t="shared" si="58"/>
        <v>43.825949999999999</v>
      </c>
      <c r="AF97" s="312">
        <f>SUM(AB97:AE97)</f>
        <v>150.92595</v>
      </c>
      <c r="AH97" s="66">
        <f t="shared" ref="AH97:AL97" si="59">AH98*AH43</f>
        <v>167.22798750000001</v>
      </c>
      <c r="AJ97" s="66">
        <f t="shared" si="59"/>
        <v>189.70301700000002</v>
      </c>
      <c r="AL97" s="66">
        <f t="shared" si="59"/>
        <v>198.68303544179548</v>
      </c>
    </row>
    <row r="98" spans="2:41" ht="14.25" customHeight="1" x14ac:dyDescent="0.25">
      <c r="B98" s="31" t="s">
        <v>589</v>
      </c>
      <c r="D98" s="305">
        <f>D97/D43</f>
        <v>2.3047375160051217E-2</v>
      </c>
      <c r="E98" s="305">
        <f>E97/E43</f>
        <v>2.7896995708154508E-2</v>
      </c>
      <c r="F98" s="305">
        <f>F97/F43</f>
        <v>2.0855057351407715E-2</v>
      </c>
      <c r="G98" s="305">
        <f>G97/G43</f>
        <v>1.7632241813602016E-2</v>
      </c>
      <c r="H98" s="308">
        <f>H97/H43</f>
        <v>2.2003624126326688E-2</v>
      </c>
      <c r="J98" s="305">
        <f>J97/J43</f>
        <v>2.4159663865546219E-2</v>
      </c>
      <c r="K98" s="305">
        <f>K97/K43</f>
        <v>2.3308270676691729E-2</v>
      </c>
      <c r="L98" s="305">
        <f>L97/L43</f>
        <v>5.2252252252252253E-2</v>
      </c>
      <c r="M98" s="305">
        <f>M97/M43</f>
        <v>1.4962593516209476E-2</v>
      </c>
      <c r="N98" s="308">
        <f>N97/N43</f>
        <v>2.8291621327529923E-2</v>
      </c>
      <c r="P98" s="305">
        <f>P97/P43</f>
        <v>4.3151969981238276E-2</v>
      </c>
      <c r="Q98" s="305">
        <f>Q97/Q43</f>
        <v>4.5849802371541501E-2</v>
      </c>
      <c r="R98" s="305">
        <f>R97/R43</f>
        <v>4.3035993740219089E-2</v>
      </c>
      <c r="S98" s="305">
        <f>S97/S43</f>
        <v>3.9772727272727272E-2</v>
      </c>
      <c r="T98" s="308">
        <f>T97/T43</f>
        <v>4.2975206611570248E-2</v>
      </c>
      <c r="U98" s="205"/>
      <c r="V98" s="305">
        <f>V97/V43</f>
        <v>2.8806584362139918E-2</v>
      </c>
      <c r="W98" s="305">
        <f>W97/W43</f>
        <v>2.1720969089390141E-2</v>
      </c>
      <c r="X98" s="316">
        <v>4.1000000000000002E-2</v>
      </c>
      <c r="Y98" s="316">
        <v>3.5000000000000003E-2</v>
      </c>
      <c r="Z98" s="328">
        <f>Z97/Z43</f>
        <v>3.1717685214489262E-2</v>
      </c>
      <c r="AB98" s="316">
        <v>3.5000000000000003E-2</v>
      </c>
      <c r="AC98" s="316">
        <v>3.5000000000000003E-2</v>
      </c>
      <c r="AD98" s="316">
        <v>3.5000000000000003E-2</v>
      </c>
      <c r="AE98" s="316">
        <v>3.5000000000000003E-2</v>
      </c>
      <c r="AF98" s="337">
        <f>AF97/AF43</f>
        <v>3.4999999999999996E-2</v>
      </c>
      <c r="AH98" s="316">
        <v>3.5000000000000003E-2</v>
      </c>
      <c r="AJ98" s="316">
        <v>3.5000000000000003E-2</v>
      </c>
      <c r="AL98" s="316">
        <v>3.5000000000000003E-2</v>
      </c>
    </row>
    <row r="99" spans="2:41" ht="14.25" customHeight="1" x14ac:dyDescent="0.25">
      <c r="B99" s="31" t="s">
        <v>592</v>
      </c>
      <c r="D99" s="751">
        <f>116.01/(D31/1000)</f>
        <v>12.123523879193227</v>
      </c>
      <c r="E99" s="751">
        <f>115.83/(E31/1000)</f>
        <v>8.6634255796559465</v>
      </c>
      <c r="F99" s="751">
        <f>106.79/(F31/1000)</f>
        <v>7.5726847255708414</v>
      </c>
      <c r="G99" s="751">
        <f>127.87/(G31/1000)</f>
        <v>8.2305612770339867</v>
      </c>
      <c r="H99" s="752">
        <f>127.87/(H31/1000)</f>
        <v>2.4320520379633681</v>
      </c>
      <c r="I99" s="660"/>
      <c r="J99" s="751">
        <f>124.27/(J31/1000)</f>
        <v>9.8221625039519438</v>
      </c>
      <c r="K99" s="751">
        <f>112.02/(K31/1000)</f>
        <v>6.4427445792833726</v>
      </c>
      <c r="L99" s="751">
        <f>125.23/(L31/1000)</f>
        <v>7.9254477564711099</v>
      </c>
      <c r="M99" s="751">
        <f>112.06/(M31/1000)</f>
        <v>7.2709576953023616</v>
      </c>
      <c r="N99" s="752">
        <f>112.06/(N31/1000)</f>
        <v>1.829521150675091</v>
      </c>
      <c r="O99" s="660"/>
      <c r="P99" s="751">
        <f>110.21/(P31/1000)</f>
        <v>9.044727123512514</v>
      </c>
      <c r="Q99" s="751">
        <f>109.49/(Q31/1000)</f>
        <v>7.1867410567771577</v>
      </c>
      <c r="R99" s="751">
        <f>106.52/(R31/1000)</f>
        <v>8.0991484184914846</v>
      </c>
      <c r="S99" s="751">
        <f>111.61/(S31/1000)</f>
        <v>10.01615363905591</v>
      </c>
      <c r="T99" s="752">
        <f>116.61/(T31/1000)</f>
        <v>2.2548147575218502</v>
      </c>
      <c r="U99" s="753"/>
      <c r="V99" s="751">
        <f>130.39/(V31/1000)</f>
        <v>15.325575928537846</v>
      </c>
      <c r="W99" s="751">
        <f>124.66/(W31/1000)</f>
        <v>9.7672960902609098</v>
      </c>
      <c r="X99" s="754">
        <f>140.12/(X31/1000)</f>
        <v>11.659177899816941</v>
      </c>
      <c r="Y99" s="329">
        <v>10</v>
      </c>
      <c r="Z99" s="336">
        <f>2.5</f>
        <v>2.5</v>
      </c>
      <c r="AB99" s="329">
        <v>10</v>
      </c>
      <c r="AC99" s="329">
        <v>10</v>
      </c>
      <c r="AD99" s="329">
        <v>10</v>
      </c>
      <c r="AE99" s="329">
        <v>10</v>
      </c>
      <c r="AF99" s="336">
        <v>2.5</v>
      </c>
      <c r="AH99" s="329">
        <v>2.5</v>
      </c>
      <c r="AJ99" s="329">
        <v>2.5</v>
      </c>
      <c r="AL99" s="329">
        <v>2.5</v>
      </c>
    </row>
    <row r="100" spans="2:41" s="785" customFormat="1" ht="14.25" customHeight="1" x14ac:dyDescent="0.25">
      <c r="B100" s="782" t="s">
        <v>593</v>
      </c>
      <c r="C100" s="476"/>
      <c r="D100" s="795">
        <f>D99*(D31+IS!M18+IS!L18+IS!K18)/IS!M59</f>
        <v>1744.070070085362</v>
      </c>
      <c r="E100" s="795">
        <f>E99*(E31+D31+IS!M18+IS!L18)/D64</f>
        <v>1290.5798554625399</v>
      </c>
      <c r="F100" s="795">
        <f>F99*(F31+E31+D31+IS!M18)/E64</f>
        <v>1196.1973050503282</v>
      </c>
      <c r="G100" s="795">
        <f>G99*(G31+F31+E31+D31)/F64</f>
        <v>1423.0128913601313</v>
      </c>
      <c r="H100" s="791">
        <f>AVERAGE(D100:G100)</f>
        <v>1413.4650304895904</v>
      </c>
      <c r="I100" s="791">
        <f t="shared" ref="I100" si="60">I99*(I31+H31+G31+F31)/H64</f>
        <v>0</v>
      </c>
      <c r="J100" s="795">
        <f>J99*(J31+G31+F31+E31)/G64</f>
        <v>1818.7011476046744</v>
      </c>
      <c r="K100" s="795">
        <f>K99*(K31+J31+G31+F31)/J64</f>
        <v>1291.9478100063636</v>
      </c>
      <c r="L100" s="795">
        <f>L99*(L31+K31+J31+G31)/K64</f>
        <v>1648.3642206071529</v>
      </c>
      <c r="M100" s="795">
        <f>M99*(M31+L31+K31+J31)/L64</f>
        <v>1531.5017219830131</v>
      </c>
      <c r="N100" s="791">
        <f>AVERAGE(J100:M100)</f>
        <v>1572.628725050301</v>
      </c>
      <c r="O100" s="791">
        <f t="shared" ref="O100" si="61">O99*(O31+N31+M31+L31)/N64</f>
        <v>0</v>
      </c>
      <c r="P100" s="795">
        <f>P99*(P31+L31+K31+M31)/M64</f>
        <v>1925.6873492213947</v>
      </c>
      <c r="Q100" s="795">
        <f>Q99*(Q31+P31+M31+L31)/P64</f>
        <v>1505.4669109754025</v>
      </c>
      <c r="R100" s="795">
        <f>R99*(R31+Q31+P31+M31)/Q64</f>
        <v>1638.0878795550118</v>
      </c>
      <c r="S100" s="795">
        <f>S99*(S31+R31+Q31+P31)/R64</f>
        <v>1887.0141546221362</v>
      </c>
      <c r="T100" s="791">
        <f>AVERAGE(P100:S100)</f>
        <v>1739.0640735934862</v>
      </c>
      <c r="U100" s="783"/>
      <c r="V100" s="795">
        <f>V99*(V31+S31+R31+Q31)/S64</f>
        <v>2700.6970522931074</v>
      </c>
      <c r="W100" s="795">
        <f>W99*(W31+V31+S31+R31)/V64</f>
        <v>1638.6473256584263</v>
      </c>
      <c r="X100" s="796">
        <f>X99*(X31+W31+V31+S31)/W64</f>
        <v>1910.8837788442136</v>
      </c>
      <c r="Y100" s="796">
        <f>Y99*(Y31+X31+W31+V31)/X64</f>
        <v>1664.6828911764487</v>
      </c>
      <c r="Z100" s="792">
        <f>AVERAGE(V100:Y100)</f>
        <v>1978.7277619930489</v>
      </c>
      <c r="AA100" s="476"/>
      <c r="AB100" s="796">
        <f>AB99*(AB31+Y31+X31+W31)/Y64</f>
        <v>1682.6903229161819</v>
      </c>
      <c r="AC100" s="796">
        <f>AC99*(AC31+AB31+Y31+X31)/AB64</f>
        <v>1654.4479632835839</v>
      </c>
      <c r="AD100" s="796">
        <f>AD99*(AD31+AC31+AB31+Y31)/AC64</f>
        <v>1690.5195889675717</v>
      </c>
      <c r="AE100" s="796">
        <f>AE99*(AE31+AD31+AC31+AB31)/AD64</f>
        <v>1766.6224759387476</v>
      </c>
      <c r="AF100" s="792">
        <f>AVERAGE(AB100:AE100)</f>
        <v>1698.5700877765214</v>
      </c>
      <c r="AG100" s="476"/>
      <c r="AH100" s="796">
        <f>AH99*AH31/AE64</f>
        <v>489.31562294912123</v>
      </c>
      <c r="AI100" s="476"/>
      <c r="AJ100" s="796">
        <f>AJ99*AJ31/AH64</f>
        <v>554.37991838969958</v>
      </c>
      <c r="AL100" s="796">
        <f>AL99*AL31/AJ64</f>
        <v>580.69971090036938</v>
      </c>
    </row>
    <row r="101" spans="2:41" s="785" customFormat="1" ht="14.25" customHeight="1" x14ac:dyDescent="0.25">
      <c r="B101" s="782" t="s">
        <v>594</v>
      </c>
      <c r="C101" s="476"/>
      <c r="D101" s="795">
        <f>D97/D100</f>
        <v>1.0320686254950185E-2</v>
      </c>
      <c r="E101" s="795">
        <f t="shared" ref="E101:G101" si="62">E97/E100</f>
        <v>2.0145983133048113E-2</v>
      </c>
      <c r="F101" s="795">
        <f t="shared" si="62"/>
        <v>1.6719649773127128E-2</v>
      </c>
      <c r="G101" s="795">
        <f t="shared" si="62"/>
        <v>1.4757420770747881E-2</v>
      </c>
      <c r="H101" s="794">
        <f>AVERAGE(D101:G101)</f>
        <v>1.5485934982968326E-2</v>
      </c>
      <c r="I101" s="476"/>
      <c r="J101" s="795">
        <f>J97/J100</f>
        <v>1.2646387797298207E-2</v>
      </c>
      <c r="K101" s="795">
        <f t="shared" ref="K101:M101" si="63">K97/K100</f>
        <v>2.3994777312132527E-2</v>
      </c>
      <c r="L101" s="795">
        <f t="shared" si="63"/>
        <v>3.5186398294083619E-2</v>
      </c>
      <c r="M101" s="795">
        <f t="shared" si="63"/>
        <v>1.1753169938779638E-2</v>
      </c>
      <c r="N101" s="794">
        <f>AVERAGE(J101:M101)</f>
        <v>2.0895183335573497E-2</v>
      </c>
      <c r="O101" s="476"/>
      <c r="P101" s="795">
        <f>P97/P100</f>
        <v>2.3887574490531392E-2</v>
      </c>
      <c r="Q101" s="795">
        <f t="shared" ref="Q101:S101" si="64">Q97/Q100</f>
        <v>3.8526253600898737E-2</v>
      </c>
      <c r="R101" s="795">
        <f t="shared" si="64"/>
        <v>3.3575732221973832E-2</v>
      </c>
      <c r="S101" s="795">
        <f t="shared" si="64"/>
        <v>2.596694883288354E-2</v>
      </c>
      <c r="T101" s="794">
        <f>AVERAGE(P101:S101)</f>
        <v>3.0489127286571879E-2</v>
      </c>
      <c r="U101" s="783"/>
      <c r="V101" s="795">
        <f>V97/V100</f>
        <v>1.0367693768623832E-2</v>
      </c>
      <c r="W101" s="795">
        <f>W97/W100</f>
        <v>1.586674545088762E-2</v>
      </c>
      <c r="X101" s="796">
        <f>X97/X100</f>
        <v>2.6112001447926834E-2</v>
      </c>
      <c r="Y101" s="796">
        <f>Y97/Y100</f>
        <v>2.2413539057658981E-2</v>
      </c>
      <c r="Z101" s="793">
        <f>AVERAGE(V101:Y101)</f>
        <v>1.8689994931274316E-2</v>
      </c>
      <c r="AA101" s="476"/>
      <c r="AB101" s="796">
        <f>AB97/AB100</f>
        <v>1.6848019872645437E-2</v>
      </c>
      <c r="AC101" s="796">
        <f>AC97/AC100</f>
        <v>2.2847500096031016E-2</v>
      </c>
      <c r="AD101" s="796">
        <f>AD97/AD100</f>
        <v>2.4223321792448939E-2</v>
      </c>
      <c r="AE101" s="796">
        <f>AE97/AE100</f>
        <v>2.4807762041356218E-2</v>
      </c>
      <c r="AF101" s="793">
        <f>AVERAGE(AB101:AE101)</f>
        <v>2.2181650950620403E-2</v>
      </c>
      <c r="AG101" s="476"/>
      <c r="AH101" s="796">
        <f>AH97/AH100</f>
        <v>0.34175893770182825</v>
      </c>
      <c r="AI101" s="476"/>
      <c r="AJ101" s="796">
        <f>AJ97/AJ100</f>
        <v>0.34218955396333256</v>
      </c>
      <c r="AL101" s="796">
        <f>AL97/AL100</f>
        <v>0.34214419554943348</v>
      </c>
    </row>
    <row r="102" spans="2:41" ht="14.25" customHeight="1" x14ac:dyDescent="0.25">
      <c r="D102" s="46"/>
      <c r="E102" s="46"/>
      <c r="F102" s="46"/>
      <c r="G102" s="46"/>
      <c r="J102" s="46"/>
      <c r="K102" s="46"/>
      <c r="L102" s="46"/>
      <c r="M102" s="46"/>
      <c r="P102" s="46"/>
      <c r="Q102" s="46"/>
      <c r="R102" s="46"/>
      <c r="S102" s="46"/>
      <c r="U102" s="205"/>
      <c r="V102" s="46"/>
      <c r="W102" s="46"/>
      <c r="X102" s="46"/>
      <c r="Y102" s="46"/>
      <c r="AB102" s="46"/>
      <c r="AC102" s="46"/>
      <c r="AD102" s="46"/>
      <c r="AE102" s="46"/>
    </row>
    <row r="103" spans="2:41" ht="14.25" customHeight="1" x14ac:dyDescent="0.3">
      <c r="B103" s="28" t="s">
        <v>595</v>
      </c>
      <c r="D103" s="50">
        <f>SUM(CF!P21:P24)</f>
        <v>-3141</v>
      </c>
      <c r="E103" s="50">
        <f>SUM(CF!Q21:Q24)</f>
        <v>-1241</v>
      </c>
      <c r="F103" s="50">
        <f>SUM(CF!R21:R24)</f>
        <v>-434</v>
      </c>
      <c r="G103" s="50">
        <f>SUM(CF!S21:S24)</f>
        <v>1516</v>
      </c>
      <c r="H103" s="68">
        <f>SUM(CF!T21:T24)</f>
        <v>-3300</v>
      </c>
      <c r="J103" s="50">
        <f>SUM(CF!V21:V24)</f>
        <v>-3672</v>
      </c>
      <c r="K103" s="50">
        <f>SUM(CF!W21:W24)</f>
        <v>-2126</v>
      </c>
      <c r="L103" s="50">
        <f>SUM(CF!X21:X24)</f>
        <v>-472</v>
      </c>
      <c r="M103" s="50">
        <f>SUM(CF!Y21:Y24)</f>
        <v>3103</v>
      </c>
      <c r="N103" s="68">
        <f>SUM(CF!Z21:Z24)</f>
        <v>-3167</v>
      </c>
      <c r="P103" s="50">
        <f>SUM(CF!AB21:AB24)</f>
        <v>-3144</v>
      </c>
      <c r="Q103" s="50">
        <f>SUM(CF!AC21:AC24)</f>
        <v>-1063</v>
      </c>
      <c r="R103" s="50">
        <f>SUM(CF!AD21:AD24)</f>
        <v>1011</v>
      </c>
      <c r="S103" s="50">
        <f>SUM(CF!AE21:AE24)</f>
        <v>3242</v>
      </c>
      <c r="T103" s="68">
        <f>SUM(CF!AF21:AF24)</f>
        <v>46</v>
      </c>
      <c r="U103" s="205"/>
      <c r="V103" s="50">
        <f>SUM(CF!AH21:AH24)</f>
        <v>-2117</v>
      </c>
      <c r="W103" s="50">
        <f>SUM(CF!AI21:AI24)</f>
        <v>-769</v>
      </c>
      <c r="X103" s="46">
        <f>-((X70+X73+X76-X85-X88)-(W70+W73+W76-W85-W88))</f>
        <v>-1193.2000000000007</v>
      </c>
      <c r="Y103" s="46">
        <f>-((Y70+Y73+Y76-Y85-Y88)-(X70+X73+X76-X85-X88))</f>
        <v>1055.4970260869577</v>
      </c>
      <c r="Z103" s="57">
        <f>SUM(V103:Y103)</f>
        <v>-3023.702973913043</v>
      </c>
      <c r="AB103" s="46">
        <f>-((AB70+AB73+AB76-AB85-AB88)-(Y70+Y73+Y76-Y85-Y88))</f>
        <v>1270.746452173913</v>
      </c>
      <c r="AC103" s="46">
        <f>-((AC70+AC73+AC76-AC85-AC88)-(AB70+AB73+AB76-AB85-AB88))</f>
        <v>-1105.7181079789789</v>
      </c>
      <c r="AD103" s="46">
        <f>-((AD70+AD73+AD76-AD85-AD88)-(AC70+AC73+AC76-AC85-AC88))</f>
        <v>-507.93406593406326</v>
      </c>
      <c r="AE103" s="46">
        <f>-((AE70+AE73+AE76-AE85-AE88)-(AD70+AD73+AD76-AD85-AD88))</f>
        <v>-332.09382608696069</v>
      </c>
      <c r="AF103" s="57">
        <f>SUM(AB103:AE103)</f>
        <v>-674.99954782608984</v>
      </c>
      <c r="AH103" s="312">
        <f>-((AH70+AH73+AH76-AH85-AH88)-(AF70+AF73+AF76-AF85-AF88))</f>
        <v>551.47383509529573</v>
      </c>
      <c r="AJ103" s="312">
        <f>-((AJ70+AJ73+AJ76-AJ85-AJ88)-(AH70+AH73+AH76-AH85-AH88))</f>
        <v>-800.77743843813005</v>
      </c>
      <c r="AL103" s="312">
        <f>-((AL70+AL73+AL76-AL85-AL88)-(AJ70+AJ73+AJ76-AJ85-AJ88))</f>
        <v>-565.81028075378163</v>
      </c>
    </row>
    <row r="104" spans="2:41" ht="14.25" customHeight="1" x14ac:dyDescent="0.25">
      <c r="B104" s="31" t="s">
        <v>596</v>
      </c>
      <c r="D104" s="305">
        <f>D103/(D31-IS!M18)</f>
        <v>1.7866894197952219</v>
      </c>
      <c r="E104" s="305">
        <f>E103/(E31-D31)</f>
        <v>-0.3264930281504867</v>
      </c>
      <c r="F104" s="305">
        <f>F103/(F31-E31)</f>
        <v>-0.59289617486338797</v>
      </c>
      <c r="G104" s="305">
        <f>G103/(G31-F31)</f>
        <v>1.0571827057182706</v>
      </c>
      <c r="H104" s="308">
        <f>H103/IS!N18</f>
        <v>-7.4959113210975828E-2</v>
      </c>
      <c r="J104" s="305">
        <f>J103/(J31-IS!S18)</f>
        <v>1.273231622746186</v>
      </c>
      <c r="K104" s="305">
        <f>K103/(K31-J31)</f>
        <v>-0.44899683210137276</v>
      </c>
      <c r="L104" s="305">
        <f>L103/(L31-K31)</f>
        <v>0.29760403530895335</v>
      </c>
      <c r="M104" s="305">
        <f>M103/(M31-L31)</f>
        <v>-7.9768637532133679</v>
      </c>
      <c r="N104" s="308">
        <f>N103/IS!T18</f>
        <v>-6.0235464176350874E-2</v>
      </c>
      <c r="P104" s="305">
        <f>P103/(P31-IS!Y18)</f>
        <v>0.9742795165788658</v>
      </c>
      <c r="Q104" s="305">
        <f>Q103/(Q31-P31)</f>
        <v>-0.34852459016393444</v>
      </c>
      <c r="R104" s="305">
        <f>R103/(R31-Q31)</f>
        <v>-0.485357657225156</v>
      </c>
      <c r="S104" s="305">
        <f>S103/(S31-R31)</f>
        <v>-1.6137381781981086</v>
      </c>
      <c r="T104" s="308">
        <f>T103/IS!Z18</f>
        <v>7.5100814680576639E-4</v>
      </c>
      <c r="U104" s="205"/>
      <c r="V104" s="305">
        <f>V103/(V31-IS!AE18)</f>
        <v>0.80341555977229606</v>
      </c>
      <c r="W104" s="305">
        <f>W103/(W31-V31)</f>
        <v>-0.18072855464159812</v>
      </c>
      <c r="X104" s="305">
        <f>X103/(X31-W31)</f>
        <v>1.6016107382550346</v>
      </c>
      <c r="Y104" s="305">
        <f>Y103/(Y31-X31)</f>
        <v>-6.0976142466029266</v>
      </c>
      <c r="Z104" s="308">
        <f>Z103/(Z31-T31)</f>
        <v>0.45938271583735341</v>
      </c>
      <c r="AB104" s="305">
        <f>AB103/(AB31-IS!AK18)</f>
        <v>0.14119405024154588</v>
      </c>
      <c r="AC104" s="305">
        <f>AC103/(AC31-AB31)</f>
        <v>-0.36857270265965963</v>
      </c>
      <c r="AD104" s="305">
        <f>AD103/(AD31-AC31)</f>
        <v>-0.50793406593406321</v>
      </c>
      <c r="AE104" s="305">
        <f>AE103/(AE31-AD31)</f>
        <v>-0.36373913043478717</v>
      </c>
      <c r="AF104" s="308">
        <f>AF103/(AF31-Z31)</f>
        <v>-0.2429253077329801</v>
      </c>
      <c r="AH104" s="308">
        <f>AH103/(AH31-AF31)</f>
        <v>0.10655016791775745</v>
      </c>
      <c r="AJ104" s="308">
        <f>AJ103/(AJ31-AH31)</f>
        <v>-0.11223339800644576</v>
      </c>
      <c r="AL104" s="308">
        <f>AL103/(AL31-AJ31)</f>
        <v>-0.1984742454513331</v>
      </c>
    </row>
    <row r="105" spans="2:41" ht="14.25" customHeight="1" x14ac:dyDescent="0.25">
      <c r="D105" s="46"/>
      <c r="E105" s="46"/>
      <c r="F105" s="46"/>
      <c r="G105" s="46"/>
      <c r="J105" s="46"/>
      <c r="K105" s="46"/>
      <c r="L105" s="46"/>
      <c r="M105" s="46"/>
      <c r="P105" s="46"/>
      <c r="Q105" s="46"/>
      <c r="R105" s="46"/>
      <c r="S105" s="46"/>
      <c r="U105" s="205"/>
      <c r="V105" s="46"/>
      <c r="W105" s="46"/>
      <c r="X105" s="46"/>
      <c r="Y105" s="46"/>
      <c r="AB105" s="46"/>
      <c r="AC105" s="46"/>
      <c r="AD105" s="46"/>
      <c r="AE105" s="46"/>
    </row>
    <row r="106" spans="2:41" ht="14.25" customHeight="1" x14ac:dyDescent="0.3">
      <c r="B106" s="28" t="s">
        <v>597</v>
      </c>
      <c r="D106" s="50">
        <f>CF!D28</f>
        <v>-271</v>
      </c>
      <c r="E106" s="50">
        <f>CF!E28</f>
        <v>-169</v>
      </c>
      <c r="F106" s="50">
        <f>CF!F28</f>
        <v>-151</v>
      </c>
      <c r="G106" s="50">
        <f>CF!G28</f>
        <v>-225</v>
      </c>
      <c r="H106" s="797">
        <f>CF!H28</f>
        <v>-816</v>
      </c>
      <c r="J106" s="50">
        <f>CF!V28</f>
        <v>-315</v>
      </c>
      <c r="K106" s="50">
        <f>CF!W28</f>
        <v>-269</v>
      </c>
      <c r="L106" s="50">
        <f>CF!X28</f>
        <v>-303</v>
      </c>
      <c r="M106" s="50">
        <f>CF!Y28</f>
        <v>-613</v>
      </c>
      <c r="N106" s="68">
        <f>CF!Z28</f>
        <v>-1500</v>
      </c>
      <c r="P106" s="50">
        <v>-362</v>
      </c>
      <c r="Q106" s="50">
        <f>-357</f>
        <v>-357</v>
      </c>
      <c r="R106" s="50">
        <f>-324</f>
        <v>-324</v>
      </c>
      <c r="S106" s="50">
        <f>-557</f>
        <v>-557</v>
      </c>
      <c r="T106" s="68">
        <f>SUM(P106:S106)</f>
        <v>-1600</v>
      </c>
      <c r="U106" s="205"/>
      <c r="V106" s="50">
        <f>-352</f>
        <v>-352</v>
      </c>
      <c r="W106" s="50">
        <v>-203</v>
      </c>
      <c r="X106" s="46">
        <v>-297</v>
      </c>
      <c r="Y106" s="46">
        <f>-598</f>
        <v>-598</v>
      </c>
      <c r="Z106" s="57">
        <f>SUM(V106:Y106)</f>
        <v>-1450</v>
      </c>
      <c r="AA106" s="71"/>
      <c r="AB106" s="46">
        <f>-AB$31*(AB107+Sensitivity!$U$38)</f>
        <v>-360</v>
      </c>
      <c r="AC106" s="46">
        <f>-AC$31*(AC107+Sensitivity!$U$38)</f>
        <v>-480</v>
      </c>
      <c r="AD106" s="46">
        <f>-AD$31*(AD107+Sensitivity!$U$38)</f>
        <v>-520</v>
      </c>
      <c r="AE106" s="46">
        <f>-AE$31*(AE107+Sensitivity!$U$38)</f>
        <v>-556.52</v>
      </c>
      <c r="AF106" s="57">
        <f>SUM(AB106:AE106)</f>
        <v>-1916.52</v>
      </c>
      <c r="AG106" s="57"/>
      <c r="AH106" s="57">
        <f>-AH$31*(AH107+Sensitivity!$U$38)</f>
        <v>-2123.5300000000002</v>
      </c>
      <c r="AI106" s="57"/>
      <c r="AJ106" s="57">
        <f>-AJ$31*(AJ107+Sensitivity!$U$38)</f>
        <v>-2408.9272000000001</v>
      </c>
      <c r="AK106" s="57"/>
      <c r="AL106" s="57">
        <f>-AL$31*(AL107+Sensitivity!$U$38)</f>
        <v>-2522.9591802132759</v>
      </c>
    </row>
    <row r="107" spans="2:41" s="785" customFormat="1" ht="14.25" customHeight="1" x14ac:dyDescent="0.25">
      <c r="B107" s="782" t="s">
        <v>531</v>
      </c>
      <c r="C107" s="476"/>
      <c r="D107" s="305">
        <f>-D106/D31</f>
        <v>2.8320618664437244E-2</v>
      </c>
      <c r="E107" s="305">
        <f>-E106/E31</f>
        <v>1.2640239341810022E-2</v>
      </c>
      <c r="F107" s="305">
        <f>-F106/F31</f>
        <v>1.0707701035314141E-2</v>
      </c>
      <c r="G107" s="305">
        <f>-G106/G31</f>
        <v>1.448249227600412E-2</v>
      </c>
      <c r="H107" s="741">
        <f>-H106/H31</f>
        <v>1.5520094337828328E-2</v>
      </c>
      <c r="I107" s="476"/>
      <c r="J107" s="305">
        <f>-J106/J31</f>
        <v>2.489724944672779E-2</v>
      </c>
      <c r="K107" s="305">
        <f>-K106/K31</f>
        <v>1.5471329153965607E-2</v>
      </c>
      <c r="L107" s="305">
        <f>-L106/L31</f>
        <v>1.9176001518891209E-2</v>
      </c>
      <c r="M107" s="305">
        <f>-M106/M31</f>
        <v>3.9774201920581363E-2</v>
      </c>
      <c r="N107" s="741">
        <f>-N106/N31</f>
        <v>2.4489396091492383E-2</v>
      </c>
      <c r="O107" s="476"/>
      <c r="P107" s="305">
        <f>-P106/P31</f>
        <v>2.9708658186294624E-2</v>
      </c>
      <c r="Q107" s="305">
        <f>-Q106/Q31</f>
        <v>2.3432884804725961E-2</v>
      </c>
      <c r="R107" s="305">
        <f>-R106/R31</f>
        <v>2.4635036496350366E-2</v>
      </c>
      <c r="S107" s="305">
        <f>-S106/S31</f>
        <v>4.9986538634120073E-2</v>
      </c>
      <c r="T107" s="741">
        <f>-T106/T31</f>
        <v>3.093820094361513E-2</v>
      </c>
      <c r="U107" s="783"/>
      <c r="V107" s="305">
        <f>-V106/V31</f>
        <v>4.1372825575928536E-2</v>
      </c>
      <c r="W107" s="305">
        <f>-W106/W31</f>
        <v>1.5905351406409151E-2</v>
      </c>
      <c r="X107" s="316">
        <f>-X106/X31</f>
        <v>2.4712930604093859E-2</v>
      </c>
      <c r="Y107" s="316">
        <f>-Y106/Y31</f>
        <v>5.0485863114082846E-2</v>
      </c>
      <c r="Z107" s="800">
        <f>-Z106/Z$31</f>
        <v>3.2126627656816717E-2</v>
      </c>
      <c r="AA107" s="476"/>
      <c r="AB107" s="316">
        <v>0.04</v>
      </c>
      <c r="AC107" s="316">
        <v>0.04</v>
      </c>
      <c r="AD107" s="316">
        <v>0.04</v>
      </c>
      <c r="AE107" s="316">
        <v>0.04</v>
      </c>
      <c r="AF107" s="800">
        <f>-AF106/AF$31</f>
        <v>4.000039238170057E-2</v>
      </c>
      <c r="AG107" s="476"/>
      <c r="AH107" s="801">
        <v>0.04</v>
      </c>
      <c r="AI107" s="802"/>
      <c r="AJ107" s="803">
        <v>0.04</v>
      </c>
      <c r="AK107" s="802"/>
      <c r="AL107" s="803">
        <v>0.04</v>
      </c>
      <c r="AM107" s="787"/>
      <c r="AN107" s="787"/>
      <c r="AO107" s="787"/>
    </row>
    <row r="108" spans="2:41" ht="14.25" customHeight="1" x14ac:dyDescent="0.25">
      <c r="D108" s="46"/>
      <c r="E108" s="46"/>
      <c r="F108" s="46"/>
      <c r="G108" s="46"/>
      <c r="J108" s="46"/>
      <c r="K108" s="46"/>
      <c r="L108" s="46"/>
      <c r="M108" s="46"/>
      <c r="P108" s="46"/>
      <c r="Q108" s="46"/>
      <c r="R108" s="46"/>
      <c r="S108" s="46"/>
      <c r="U108" s="205"/>
      <c r="V108" s="46"/>
      <c r="W108" s="46"/>
      <c r="X108" s="46"/>
      <c r="Y108" s="46"/>
      <c r="AB108" s="46"/>
      <c r="AC108" s="46"/>
      <c r="AD108" s="46"/>
      <c r="AE108" s="46"/>
    </row>
    <row r="109" spans="2:41" ht="14.25" customHeight="1" x14ac:dyDescent="0.3">
      <c r="B109" s="28" t="s">
        <v>598</v>
      </c>
      <c r="D109" s="50">
        <f>CF!P29</f>
        <v>479</v>
      </c>
      <c r="E109" s="50">
        <f>CF!Q29</f>
        <v>556</v>
      </c>
      <c r="F109" s="50">
        <f>CF!R29</f>
        <v>466</v>
      </c>
      <c r="G109" s="50">
        <f>CF!S29</f>
        <v>592</v>
      </c>
      <c r="H109" s="68">
        <f>CF!T29</f>
        <v>2093</v>
      </c>
      <c r="J109" s="50">
        <f>CF!V29</f>
        <v>497</v>
      </c>
      <c r="K109" s="50">
        <f>CF!W29</f>
        <v>496</v>
      </c>
      <c r="L109" s="50">
        <f>CF!X29</f>
        <v>452</v>
      </c>
      <c r="M109" s="50">
        <f>CF!Y29</f>
        <v>536</v>
      </c>
      <c r="N109" s="68">
        <f>CF!Z29</f>
        <v>1981</v>
      </c>
      <c r="P109" s="50">
        <f>CF!AB29</f>
        <v>506</v>
      </c>
      <c r="Q109" s="50">
        <f>CF!AC29</f>
        <v>505</v>
      </c>
      <c r="R109" s="50">
        <f>CF!AD29</f>
        <v>440</v>
      </c>
      <c r="S109" s="50">
        <f>CF!AE29</f>
        <v>478</v>
      </c>
      <c r="T109" s="68">
        <f>CF!AF29</f>
        <v>1929</v>
      </c>
      <c r="U109" s="205"/>
      <c r="V109" s="50">
        <f>CF!AH29</f>
        <v>433</v>
      </c>
      <c r="W109" s="50">
        <f>CF!AI29</f>
        <v>568</v>
      </c>
      <c r="X109" s="46">
        <f>X110*X31</f>
        <v>480.72</v>
      </c>
      <c r="Y109" s="46">
        <f>Y110*Y31</f>
        <v>473.79600000000005</v>
      </c>
      <c r="Z109" s="57">
        <f>SUM(V109:Y109)</f>
        <v>1955.5160000000001</v>
      </c>
      <c r="AB109" s="46">
        <f>AB110*AB31</f>
        <v>360</v>
      </c>
      <c r="AC109" s="46">
        <f t="shared" ref="AC109:AE109" si="65">AC110*AC31</f>
        <v>480</v>
      </c>
      <c r="AD109" s="46">
        <f t="shared" si="65"/>
        <v>520</v>
      </c>
      <c r="AE109" s="46">
        <f t="shared" si="65"/>
        <v>556.52</v>
      </c>
      <c r="AF109" s="57">
        <f>SUM(AB109:AE109)</f>
        <v>1916.52</v>
      </c>
      <c r="AH109" s="57">
        <f>AH110*AH31</f>
        <v>2123.5300000000002</v>
      </c>
      <c r="AJ109" s="57">
        <f>AJ110*AJ31</f>
        <v>2408.9272000000001</v>
      </c>
      <c r="AL109" s="57">
        <f>AL110*AL31</f>
        <v>2522.9591802132759</v>
      </c>
    </row>
    <row r="110" spans="2:41" ht="14.25" customHeight="1" x14ac:dyDescent="0.25">
      <c r="B110" s="31" t="s">
        <v>599</v>
      </c>
      <c r="D110" s="305">
        <f>D109/D31</f>
        <v>5.0057477270352181E-2</v>
      </c>
      <c r="E110" s="305">
        <f t="shared" ref="E110:H110" si="66">E109/E31</f>
        <v>4.1585639491398652E-2</v>
      </c>
      <c r="F110" s="305">
        <f t="shared" si="66"/>
        <v>3.3044958161962845E-2</v>
      </c>
      <c r="G110" s="305">
        <f t="shared" si="66"/>
        <v>3.8105046343975282E-2</v>
      </c>
      <c r="H110" s="305">
        <f t="shared" si="66"/>
        <v>3.9808281187591534E-2</v>
      </c>
      <c r="I110" s="305" t="e">
        <f t="shared" ref="I110" si="67">I109/I31</f>
        <v>#DIV/0!</v>
      </c>
      <c r="J110" s="305">
        <f t="shared" ref="J110" si="68">J109/J31</f>
        <v>3.9282326904837177E-2</v>
      </c>
      <c r="K110" s="305">
        <f t="shared" ref="K110:L110" si="69">K109/K31</f>
        <v>2.8527060447460745E-2</v>
      </c>
      <c r="L110" s="305">
        <f t="shared" si="69"/>
        <v>2.8605784444022529E-2</v>
      </c>
      <c r="M110" s="305">
        <f t="shared" ref="M110" si="70">M109/M31</f>
        <v>3.4778094990916171E-2</v>
      </c>
      <c r="N110" s="305">
        <f t="shared" ref="N110" si="71">N109/N31</f>
        <v>3.2342329104830939E-2</v>
      </c>
      <c r="O110" s="305" t="e">
        <f t="shared" ref="O110:P110" si="72">O109/O31</f>
        <v>#DIV/0!</v>
      </c>
      <c r="P110" s="305">
        <f t="shared" si="72"/>
        <v>4.1526466967583095E-2</v>
      </c>
      <c r="Q110" s="305">
        <f t="shared" ref="Q110" si="73">Q109/Q31</f>
        <v>3.314735805710535E-2</v>
      </c>
      <c r="R110" s="305">
        <f t="shared" ref="R110" si="74">R109/R31</f>
        <v>3.3454987834549879E-2</v>
      </c>
      <c r="S110" s="305">
        <f t="shared" ref="S110:T110" si="75">S109/S31</f>
        <v>4.2896885937359776E-2</v>
      </c>
      <c r="T110" s="305">
        <f t="shared" si="75"/>
        <v>3.7299868512645988E-2</v>
      </c>
      <c r="U110" s="305" t="e">
        <f t="shared" ref="U110" si="76">U109/U31</f>
        <v>#DIV/0!</v>
      </c>
      <c r="V110" s="305">
        <f t="shared" ref="V110" si="77">V109/V31</f>
        <v>5.0893276915843909E-2</v>
      </c>
      <c r="W110" s="305">
        <f t="shared" ref="W110" si="78">W109/W31</f>
        <v>4.4503643344041367E-2</v>
      </c>
      <c r="X110" s="316">
        <v>0.04</v>
      </c>
      <c r="Y110" s="316">
        <v>0.04</v>
      </c>
      <c r="Z110" s="306">
        <f>Z109/Z31</f>
        <v>4.3326989247550067E-2</v>
      </c>
      <c r="AB110" s="316">
        <v>0.04</v>
      </c>
      <c r="AC110" s="316">
        <v>0.04</v>
      </c>
      <c r="AD110" s="316">
        <v>0.04</v>
      </c>
      <c r="AE110" s="316">
        <v>0.04</v>
      </c>
      <c r="AF110" s="306">
        <f>AF109/AF31</f>
        <v>4.000039238170057E-2</v>
      </c>
      <c r="AH110" s="316">
        <v>0.04</v>
      </c>
      <c r="AJ110" s="316">
        <v>0.04</v>
      </c>
      <c r="AL110" s="316">
        <v>0.04</v>
      </c>
    </row>
    <row r="111" spans="2:41" ht="14.25" customHeight="1" x14ac:dyDescent="0.25">
      <c r="B111" s="31"/>
      <c r="D111" s="305"/>
      <c r="E111" s="305"/>
      <c r="F111" s="305"/>
      <c r="G111" s="305"/>
      <c r="H111" s="308"/>
      <c r="J111" s="305"/>
      <c r="K111" s="305"/>
      <c r="L111" s="305"/>
      <c r="M111" s="305"/>
      <c r="N111" s="308"/>
      <c r="P111" s="305"/>
      <c r="Q111" s="305"/>
      <c r="R111" s="305"/>
      <c r="S111" s="305"/>
      <c r="T111" s="308"/>
      <c r="U111" s="205"/>
      <c r="V111" s="305"/>
      <c r="W111" s="305"/>
      <c r="X111" s="305"/>
      <c r="Y111" s="305"/>
      <c r="Z111" s="306"/>
      <c r="AA111" s="306"/>
      <c r="AB111" s="305"/>
      <c r="AC111" s="305"/>
      <c r="AD111" s="305"/>
      <c r="AE111" s="305"/>
      <c r="AF111" s="306"/>
      <c r="AH111" s="615"/>
      <c r="AJ111" s="615"/>
      <c r="AL111" s="615"/>
    </row>
    <row r="112" spans="2:41" ht="14.25" customHeight="1" x14ac:dyDescent="0.3">
      <c r="B112" s="28" t="s">
        <v>600</v>
      </c>
      <c r="D112" s="50">
        <f>CF!P39</f>
        <v>-327</v>
      </c>
      <c r="E112" s="50">
        <f>CF!Q39</f>
        <v>-322</v>
      </c>
      <c r="F112" s="50">
        <f>CF!R39</f>
        <v>-322</v>
      </c>
      <c r="G112" s="50">
        <f>CF!S39</f>
        <v>-342</v>
      </c>
      <c r="H112" s="68">
        <f>CF!T39</f>
        <v>-1313</v>
      </c>
      <c r="J112" s="50">
        <f>CF!V39</f>
        <v>-341</v>
      </c>
      <c r="K112" s="50">
        <f>CF!W39</f>
        <v>-356</v>
      </c>
      <c r="L112" s="50">
        <f>CF!X39</f>
        <v>-368</v>
      </c>
      <c r="M112" s="50">
        <f>CF!Y39</f>
        <v>-362</v>
      </c>
      <c r="N112" s="68">
        <f>CF!Z39</f>
        <v>-1427</v>
      </c>
      <c r="P112" s="50">
        <f>CF!AB39</f>
        <v>-386</v>
      </c>
      <c r="Q112" s="50">
        <f>CF!AC39</f>
        <v>-410</v>
      </c>
      <c r="R112" s="50">
        <f>CF!AD39</f>
        <v>-406</v>
      </c>
      <c r="S112" s="50">
        <f>CF!AE39</f>
        <v>-403</v>
      </c>
      <c r="T112" s="68">
        <f>CF!AF39</f>
        <v>-1605</v>
      </c>
      <c r="U112" s="205"/>
      <c r="V112" s="50">
        <f>CF!AH39</f>
        <v>-403</v>
      </c>
      <c r="W112" s="50">
        <f>CF!AI39</f>
        <v>-440</v>
      </c>
      <c r="X112" s="46">
        <v>-438.53399999999999</v>
      </c>
      <c r="Y112" s="46">
        <f>-Y113*Y126</f>
        <v>-365.05827816300001</v>
      </c>
      <c r="Z112" s="57">
        <f>SUM(V112:Y112)</f>
        <v>-1646.5922781630002</v>
      </c>
      <c r="AB112" s="46">
        <f>-AB113*AB126</f>
        <v>-259.03800000000001</v>
      </c>
      <c r="AC112" s="46">
        <f>-AC113*AC126</f>
        <v>-364.572</v>
      </c>
      <c r="AD112" s="46">
        <f>-AD113*AD126</f>
        <v>-433.99200000000002</v>
      </c>
      <c r="AE112" s="46">
        <f>-AE113*AE126</f>
        <v>-487.69517160000004</v>
      </c>
      <c r="AF112" s="57">
        <f>SUM(AB112:AE112)</f>
        <v>-1545.2971716000002</v>
      </c>
      <c r="AH112" s="57">
        <f>-AH113*AH126</f>
        <v>-1867.5384584999997</v>
      </c>
      <c r="AJ112" s="57">
        <f>-AJ113*AJ126</f>
        <v>-2514.0527830080009</v>
      </c>
      <c r="AL112" s="57">
        <f>-AL113*AL126</f>
        <v>-3074.8565008849305</v>
      </c>
    </row>
    <row r="113" spans="1:45" ht="14.25" customHeight="1" x14ac:dyDescent="0.25">
      <c r="B113" s="31" t="s">
        <v>601</v>
      </c>
      <c r="D113" s="305">
        <f>-D112/D126</f>
        <v>0.28398228955196936</v>
      </c>
      <c r="E113" s="305">
        <f>-E112/E126</f>
        <v>0.14008616497069126</v>
      </c>
      <c r="F113" s="305">
        <f>-F112/F126</f>
        <v>0.15070854638422204</v>
      </c>
      <c r="G113" s="305">
        <f>-G112/G126</f>
        <v>0.1469097873747047</v>
      </c>
      <c r="H113" s="308">
        <f>-H112/H126</f>
        <v>0.16774364606632938</v>
      </c>
      <c r="J113" s="305">
        <f>-J112/J126</f>
        <v>0.14623758349916191</v>
      </c>
      <c r="K113" s="305">
        <f>-K112/K126</f>
        <v>0.10417594777849817</v>
      </c>
      <c r="L113" s="305">
        <f>-L112/L126</f>
        <v>0.11506698080543454</v>
      </c>
      <c r="M113" s="305">
        <f>-M112/M126</f>
        <v>0.12141018668251445</v>
      </c>
      <c r="N113" s="308">
        <f>-N112/N126</f>
        <v>0.11685880024546719</v>
      </c>
      <c r="P113" s="305">
        <f>-P112/P126</f>
        <v>0.16230858278840674</v>
      </c>
      <c r="Q113" s="305">
        <f>-Q112/Q126</f>
        <v>0.13664039360200017</v>
      </c>
      <c r="R113" s="305">
        <f>-R112/R126</f>
        <v>0.17298162772395448</v>
      </c>
      <c r="S113" s="305">
        <f>-S112/S126</f>
        <v>0.19589124037928776</v>
      </c>
      <c r="T113" s="308">
        <f>-T112/T126</f>
        <v>0.16294100403984177</v>
      </c>
      <c r="U113" s="205"/>
      <c r="V113" s="305">
        <f>-V112/V126</f>
        <v>0.24391144671245782</v>
      </c>
      <c r="W113" s="305">
        <f>-W112/W126</f>
        <v>0.18324322763838491</v>
      </c>
      <c r="X113" s="316">
        <f>-X112/X126</f>
        <v>0.25093212483262956</v>
      </c>
      <c r="Y113" s="316">
        <v>0.18</v>
      </c>
      <c r="Z113" s="306">
        <f>-Z112/Z126</f>
        <v>0.21031583762868877</v>
      </c>
      <c r="AB113" s="316">
        <v>0.18</v>
      </c>
      <c r="AC113" s="316">
        <v>0.19</v>
      </c>
      <c r="AD113" s="316">
        <v>0.2</v>
      </c>
      <c r="AE113" s="316">
        <v>0.21</v>
      </c>
      <c r="AF113" s="306">
        <f>-AF112/AF126</f>
        <v>0.19684767728410946</v>
      </c>
      <c r="AH113" s="316">
        <v>0.22</v>
      </c>
      <c r="AJ113" s="316">
        <v>0.24</v>
      </c>
      <c r="AL113" s="316">
        <v>0.25</v>
      </c>
    </row>
    <row r="114" spans="1:45" ht="14.25" customHeight="1" x14ac:dyDescent="0.25">
      <c r="B114" s="31"/>
      <c r="D114" s="305"/>
      <c r="E114" s="305"/>
      <c r="F114" s="305"/>
      <c r="G114" s="305"/>
      <c r="H114" s="308"/>
      <c r="J114" s="305"/>
      <c r="K114" s="305"/>
      <c r="L114" s="305"/>
      <c r="M114" s="305"/>
      <c r="N114" s="308"/>
      <c r="P114" s="305"/>
      <c r="Q114" s="305"/>
      <c r="R114" s="305"/>
      <c r="S114" s="305"/>
      <c r="T114" s="308"/>
      <c r="U114" s="205"/>
      <c r="V114" s="305"/>
      <c r="W114" s="305"/>
      <c r="X114" s="305"/>
      <c r="Y114" s="305"/>
      <c r="Z114" s="306"/>
      <c r="AA114" s="306"/>
      <c r="AB114" s="305"/>
      <c r="AC114" s="305"/>
      <c r="AD114" s="305"/>
      <c r="AE114" s="305"/>
      <c r="AF114" s="306"/>
      <c r="AH114" s="615"/>
      <c r="AJ114" s="615"/>
      <c r="AL114" s="615"/>
    </row>
    <row r="115" spans="1:45" ht="14.25" customHeight="1" x14ac:dyDescent="0.3">
      <c r="B115" s="28" t="s">
        <v>602</v>
      </c>
      <c r="D115" s="50">
        <f>CF!P40</f>
        <v>-612</v>
      </c>
      <c r="E115" s="50">
        <f>CF!Q40</f>
        <v>-564</v>
      </c>
      <c r="F115" s="50">
        <f>CF!R40</f>
        <v>-1246</v>
      </c>
      <c r="G115" s="50">
        <f>CF!S40</f>
        <v>-1112</v>
      </c>
      <c r="H115" s="68">
        <f>CF!T40</f>
        <v>-3534</v>
      </c>
      <c r="J115" s="50">
        <f>CF!V40</f>
        <v>-1236</v>
      </c>
      <c r="K115" s="50">
        <f>CF!W40</f>
        <v>-1280</v>
      </c>
      <c r="L115" s="50">
        <f>CF!X40</f>
        <v>-2147</v>
      </c>
      <c r="M115" s="50">
        <f>CF!Y40</f>
        <v>-2553</v>
      </c>
      <c r="N115" s="68">
        <f>CF!Z40</f>
        <v>-7216</v>
      </c>
      <c r="P115" s="50">
        <f>CF!AB40</f>
        <v>-1328</v>
      </c>
      <c r="Q115" s="50">
        <f>CF!AC40</f>
        <v>-1094</v>
      </c>
      <c r="R115" s="50">
        <f>CF!AD40</f>
        <v>-805</v>
      </c>
      <c r="S115" s="50">
        <f>CF!AE40</f>
        <v>-780</v>
      </c>
      <c r="T115" s="68">
        <f>CF!AF40</f>
        <v>-4007</v>
      </c>
      <c r="U115" s="205"/>
      <c r="V115" s="50">
        <f>CF!AH40</f>
        <v>-441</v>
      </c>
      <c r="W115" s="50">
        <f>CF!AI40</f>
        <v>-397</v>
      </c>
      <c r="X115" s="618">
        <f>-0.4*(X136+X134+X112)</f>
        <v>-354.16699199999971</v>
      </c>
      <c r="Y115" s="618">
        <f>-0.4*(Y136+Y134+Y112)</f>
        <v>-1145.1966865095835</v>
      </c>
      <c r="Z115" s="57">
        <f>SUM(V115:Y115)</f>
        <v>-2337.3636785095832</v>
      </c>
      <c r="AB115" s="618">
        <f>-0.4*(AB136+AB134+AB112)</f>
        <v>-1133.8825760695652</v>
      </c>
      <c r="AC115" s="618">
        <f>0.4*(AC136+AC134+AC112)</f>
        <v>336.74315200840852</v>
      </c>
      <c r="AD115" s="618">
        <f>-0.4*(AD136+AD134+AD112)</f>
        <v>-649.81276882637462</v>
      </c>
      <c r="AE115" s="618">
        <f>-0.4*(AE136+AE134+AE112)</f>
        <v>-760.77716012521569</v>
      </c>
      <c r="AF115" s="57">
        <f>SUM(AB115:AE115)</f>
        <v>-2207.7293530127472</v>
      </c>
      <c r="AH115" s="618">
        <f>-0.4*(AH136+AH112+AH134)</f>
        <v>-3078.2090108381185</v>
      </c>
      <c r="AI115" s="761"/>
      <c r="AJ115" s="618">
        <f>-0.4*(AJ136+AJ112+AJ134)</f>
        <v>-3082.2562851015496</v>
      </c>
      <c r="AK115" s="761"/>
      <c r="AL115" s="618">
        <f>-0.4*(AL136+AL112+AL134)</f>
        <v>-3685.1960981371226</v>
      </c>
      <c r="AN115" s="97" t="s">
        <v>603</v>
      </c>
      <c r="AO115" s="765">
        <f>SUM(X115:Y115,AF115:AL115)</f>
        <v>-13552.754425599122</v>
      </c>
    </row>
    <row r="116" spans="1:45" ht="14.25" customHeight="1" x14ac:dyDescent="0.25">
      <c r="B116" s="763"/>
      <c r="D116" s="318"/>
      <c r="E116" s="764"/>
      <c r="F116" s="764"/>
      <c r="G116" s="764"/>
      <c r="H116" s="764"/>
      <c r="I116" s="764"/>
      <c r="J116" s="764"/>
      <c r="K116" s="764"/>
      <c r="L116" s="764"/>
      <c r="M116" s="764"/>
      <c r="N116" s="764"/>
      <c r="O116" s="764"/>
      <c r="P116" s="764"/>
      <c r="Q116" s="764"/>
      <c r="R116" s="764"/>
      <c r="S116" s="764"/>
      <c r="T116" s="764"/>
      <c r="U116" s="764"/>
      <c r="V116" s="764"/>
      <c r="W116" s="764"/>
      <c r="X116" s="764"/>
      <c r="Y116" s="764"/>
      <c r="Z116" s="764"/>
      <c r="AA116" s="764"/>
      <c r="AB116" s="764"/>
      <c r="AC116" s="764"/>
      <c r="AD116" s="764"/>
      <c r="AE116" s="764"/>
      <c r="AF116" s="764"/>
      <c r="AG116" s="764"/>
      <c r="AH116" s="764"/>
      <c r="AI116" s="764"/>
      <c r="AJ116" s="764"/>
      <c r="AK116" s="764"/>
      <c r="AL116" s="764"/>
      <c r="AN116" s="318"/>
      <c r="AS116" s="312"/>
    </row>
    <row r="117" spans="1:45" s="41" customFormat="1" ht="15" customHeight="1" x14ac:dyDescent="0.3">
      <c r="A117" s="30" t="s">
        <v>70</v>
      </c>
      <c r="B117" s="161" t="s">
        <v>604</v>
      </c>
      <c r="C117" s="18"/>
      <c r="D117" s="162"/>
      <c r="E117" s="162"/>
      <c r="F117" s="162"/>
      <c r="G117" s="162"/>
      <c r="H117" s="162"/>
      <c r="I117" s="18"/>
      <c r="J117" s="162"/>
      <c r="K117" s="162"/>
      <c r="L117" s="162"/>
      <c r="M117" s="162"/>
      <c r="N117" s="162"/>
      <c r="O117" s="18"/>
      <c r="P117" s="162"/>
      <c r="Q117" s="162"/>
      <c r="R117" s="162"/>
      <c r="S117" s="162"/>
      <c r="T117" s="162"/>
      <c r="U117" s="18"/>
      <c r="V117" s="162"/>
      <c r="W117" s="162"/>
      <c r="X117" s="162"/>
      <c r="Y117" s="162"/>
      <c r="Z117" s="162"/>
      <c r="AA117" s="18"/>
      <c r="AB117" s="162"/>
      <c r="AC117" s="162"/>
      <c r="AD117" s="162"/>
      <c r="AE117" s="162"/>
      <c r="AF117" s="162"/>
      <c r="AG117" s="18"/>
      <c r="AH117" s="162"/>
      <c r="AI117" s="18"/>
      <c r="AJ117" s="163"/>
      <c r="AK117" s="18"/>
      <c r="AL117" s="163"/>
    </row>
    <row r="118" spans="1:45" s="41" customFormat="1" ht="15" customHeight="1" x14ac:dyDescent="0.3">
      <c r="B118" s="164"/>
      <c r="C118" s="18"/>
      <c r="D118" s="813">
        <f>D$8</f>
        <v>2022</v>
      </c>
      <c r="E118" s="813">
        <f>F118</f>
        <v>0</v>
      </c>
      <c r="F118" s="813">
        <f>F$8</f>
        <v>0</v>
      </c>
      <c r="G118" s="813">
        <f>F118</f>
        <v>0</v>
      </c>
      <c r="H118" s="813">
        <f>F118</f>
        <v>0</v>
      </c>
      <c r="I118" s="169"/>
      <c r="J118" s="813">
        <f>J$8</f>
        <v>2023</v>
      </c>
      <c r="K118" s="813">
        <f>L118</f>
        <v>0</v>
      </c>
      <c r="L118" s="813">
        <f>L$8</f>
        <v>0</v>
      </c>
      <c r="M118" s="813">
        <f>L118</f>
        <v>0</v>
      </c>
      <c r="N118" s="813">
        <f>L118</f>
        <v>0</v>
      </c>
      <c r="O118" s="169"/>
      <c r="P118" s="813">
        <f>P$8</f>
        <v>2024</v>
      </c>
      <c r="Q118" s="813">
        <f>R118</f>
        <v>0</v>
      </c>
      <c r="R118" s="813">
        <f>R$8</f>
        <v>0</v>
      </c>
      <c r="S118" s="813">
        <f>R118</f>
        <v>0</v>
      </c>
      <c r="T118" s="813">
        <f>R118</f>
        <v>0</v>
      </c>
      <c r="U118" s="169"/>
      <c r="V118" s="812">
        <f>V$8</f>
        <v>2025</v>
      </c>
      <c r="W118" s="812">
        <f>X118</f>
        <v>0</v>
      </c>
      <c r="X118" s="812">
        <f>X$8</f>
        <v>0</v>
      </c>
      <c r="Y118" s="812">
        <f>X118</f>
        <v>0</v>
      </c>
      <c r="Z118" s="812">
        <f>X118</f>
        <v>0</v>
      </c>
      <c r="AA118" s="169"/>
      <c r="AB118" s="812">
        <f>AB$8</f>
        <v>2026</v>
      </c>
      <c r="AC118" s="812">
        <f>AD118</f>
        <v>0</v>
      </c>
      <c r="AD118" s="812">
        <f>AD$8</f>
        <v>0</v>
      </c>
      <c r="AE118" s="812">
        <f>AD118</f>
        <v>0</v>
      </c>
      <c r="AF118" s="812">
        <f>AD118</f>
        <v>0</v>
      </c>
      <c r="AG118" s="171"/>
      <c r="AH118" s="166">
        <f>AH$8</f>
        <v>2027</v>
      </c>
      <c r="AI118" s="167"/>
      <c r="AJ118" s="166">
        <f>AJ$8</f>
        <v>2028</v>
      </c>
      <c r="AK118" s="167"/>
      <c r="AL118" s="166">
        <f>AL$8</f>
        <v>2029</v>
      </c>
    </row>
    <row r="119" spans="1:45" s="41" customFormat="1" ht="14.25" customHeight="1" x14ac:dyDescent="0.3">
      <c r="B119" s="164"/>
      <c r="C119" s="18"/>
      <c r="D119" s="168" t="s">
        <v>36</v>
      </c>
      <c r="E119" s="168" t="s">
        <v>37</v>
      </c>
      <c r="F119" s="168" t="s">
        <v>38</v>
      </c>
      <c r="G119" s="168" t="s">
        <v>39</v>
      </c>
      <c r="H119" s="168" t="s">
        <v>40</v>
      </c>
      <c r="I119" s="165"/>
      <c r="J119" s="168" t="s">
        <v>36</v>
      </c>
      <c r="K119" s="168" t="s">
        <v>37</v>
      </c>
      <c r="L119" s="168" t="s">
        <v>38</v>
      </c>
      <c r="M119" s="168" t="s">
        <v>39</v>
      </c>
      <c r="N119" s="168" t="s">
        <v>40</v>
      </c>
      <c r="O119" s="165"/>
      <c r="P119" s="168" t="s">
        <v>36</v>
      </c>
      <c r="Q119" s="168" t="s">
        <v>37</v>
      </c>
      <c r="R119" s="168" t="s">
        <v>38</v>
      </c>
      <c r="S119" s="168" t="s">
        <v>39</v>
      </c>
      <c r="T119" s="168" t="s">
        <v>40</v>
      </c>
      <c r="U119" s="165"/>
      <c r="V119" s="168" t="s">
        <v>36</v>
      </c>
      <c r="W119" s="168" t="s">
        <v>37</v>
      </c>
      <c r="X119" s="168" t="s">
        <v>38</v>
      </c>
      <c r="Y119" s="168" t="s">
        <v>39</v>
      </c>
      <c r="Z119" s="168" t="s">
        <v>40</v>
      </c>
      <c r="AA119" s="165"/>
      <c r="AB119" s="168" t="s">
        <v>36</v>
      </c>
      <c r="AC119" s="168" t="s">
        <v>37</v>
      </c>
      <c r="AD119" s="168" t="s">
        <v>38</v>
      </c>
      <c r="AE119" s="168" t="s">
        <v>39</v>
      </c>
      <c r="AF119" s="168" t="s">
        <v>40</v>
      </c>
      <c r="AG119" s="165"/>
      <c r="AH119" s="168" t="s">
        <v>40</v>
      </c>
      <c r="AI119" s="165"/>
      <c r="AJ119" s="168" t="s">
        <v>40</v>
      </c>
      <c r="AK119" s="165"/>
      <c r="AL119" s="168" t="s">
        <v>40</v>
      </c>
    </row>
    <row r="120" spans="1:45" s="41" customFormat="1" ht="4.3499999999999996" customHeight="1" x14ac:dyDescent="0.3">
      <c r="B120" s="176"/>
      <c r="C120" s="35"/>
      <c r="D120" s="177"/>
      <c r="E120" s="177"/>
      <c r="F120" s="177"/>
      <c r="G120" s="177"/>
      <c r="H120" s="177"/>
      <c r="I120" s="178"/>
      <c r="J120" s="177"/>
      <c r="K120" s="177"/>
      <c r="L120" s="177"/>
      <c r="M120" s="177"/>
      <c r="N120" s="177"/>
      <c r="O120" s="178"/>
      <c r="P120" s="177"/>
      <c r="Q120" s="177"/>
      <c r="R120" s="177"/>
      <c r="S120" s="177"/>
      <c r="T120" s="177"/>
      <c r="U120" s="178"/>
      <c r="V120" s="177"/>
      <c r="W120" s="177"/>
      <c r="X120" s="177"/>
      <c r="Y120" s="177"/>
      <c r="Z120" s="179"/>
      <c r="AA120" s="180"/>
      <c r="AB120" s="179"/>
      <c r="AC120" s="179"/>
      <c r="AD120" s="179"/>
      <c r="AE120" s="179"/>
      <c r="AF120" s="179"/>
      <c r="AG120" s="180"/>
      <c r="AH120" s="179"/>
      <c r="AI120" s="180"/>
      <c r="AJ120" s="179"/>
      <c r="AK120" s="180"/>
      <c r="AL120" s="179"/>
    </row>
    <row r="121" spans="1:45" ht="4.3499999999999996" customHeight="1" x14ac:dyDescent="0.25">
      <c r="U121" s="205"/>
    </row>
    <row r="122" spans="1:45" ht="14.25" customHeight="1" x14ac:dyDescent="0.3">
      <c r="B122" s="28" t="s">
        <v>545</v>
      </c>
      <c r="D122" s="300">
        <f>D61</f>
        <v>1470</v>
      </c>
      <c r="E122" s="300">
        <f>E61</f>
        <v>2808</v>
      </c>
      <c r="F122" s="300">
        <f>F61</f>
        <v>2875</v>
      </c>
      <c r="G122" s="300">
        <f>G61</f>
        <v>3000</v>
      </c>
      <c r="H122" s="311">
        <f>H61</f>
        <v>10036</v>
      </c>
      <c r="J122" s="300">
        <f>J61</f>
        <v>2972</v>
      </c>
      <c r="K122" s="300">
        <f>K61</f>
        <v>4590</v>
      </c>
      <c r="L122" s="300">
        <f>L61</f>
        <v>4229</v>
      </c>
      <c r="M122" s="300">
        <f>M61</f>
        <v>3872</v>
      </c>
      <c r="N122" s="311">
        <f>N61</f>
        <v>15663</v>
      </c>
      <c r="P122" s="300">
        <f>P61</f>
        <v>3017</v>
      </c>
      <c r="Q122" s="300">
        <f>Q61</f>
        <v>3953</v>
      </c>
      <c r="R122" s="300">
        <f>R61</f>
        <v>3195</v>
      </c>
      <c r="S122" s="300">
        <f>S61</f>
        <v>2435</v>
      </c>
      <c r="T122" s="311">
        <f>T61</f>
        <v>12802</v>
      </c>
      <c r="U122" s="205"/>
      <c r="V122" s="300">
        <f>V61</f>
        <v>1692</v>
      </c>
      <c r="W122" s="300">
        <f>W61</f>
        <v>3121</v>
      </c>
      <c r="X122" s="300">
        <f>X61</f>
        <v>2394</v>
      </c>
      <c r="Y122" s="300">
        <f>Y61</f>
        <v>2778.2212950000003</v>
      </c>
      <c r="Z122" s="311">
        <f>Z61</f>
        <v>9985.2212949999994</v>
      </c>
      <c r="AB122" s="300">
        <f>AB61</f>
        <v>1845</v>
      </c>
      <c r="AC122" s="300">
        <f>AC61</f>
        <v>2460</v>
      </c>
      <c r="AD122" s="300">
        <f>AD61</f>
        <v>2782</v>
      </c>
      <c r="AE122" s="300">
        <f>AE61</f>
        <v>2977.3820000000005</v>
      </c>
      <c r="AF122" s="311">
        <f>AF61</f>
        <v>10064.382000000001</v>
      </c>
      <c r="AH122" s="311">
        <f>AH61</f>
        <v>10883.091249999998</v>
      </c>
      <c r="AJ122" s="311">
        <f>AJ61</f>
        <v>13429.769140000004</v>
      </c>
      <c r="AL122" s="311">
        <f>AL61</f>
        <v>15768.494876332976</v>
      </c>
    </row>
    <row r="123" spans="1:45" ht="14.25" customHeight="1" x14ac:dyDescent="0.3">
      <c r="B123" s="28"/>
      <c r="D123" s="46"/>
      <c r="E123" s="46"/>
      <c r="F123" s="46"/>
      <c r="G123" s="46"/>
      <c r="H123" s="312"/>
      <c r="J123" s="46"/>
      <c r="K123" s="46"/>
      <c r="L123" s="46"/>
      <c r="M123" s="46"/>
      <c r="N123" s="312"/>
      <c r="P123" s="46"/>
      <c r="Q123" s="46"/>
      <c r="R123" s="46"/>
      <c r="S123" s="46"/>
      <c r="T123" s="312"/>
      <c r="U123" s="205"/>
      <c r="V123" s="46"/>
      <c r="W123" s="46"/>
      <c r="X123" s="46"/>
      <c r="Y123" s="46"/>
      <c r="AB123" s="46"/>
      <c r="AC123" s="46"/>
      <c r="AD123" s="46"/>
      <c r="AE123" s="46"/>
      <c r="AS123" s="312"/>
    </row>
    <row r="124" spans="1:45" ht="14.25" customHeight="1" x14ac:dyDescent="0.3">
      <c r="B124" s="28" t="s">
        <v>513</v>
      </c>
      <c r="D124" s="309">
        <f>IS!P45/IS!P42</f>
        <v>0.21668009669621272</v>
      </c>
      <c r="E124" s="309">
        <f>IS!Q45/IS!Q42</f>
        <v>0.18141549027088899</v>
      </c>
      <c r="F124" s="309">
        <f>IS!R45/IS!R42</f>
        <v>0.25684373788290032</v>
      </c>
      <c r="G124" s="309">
        <f>IS!S45/IS!S42</f>
        <v>0.22401357978121464</v>
      </c>
      <c r="H124" s="310">
        <f>IS!T45/IS!T42</f>
        <v>0.22006574548696231</v>
      </c>
      <c r="J124" s="309">
        <f>IS!V45/IS!V42</f>
        <v>0.21540312876052947</v>
      </c>
      <c r="K124" s="309">
        <f>IS!W45/IS!W42</f>
        <v>0.25549117135041033</v>
      </c>
      <c r="L124" s="309">
        <f>IS!X45/IS!X42</f>
        <v>0.2437603993344426</v>
      </c>
      <c r="M124" s="309">
        <f>IS!Y45/IS!Y42</f>
        <v>0.22995147201552896</v>
      </c>
      <c r="N124" s="310">
        <f>IS!Z45/IS!Z42</f>
        <v>0.22037168811506436</v>
      </c>
      <c r="P124" s="309">
        <f>IS!AB45/IS!AB42</f>
        <v>0.21173814898419865</v>
      </c>
      <c r="Q124" s="309">
        <f>IS!AC45/IS!AC42</f>
        <v>0.24093679820340069</v>
      </c>
      <c r="R124" s="309">
        <f>IS!AD45/IS!AD42</f>
        <v>0.26539278131634819</v>
      </c>
      <c r="S124" s="309">
        <f>IS!AE45/IS!AE42</f>
        <v>0.15512771392081737</v>
      </c>
      <c r="T124" s="310">
        <f>IS!AF45/IS!AF42</f>
        <v>0.23057405645417064</v>
      </c>
      <c r="U124" s="205"/>
      <c r="V124" s="309">
        <f>IS!AH45/IS!AH42</f>
        <v>2.3499420625724219E-2</v>
      </c>
      <c r="W124" s="309">
        <f>IS!AI45/IS!AI42</f>
        <v>0.23063756953359008</v>
      </c>
      <c r="X124" s="316">
        <v>0.27</v>
      </c>
      <c r="Y124" s="316">
        <v>0.27</v>
      </c>
      <c r="Z124" s="318">
        <f>AVERAGE(V124:Y124)</f>
        <v>0.19853424753982857</v>
      </c>
      <c r="AB124" s="316">
        <v>0.22</v>
      </c>
      <c r="AC124" s="316">
        <v>0.22</v>
      </c>
      <c r="AD124" s="316">
        <v>0.22</v>
      </c>
      <c r="AE124" s="316">
        <v>0.22</v>
      </c>
      <c r="AF124" s="318">
        <f>AVERAGE(AB124:AE124)</f>
        <v>0.22</v>
      </c>
      <c r="AH124" s="316">
        <v>0.22</v>
      </c>
      <c r="AJ124" s="316">
        <v>0.22</v>
      </c>
      <c r="AL124" s="316">
        <v>0.22</v>
      </c>
    </row>
    <row r="125" spans="1:45" ht="14.25" customHeight="1" x14ac:dyDescent="0.3">
      <c r="B125" s="28"/>
      <c r="D125" s="46"/>
      <c r="E125" s="46"/>
      <c r="F125" s="46"/>
      <c r="G125" s="46"/>
      <c r="H125" s="312"/>
      <c r="J125" s="46"/>
      <c r="K125" s="46"/>
      <c r="L125" s="46"/>
      <c r="M125" s="46"/>
      <c r="N125" s="312"/>
      <c r="P125" s="46"/>
      <c r="Q125" s="46"/>
      <c r="R125" s="46"/>
      <c r="S125" s="46"/>
      <c r="T125" s="312"/>
      <c r="U125" s="205"/>
      <c r="V125" s="46"/>
      <c r="W125" s="46"/>
      <c r="X125" s="46"/>
      <c r="Y125" s="46"/>
      <c r="AB125" s="46"/>
      <c r="AC125" s="46"/>
      <c r="AD125" s="46"/>
      <c r="AE125" s="46"/>
    </row>
    <row r="126" spans="1:45" ht="14.25" customHeight="1" x14ac:dyDescent="0.3">
      <c r="B126" s="28" t="s">
        <v>605</v>
      </c>
      <c r="D126" s="46">
        <f>D122*(1-D124)</f>
        <v>1151.4802578565673</v>
      </c>
      <c r="E126" s="46">
        <f t="shared" ref="E126:H126" si="79">E122*(1-E124)</f>
        <v>2298.5853033193439</v>
      </c>
      <c r="F126" s="46">
        <f t="shared" si="79"/>
        <v>2136.5742535866616</v>
      </c>
      <c r="G126" s="46">
        <f t="shared" si="79"/>
        <v>2327.959260656356</v>
      </c>
      <c r="H126" s="313">
        <f t="shared" si="79"/>
        <v>7827.4201782928458</v>
      </c>
      <c r="J126" s="46">
        <f>J122*(1-J124)</f>
        <v>2331.8219013237062</v>
      </c>
      <c r="K126" s="46">
        <f t="shared" ref="K126:N126" si="80">K122*(1-K124)</f>
        <v>3417.2955235016166</v>
      </c>
      <c r="L126" s="46">
        <f t="shared" si="80"/>
        <v>3198.1372712146422</v>
      </c>
      <c r="M126" s="46">
        <f t="shared" si="80"/>
        <v>2981.627900355872</v>
      </c>
      <c r="N126" s="313">
        <f t="shared" si="80"/>
        <v>12211.318249053747</v>
      </c>
      <c r="P126" s="46">
        <f>P122*(1-P124)</f>
        <v>2378.1860045146727</v>
      </c>
      <c r="Q126" s="46">
        <f t="shared" ref="Q126:T126" si="81">Q122*(1-Q124)</f>
        <v>3000.5768367019568</v>
      </c>
      <c r="R126" s="46">
        <f t="shared" si="81"/>
        <v>2347.0700636942679</v>
      </c>
      <c r="S126" s="46">
        <f t="shared" si="81"/>
        <v>2057.2640166028095</v>
      </c>
      <c r="T126" s="313">
        <f t="shared" si="81"/>
        <v>9850.1909292737073</v>
      </c>
      <c r="U126" s="205"/>
      <c r="V126" s="46">
        <f>V122*(1-V124)</f>
        <v>1652.2389803012748</v>
      </c>
      <c r="W126" s="46">
        <f t="shared" ref="W126" si="82">W122*(1-W124)</f>
        <v>2401.1801454856654</v>
      </c>
      <c r="X126" s="46">
        <f>X122*(1-X124)</f>
        <v>1747.62</v>
      </c>
      <c r="Y126" s="46">
        <f>Y122*(1-Y124)</f>
        <v>2028.1015453500002</v>
      </c>
      <c r="Z126" s="313">
        <f>SUM(V126:Y126)</f>
        <v>7829.14067113694</v>
      </c>
      <c r="AB126" s="46">
        <f t="shared" ref="AB126:AE126" si="83">AB122*(1-AB124)</f>
        <v>1439.1000000000001</v>
      </c>
      <c r="AC126" s="46">
        <f>AC122*(1-AC124)</f>
        <v>1918.8</v>
      </c>
      <c r="AD126" s="46">
        <f t="shared" si="83"/>
        <v>2169.96</v>
      </c>
      <c r="AE126" s="46">
        <f t="shared" si="83"/>
        <v>2322.3579600000003</v>
      </c>
      <c r="AF126" s="313">
        <f>SUM(AB126:AE126)</f>
        <v>7850.2179600000009</v>
      </c>
      <c r="AH126" s="313">
        <f>AH122*(1-AH124)</f>
        <v>8488.8111749999989</v>
      </c>
      <c r="AJ126" s="313">
        <f>AJ122*(1-AJ124)</f>
        <v>10475.219929200004</v>
      </c>
      <c r="AL126" s="313">
        <f>AL122*(1-AL124)</f>
        <v>12299.426003539722</v>
      </c>
    </row>
    <row r="127" spans="1:45" ht="14.25" customHeight="1" x14ac:dyDescent="0.25">
      <c r="D127" s="46"/>
      <c r="E127" s="46"/>
      <c r="F127" s="46"/>
      <c r="G127" s="46"/>
      <c r="H127" s="312"/>
      <c r="J127" s="46"/>
      <c r="K127" s="46"/>
      <c r="L127" s="46"/>
      <c r="M127" s="46"/>
      <c r="N127" s="312"/>
      <c r="P127" s="46"/>
      <c r="Q127" s="46"/>
      <c r="R127" s="46"/>
      <c r="S127" s="46"/>
      <c r="T127" s="312"/>
      <c r="U127" s="205"/>
      <c r="V127" s="46"/>
      <c r="W127" s="46"/>
      <c r="X127" s="46"/>
      <c r="Y127" s="46"/>
      <c r="AB127" s="46"/>
      <c r="AC127" s="46"/>
      <c r="AD127" s="46"/>
      <c r="AE127" s="46"/>
    </row>
    <row r="128" spans="1:45" ht="14.25" customHeight="1" x14ac:dyDescent="0.3">
      <c r="B128" s="28" t="s">
        <v>538</v>
      </c>
      <c r="D128" s="300">
        <f>D94</f>
        <v>486</v>
      </c>
      <c r="E128" s="300">
        <f>E94</f>
        <v>447</v>
      </c>
      <c r="F128" s="300">
        <f>F94</f>
        <v>510</v>
      </c>
      <c r="G128" s="300">
        <f>G94</f>
        <v>452</v>
      </c>
      <c r="H128" s="311">
        <f>H94</f>
        <v>1895</v>
      </c>
      <c r="J128" s="300">
        <f>J94</f>
        <v>494</v>
      </c>
      <c r="K128" s="300">
        <f>K94</f>
        <v>501</v>
      </c>
      <c r="L128" s="300">
        <f>L94</f>
        <v>532</v>
      </c>
      <c r="M128" s="300">
        <f>M94</f>
        <v>477</v>
      </c>
      <c r="N128" s="311">
        <f>N94</f>
        <v>2004</v>
      </c>
      <c r="P128" s="300">
        <f>P94</f>
        <v>520</v>
      </c>
      <c r="Q128" s="300">
        <f>Q94</f>
        <v>525</v>
      </c>
      <c r="R128" s="300">
        <f>R94</f>
        <v>553</v>
      </c>
      <c r="S128" s="300">
        <f>S94</f>
        <v>520</v>
      </c>
      <c r="T128" s="311">
        <f>T94</f>
        <v>2118</v>
      </c>
      <c r="U128" s="205"/>
      <c r="V128" s="300">
        <f>V94</f>
        <v>549</v>
      </c>
      <c r="W128" s="300">
        <f>W94</f>
        <v>555</v>
      </c>
      <c r="X128" s="300">
        <f>X94</f>
        <v>352.19448</v>
      </c>
      <c r="Y128" s="300">
        <f>Y94</f>
        <v>355.54798799999998</v>
      </c>
      <c r="Z128" s="311">
        <f>Z94</f>
        <v>1811.7424680000001</v>
      </c>
      <c r="AB128" s="300">
        <f>AB94</f>
        <v>355.54798799999998</v>
      </c>
      <c r="AC128" s="300">
        <f>AC94</f>
        <v>355.54798799999998</v>
      </c>
      <c r="AD128" s="300">
        <f>AD94</f>
        <v>355.54798799999998</v>
      </c>
      <c r="AE128" s="300">
        <f>AE94</f>
        <v>355.54798799999998</v>
      </c>
      <c r="AF128" s="311">
        <f>AF94</f>
        <v>1422.1919519999999</v>
      </c>
      <c r="AH128" s="311">
        <f>AH94</f>
        <v>355.54798799999998</v>
      </c>
      <c r="AJ128" s="311">
        <f>AJ94</f>
        <v>355.54798799999998</v>
      </c>
      <c r="AL128" s="311">
        <f>AL94</f>
        <v>355.54798800000003</v>
      </c>
    </row>
    <row r="129" spans="1:38" ht="14.25" customHeight="1" x14ac:dyDescent="0.25">
      <c r="D129" s="46"/>
      <c r="E129" s="46"/>
      <c r="F129" s="46"/>
      <c r="G129" s="46"/>
      <c r="H129" s="312"/>
      <c r="J129" s="46"/>
      <c r="K129" s="46"/>
      <c r="L129" s="46"/>
      <c r="M129" s="46"/>
      <c r="N129" s="312"/>
      <c r="P129" s="46"/>
      <c r="Q129" s="46"/>
      <c r="R129" s="46"/>
      <c r="S129" s="46"/>
      <c r="T129" s="312"/>
      <c r="U129" s="205"/>
      <c r="V129" s="46"/>
      <c r="W129" s="46"/>
      <c r="X129" s="46"/>
      <c r="Y129" s="46"/>
      <c r="AB129" s="46"/>
      <c r="AC129" s="46"/>
      <c r="AD129" s="46"/>
      <c r="AE129" s="46"/>
    </row>
    <row r="130" spans="1:38" ht="14.25" customHeight="1" x14ac:dyDescent="0.3">
      <c r="B130" s="28" t="s">
        <v>606</v>
      </c>
      <c r="D130" s="300">
        <f>D97</f>
        <v>18</v>
      </c>
      <c r="E130" s="300">
        <f>E97</f>
        <v>26</v>
      </c>
      <c r="F130" s="300">
        <f>F97</f>
        <v>20</v>
      </c>
      <c r="G130" s="300">
        <f>G97</f>
        <v>21</v>
      </c>
      <c r="H130" s="311">
        <f>H97</f>
        <v>85</v>
      </c>
      <c r="J130" s="300">
        <f>J97</f>
        <v>23</v>
      </c>
      <c r="K130" s="300">
        <f>K97</f>
        <v>31</v>
      </c>
      <c r="L130" s="300">
        <f>L97</f>
        <v>58</v>
      </c>
      <c r="M130" s="300">
        <f>M97</f>
        <v>18</v>
      </c>
      <c r="N130" s="311">
        <f>N97</f>
        <v>130</v>
      </c>
      <c r="P130" s="300">
        <f>P97</f>
        <v>46</v>
      </c>
      <c r="Q130" s="300">
        <f>Q97</f>
        <v>58</v>
      </c>
      <c r="R130" s="300">
        <f>R97</f>
        <v>55</v>
      </c>
      <c r="S130" s="300">
        <f>S97</f>
        <v>49</v>
      </c>
      <c r="T130" s="311">
        <f>T97</f>
        <v>208</v>
      </c>
      <c r="U130" s="205"/>
      <c r="V130" s="300">
        <f>V97</f>
        <v>28</v>
      </c>
      <c r="W130" s="300">
        <f>W97</f>
        <v>26</v>
      </c>
      <c r="X130" s="300">
        <f>X97</f>
        <v>49.897000000000006</v>
      </c>
      <c r="Y130" s="300">
        <f>Y97</f>
        <v>37.31143500000001</v>
      </c>
      <c r="Z130" s="311">
        <f>Z97</f>
        <v>141.20843500000001</v>
      </c>
      <c r="AB130" s="300">
        <f>AB97</f>
        <v>28.35</v>
      </c>
      <c r="AC130" s="300">
        <f>AC97</f>
        <v>37.800000000000004</v>
      </c>
      <c r="AD130" s="300">
        <f>AD97</f>
        <v>40.950000000000003</v>
      </c>
      <c r="AE130" s="300">
        <f>AE97</f>
        <v>43.825949999999999</v>
      </c>
      <c r="AF130" s="311">
        <f>AF97</f>
        <v>150.92595</v>
      </c>
      <c r="AH130" s="311">
        <f>AH97</f>
        <v>167.22798750000001</v>
      </c>
      <c r="AJ130" s="311">
        <f>AJ97</f>
        <v>189.70301700000002</v>
      </c>
      <c r="AL130" s="311">
        <f>AL97</f>
        <v>198.68303544179548</v>
      </c>
    </row>
    <row r="131" spans="1:38" ht="14.25" customHeight="1" x14ac:dyDescent="0.25">
      <c r="D131" s="46"/>
      <c r="E131" s="46"/>
      <c r="F131" s="46"/>
      <c r="G131" s="46"/>
      <c r="H131" s="312"/>
      <c r="J131" s="46"/>
      <c r="K131" s="46"/>
      <c r="L131" s="46"/>
      <c r="M131" s="46"/>
      <c r="N131" s="312"/>
      <c r="P131" s="46"/>
      <c r="Q131" s="46"/>
      <c r="R131" s="46"/>
      <c r="S131" s="46"/>
      <c r="T131" s="312"/>
      <c r="U131" s="205"/>
      <c r="V131" s="46"/>
      <c r="W131" s="46"/>
      <c r="X131" s="46"/>
      <c r="Y131" s="46"/>
      <c r="AB131" s="46"/>
      <c r="AC131" s="46"/>
      <c r="AD131" s="46"/>
      <c r="AE131" s="46"/>
    </row>
    <row r="132" spans="1:38" ht="14.25" customHeight="1" x14ac:dyDescent="0.3">
      <c r="B132" s="28" t="s">
        <v>595</v>
      </c>
      <c r="D132" s="300">
        <f>D103</f>
        <v>-3141</v>
      </c>
      <c r="E132" s="300">
        <f>E103</f>
        <v>-1241</v>
      </c>
      <c r="F132" s="300">
        <f>F103</f>
        <v>-434</v>
      </c>
      <c r="G132" s="300">
        <f>G103</f>
        <v>1516</v>
      </c>
      <c r="H132" s="311">
        <f>H103</f>
        <v>-3300</v>
      </c>
      <c r="J132" s="300">
        <f>J103</f>
        <v>-3672</v>
      </c>
      <c r="K132" s="300">
        <f>K103</f>
        <v>-2126</v>
      </c>
      <c r="L132" s="300">
        <f>L103</f>
        <v>-472</v>
      </c>
      <c r="M132" s="300">
        <f>M103</f>
        <v>3103</v>
      </c>
      <c r="N132" s="311">
        <f>N103</f>
        <v>-3167</v>
      </c>
      <c r="P132" s="300">
        <f>P103</f>
        <v>-3144</v>
      </c>
      <c r="Q132" s="300">
        <f>Q103</f>
        <v>-1063</v>
      </c>
      <c r="R132" s="300">
        <f>R103</f>
        <v>1011</v>
      </c>
      <c r="S132" s="300">
        <f>S103</f>
        <v>3242</v>
      </c>
      <c r="T132" s="311">
        <f>T103</f>
        <v>46</v>
      </c>
      <c r="U132" s="205"/>
      <c r="V132" s="300">
        <f>V103</f>
        <v>-2117</v>
      </c>
      <c r="W132" s="300">
        <f>W103</f>
        <v>-769</v>
      </c>
      <c r="X132" s="300">
        <f>X103</f>
        <v>-1193.2000000000007</v>
      </c>
      <c r="Y132" s="300">
        <f>Y103</f>
        <v>1055.4970260869577</v>
      </c>
      <c r="Z132" s="311">
        <f>Z103</f>
        <v>-3023.702973913043</v>
      </c>
      <c r="AB132" s="300">
        <f>AB103</f>
        <v>1270.746452173913</v>
      </c>
      <c r="AC132" s="300">
        <f>AC103</f>
        <v>-1105.7181079789789</v>
      </c>
      <c r="AD132" s="300">
        <f>AD103</f>
        <v>-507.93406593406326</v>
      </c>
      <c r="AE132" s="300">
        <f>AE103</f>
        <v>-332.09382608696069</v>
      </c>
      <c r="AF132" s="311">
        <f>AF103</f>
        <v>-674.99954782608984</v>
      </c>
      <c r="AH132" s="311">
        <f>AH103</f>
        <v>551.47383509529573</v>
      </c>
      <c r="AJ132" s="311">
        <f>AJ103</f>
        <v>-800.77743843813005</v>
      </c>
      <c r="AL132" s="311">
        <f>AL103</f>
        <v>-565.81028075378163</v>
      </c>
    </row>
    <row r="133" spans="1:38" ht="14.25" customHeight="1" x14ac:dyDescent="0.25">
      <c r="D133" s="46"/>
      <c r="E133" s="46"/>
      <c r="F133" s="46"/>
      <c r="G133" s="46"/>
      <c r="H133" s="312"/>
      <c r="J133" s="46"/>
      <c r="K133" s="46"/>
      <c r="L133" s="46"/>
      <c r="M133" s="46"/>
      <c r="N133" s="312"/>
      <c r="P133" s="46"/>
      <c r="Q133" s="46"/>
      <c r="R133" s="46"/>
      <c r="S133" s="46"/>
      <c r="T133" s="312"/>
      <c r="U133" s="205"/>
      <c r="V133" s="46"/>
      <c r="W133" s="46"/>
      <c r="X133" s="46"/>
      <c r="Y133" s="46"/>
      <c r="AB133" s="46"/>
      <c r="AC133" s="46"/>
      <c r="AD133" s="46"/>
      <c r="AE133" s="46"/>
    </row>
    <row r="134" spans="1:38" ht="14.25" customHeight="1" x14ac:dyDescent="0.3">
      <c r="B134" s="28" t="s">
        <v>607</v>
      </c>
      <c r="D134" s="46">
        <f>D106+D109</f>
        <v>208</v>
      </c>
      <c r="E134" s="46">
        <f>E106+E109</f>
        <v>387</v>
      </c>
      <c r="F134" s="46">
        <f>F106+F109</f>
        <v>315</v>
      </c>
      <c r="G134" s="46">
        <f>G106+G109</f>
        <v>367</v>
      </c>
      <c r="H134" s="66">
        <f>H106+H109</f>
        <v>1277</v>
      </c>
      <c r="J134" s="46">
        <f>J106+J109</f>
        <v>182</v>
      </c>
      <c r="K134" s="46">
        <f>K106+K109</f>
        <v>227</v>
      </c>
      <c r="L134" s="46">
        <f>L106+L109</f>
        <v>149</v>
      </c>
      <c r="M134" s="46">
        <f>M106+M109</f>
        <v>-77</v>
      </c>
      <c r="N134" s="66">
        <f>N106+N109</f>
        <v>481</v>
      </c>
      <c r="P134" s="46">
        <f>P106+P109</f>
        <v>144</v>
      </c>
      <c r="Q134" s="46">
        <f>Q106+Q109</f>
        <v>148</v>
      </c>
      <c r="R134" s="46">
        <f>R106+R109</f>
        <v>116</v>
      </c>
      <c r="S134" s="46">
        <f>S106+S109</f>
        <v>-79</v>
      </c>
      <c r="T134" s="66">
        <f>T106+T109</f>
        <v>329</v>
      </c>
      <c r="U134" s="205"/>
      <c r="V134" s="46">
        <f>V106+V109</f>
        <v>81</v>
      </c>
      <c r="W134" s="46">
        <f>W106+W109</f>
        <v>365</v>
      </c>
      <c r="X134" s="46">
        <f>X106+X109</f>
        <v>183.72000000000003</v>
      </c>
      <c r="Y134" s="46">
        <f>Y106+Y109</f>
        <v>-124.20399999999995</v>
      </c>
      <c r="Z134" s="66">
        <f>Z106+Z109</f>
        <v>505.51600000000008</v>
      </c>
      <c r="AB134" s="46">
        <f>AB106+AB109</f>
        <v>0</v>
      </c>
      <c r="AC134" s="46">
        <f>AC106+AC109</f>
        <v>0</v>
      </c>
      <c r="AD134" s="46">
        <f>AD106+AD109</f>
        <v>0</v>
      </c>
      <c r="AE134" s="46">
        <f>AE106+AE109</f>
        <v>0</v>
      </c>
      <c r="AF134" s="66">
        <f>AF106+AF109</f>
        <v>0</v>
      </c>
      <c r="AH134" s="66">
        <f>AH106+AH109</f>
        <v>0</v>
      </c>
      <c r="AJ134" s="66">
        <f>AJ106+AJ109</f>
        <v>0</v>
      </c>
      <c r="AL134" s="66">
        <f>AL106+AL109</f>
        <v>0</v>
      </c>
    </row>
    <row r="135" spans="1:38" ht="14.25" customHeight="1" x14ac:dyDescent="0.25">
      <c r="D135" s="314"/>
      <c r="E135" s="314"/>
      <c r="F135" s="314"/>
      <c r="G135" s="314"/>
      <c r="H135" s="312"/>
      <c r="J135" s="314"/>
      <c r="K135" s="314"/>
      <c r="L135" s="314"/>
      <c r="M135" s="314"/>
      <c r="N135" s="312"/>
      <c r="P135" s="314"/>
      <c r="Q135" s="314"/>
      <c r="R135" s="314"/>
      <c r="S135" s="314"/>
      <c r="T135" s="312"/>
      <c r="U135" s="338"/>
      <c r="V135" s="314"/>
      <c r="W135" s="314"/>
      <c r="X135" s="290"/>
      <c r="Y135" s="290"/>
      <c r="AB135" s="290"/>
      <c r="AC135" s="290"/>
      <c r="AD135" s="290"/>
      <c r="AE135" s="290"/>
    </row>
    <row r="136" spans="1:38" ht="14.25" customHeight="1" x14ac:dyDescent="0.25">
      <c r="B136" s="292" t="s">
        <v>608</v>
      </c>
      <c r="C136" s="293"/>
      <c r="D136" s="315">
        <f>D126+D94+D97+D103+D134</f>
        <v>-1277.5197421434327</v>
      </c>
      <c r="E136" s="315">
        <f>E126+E94+E97+E103+E134</f>
        <v>1917.5853033193439</v>
      </c>
      <c r="F136" s="315">
        <f>F126+F94+F97+F103+F134</f>
        <v>2547.5742535866616</v>
      </c>
      <c r="G136" s="315">
        <f>G126+G94+G97+G103+G134</f>
        <v>4683.9592606563565</v>
      </c>
      <c r="H136" s="315">
        <f>H126+H94+H97+H103+H134</f>
        <v>7784.4201782928467</v>
      </c>
      <c r="I136" s="293"/>
      <c r="J136" s="315">
        <f>J126+J94+J97+J103+J134</f>
        <v>-641.17809867629376</v>
      </c>
      <c r="K136" s="315">
        <f>K126+K94+K97+K103+K134</f>
        <v>2050.2955235016166</v>
      </c>
      <c r="L136" s="315">
        <f>L126+L94+L97+L103+L134</f>
        <v>3465.1372712146422</v>
      </c>
      <c r="M136" s="315">
        <f>M126+M94+M97+M103+M134</f>
        <v>6502.627900355872</v>
      </c>
      <c r="N136" s="315">
        <f>N126+N94+N97+N103+N134</f>
        <v>11659.318249053747</v>
      </c>
      <c r="O136" s="293"/>
      <c r="P136" s="315">
        <f>P126+P94+P97+P103+P134</f>
        <v>-55.813995485327268</v>
      </c>
      <c r="Q136" s="315">
        <f>Q126+Q94+Q97+Q103+Q134</f>
        <v>2668.5768367019568</v>
      </c>
      <c r="R136" s="315">
        <f>R126+R94+R97+R103+R134</f>
        <v>4082.0700636942679</v>
      </c>
      <c r="S136" s="315">
        <f>S126+S94+S97+S103+S134</f>
        <v>5789.2640166028095</v>
      </c>
      <c r="T136" s="315">
        <f>T126+T94+T97+T103+T134</f>
        <v>12551.190929273707</v>
      </c>
      <c r="U136" s="293"/>
      <c r="V136" s="315">
        <f>V126+V94+V97+V103+V134</f>
        <v>193.23898030127475</v>
      </c>
      <c r="W136" s="315">
        <f>W126+W94+W97+W103+W134</f>
        <v>2578.1801454856654</v>
      </c>
      <c r="X136" s="315">
        <f t="shared" ref="X136:AH136" si="84">X126+X128+X130+X132+X134</f>
        <v>1140.2314799999992</v>
      </c>
      <c r="Y136" s="315">
        <f t="shared" si="84"/>
        <v>3352.2539944369582</v>
      </c>
      <c r="Z136" s="315">
        <f t="shared" si="84"/>
        <v>7263.9046002238974</v>
      </c>
      <c r="AA136" s="315"/>
      <c r="AB136" s="315">
        <f t="shared" si="84"/>
        <v>3093.7444401739131</v>
      </c>
      <c r="AC136" s="315">
        <f>AC126+AC128+AC130+AC132+AC134</f>
        <v>1206.4298800210213</v>
      </c>
      <c r="AD136" s="315">
        <f t="shared" si="84"/>
        <v>2058.5239220659364</v>
      </c>
      <c r="AE136" s="315">
        <f t="shared" si="84"/>
        <v>2389.6380719130393</v>
      </c>
      <c r="AF136" s="315">
        <f t="shared" si="84"/>
        <v>8748.3363141739119</v>
      </c>
      <c r="AG136" s="315"/>
      <c r="AH136" s="315">
        <f t="shared" si="84"/>
        <v>9563.0609855952953</v>
      </c>
      <c r="AI136" s="315"/>
      <c r="AJ136" s="315">
        <f t="shared" ref="AJ136" si="85">AJ126+AJ128+AJ130+AJ132+AJ134</f>
        <v>10219.693495761874</v>
      </c>
      <c r="AK136" s="315"/>
      <c r="AL136" s="315">
        <f t="shared" ref="AL136" si="86">AL126+AL128+AL130+AL132+AL134</f>
        <v>12287.846746227737</v>
      </c>
    </row>
    <row r="138" spans="1:38" s="41" customFormat="1" ht="15" customHeight="1" x14ac:dyDescent="0.3">
      <c r="A138" s="30" t="s">
        <v>70</v>
      </c>
      <c r="B138" s="161" t="s">
        <v>609</v>
      </c>
      <c r="C138" s="18"/>
      <c r="D138" s="162"/>
      <c r="E138" s="162"/>
      <c r="F138" s="162"/>
      <c r="G138" s="162"/>
      <c r="H138" s="162"/>
      <c r="I138" s="18"/>
      <c r="J138" s="162"/>
      <c r="K138" s="162"/>
      <c r="L138" s="162"/>
      <c r="M138" s="162"/>
      <c r="N138" s="162"/>
      <c r="O138" s="18"/>
      <c r="P138" s="162"/>
      <c r="Q138" s="162"/>
      <c r="R138" s="162"/>
      <c r="S138" s="162"/>
      <c r="T138" s="162"/>
      <c r="U138" s="18"/>
      <c r="V138" s="162"/>
      <c r="W138" s="162"/>
      <c r="X138" s="162"/>
      <c r="Y138" s="162"/>
      <c r="Z138" s="162"/>
      <c r="AA138" s="18"/>
      <c r="AB138" s="162"/>
      <c r="AC138" s="162"/>
      <c r="AD138" s="162"/>
      <c r="AE138" s="162"/>
      <c r="AF138" s="162"/>
      <c r="AG138" s="18"/>
      <c r="AH138" s="162"/>
      <c r="AI138" s="18"/>
      <c r="AJ138" s="163"/>
      <c r="AK138" s="18"/>
      <c r="AL138" s="163"/>
    </row>
    <row r="139" spans="1:38" s="41" customFormat="1" ht="15" customHeight="1" x14ac:dyDescent="0.3">
      <c r="B139" s="164"/>
      <c r="C139" s="18"/>
      <c r="D139" s="165"/>
      <c r="E139" s="165"/>
      <c r="F139" s="165"/>
      <c r="G139" s="165"/>
      <c r="H139" s="165"/>
      <c r="I139" s="169"/>
      <c r="J139" s="165"/>
      <c r="K139" s="165"/>
      <c r="L139" s="165"/>
      <c r="M139" s="165"/>
      <c r="N139" s="165"/>
      <c r="O139" s="169"/>
      <c r="P139" s="165"/>
      <c r="Q139" s="165"/>
      <c r="R139" s="165"/>
      <c r="S139" s="165"/>
      <c r="T139" s="165"/>
      <c r="U139" s="169"/>
      <c r="V139" s="812">
        <f>V$8</f>
        <v>2025</v>
      </c>
      <c r="W139" s="812">
        <f>X139</f>
        <v>0</v>
      </c>
      <c r="X139" s="812">
        <f>X$8</f>
        <v>0</v>
      </c>
      <c r="Y139" s="812">
        <f>X139</f>
        <v>0</v>
      </c>
      <c r="Z139" s="812">
        <f>X139</f>
        <v>0</v>
      </c>
      <c r="AA139" s="169"/>
      <c r="AB139" s="812">
        <f>AB$8</f>
        <v>2026</v>
      </c>
      <c r="AC139" s="812">
        <f>AD139</f>
        <v>0</v>
      </c>
      <c r="AD139" s="812">
        <f>AD$8</f>
        <v>0</v>
      </c>
      <c r="AE139" s="812">
        <f>AD139</f>
        <v>0</v>
      </c>
      <c r="AF139" s="812">
        <f>AD139</f>
        <v>0</v>
      </c>
      <c r="AG139" s="171"/>
      <c r="AH139" s="166">
        <f>AH$8</f>
        <v>2027</v>
      </c>
      <c r="AI139" s="167"/>
      <c r="AJ139" s="166">
        <f>AJ$8</f>
        <v>2028</v>
      </c>
      <c r="AK139" s="167"/>
      <c r="AL139" s="166">
        <f>AL$8</f>
        <v>2029</v>
      </c>
    </row>
    <row r="140" spans="1:38" s="41" customFormat="1" ht="14.25" customHeight="1" x14ac:dyDescent="0.3">
      <c r="B140" s="164"/>
      <c r="C140" s="18"/>
      <c r="D140" s="168"/>
      <c r="E140" s="168"/>
      <c r="F140" s="168"/>
      <c r="G140" s="168"/>
      <c r="H140" s="168"/>
      <c r="I140" s="165"/>
      <c r="J140" s="168"/>
      <c r="K140" s="168"/>
      <c r="L140" s="168"/>
      <c r="M140" s="168"/>
      <c r="N140" s="168"/>
      <c r="O140" s="165"/>
      <c r="P140" s="168"/>
      <c r="Q140" s="168"/>
      <c r="R140" s="168"/>
      <c r="S140" s="168"/>
      <c r="T140" s="168"/>
      <c r="U140" s="165"/>
      <c r="V140" s="168" t="s">
        <v>36</v>
      </c>
      <c r="W140" s="168" t="s">
        <v>37</v>
      </c>
      <c r="X140" s="168" t="s">
        <v>38</v>
      </c>
      <c r="Y140" s="168" t="s">
        <v>39</v>
      </c>
      <c r="Z140" s="168" t="s">
        <v>40</v>
      </c>
      <c r="AA140" s="165"/>
      <c r="AB140" s="168" t="s">
        <v>36</v>
      </c>
      <c r="AC140" s="168" t="s">
        <v>37</v>
      </c>
      <c r="AD140" s="168" t="s">
        <v>38</v>
      </c>
      <c r="AE140" s="168" t="s">
        <v>39</v>
      </c>
      <c r="AF140" s="168" t="s">
        <v>40</v>
      </c>
      <c r="AG140" s="165"/>
      <c r="AH140" s="168" t="s">
        <v>40</v>
      </c>
      <c r="AI140" s="165"/>
      <c r="AJ140" s="168" t="s">
        <v>40</v>
      </c>
      <c r="AK140" s="165"/>
      <c r="AL140" s="168" t="s">
        <v>40</v>
      </c>
    </row>
    <row r="141" spans="1:38" s="41" customFormat="1" ht="4.3499999999999996" customHeight="1" x14ac:dyDescent="0.3">
      <c r="A141" s="43"/>
      <c r="B141" s="176"/>
      <c r="C141" s="35"/>
      <c r="D141" s="177"/>
      <c r="E141" s="177"/>
      <c r="F141" s="177"/>
      <c r="G141" s="177"/>
      <c r="H141" s="177"/>
      <c r="I141" s="178"/>
      <c r="J141" s="177"/>
      <c r="K141" s="177"/>
      <c r="L141" s="177"/>
      <c r="M141" s="177"/>
      <c r="N141" s="177"/>
      <c r="O141" s="178"/>
      <c r="P141" s="177"/>
      <c r="Q141" s="177"/>
      <c r="R141" s="177"/>
      <c r="S141" s="177"/>
      <c r="T141" s="177"/>
      <c r="U141" s="178"/>
      <c r="V141" s="177"/>
      <c r="W141" s="177"/>
      <c r="X141" s="177"/>
      <c r="Y141" s="177"/>
      <c r="Z141" s="179"/>
      <c r="AA141" s="180"/>
      <c r="AB141" s="179"/>
      <c r="AC141" s="179"/>
      <c r="AD141" s="179"/>
      <c r="AE141" s="179"/>
      <c r="AF141" s="179"/>
      <c r="AG141" s="180"/>
      <c r="AH141" s="179"/>
      <c r="AI141" s="180"/>
      <c r="AJ141" s="179"/>
      <c r="AK141" s="180"/>
      <c r="AL141" s="179"/>
    </row>
    <row r="142" spans="1:38" ht="4.3499999999999996" customHeight="1" x14ac:dyDescent="0.25"/>
    <row r="143" spans="1:38" ht="14.25" customHeight="1" x14ac:dyDescent="0.3">
      <c r="B143" s="161" t="s">
        <v>610</v>
      </c>
      <c r="C143" s="186"/>
      <c r="D143" s="286"/>
      <c r="E143" s="286"/>
      <c r="F143" s="286"/>
      <c r="G143" s="286"/>
      <c r="H143" s="286"/>
      <c r="I143" s="186"/>
      <c r="J143" s="286"/>
      <c r="K143" s="286"/>
      <c r="L143" s="286"/>
      <c r="M143" s="286"/>
      <c r="N143" s="286"/>
      <c r="O143" s="186"/>
      <c r="P143" s="286"/>
      <c r="Q143" s="286"/>
      <c r="R143" s="286"/>
      <c r="S143" s="286"/>
      <c r="T143" s="286"/>
      <c r="U143" s="186"/>
      <c r="V143" s="286"/>
      <c r="W143" s="286"/>
      <c r="X143" s="286"/>
      <c r="Y143" s="286"/>
      <c r="Z143" s="286"/>
      <c r="AA143" s="186"/>
      <c r="AB143" s="286"/>
      <c r="AC143" s="286"/>
      <c r="AD143" s="286"/>
      <c r="AE143" s="286"/>
      <c r="AF143" s="286"/>
      <c r="AG143" s="186"/>
      <c r="AH143" s="286"/>
      <c r="AI143" s="186"/>
      <c r="AJ143" s="287"/>
      <c r="AK143" s="286"/>
      <c r="AL143" s="286"/>
    </row>
    <row r="144" spans="1:38" ht="4.3499999999999996" customHeight="1" x14ac:dyDescent="0.25">
      <c r="B144" s="288"/>
      <c r="C144" s="36"/>
      <c r="D144" s="288"/>
      <c r="E144" s="288"/>
      <c r="F144" s="288"/>
      <c r="G144" s="288"/>
      <c r="H144" s="288"/>
      <c r="I144" s="36"/>
      <c r="J144" s="288"/>
      <c r="K144" s="288"/>
      <c r="L144" s="288"/>
      <c r="M144" s="288"/>
      <c r="N144" s="288"/>
      <c r="O144" s="36"/>
      <c r="P144" s="288"/>
      <c r="Q144" s="288"/>
      <c r="R144" s="288"/>
      <c r="S144" s="288"/>
      <c r="T144" s="288"/>
      <c r="U144" s="36"/>
      <c r="V144" s="288"/>
      <c r="W144" s="288"/>
      <c r="X144" s="288"/>
      <c r="Y144" s="288"/>
      <c r="Z144" s="288"/>
      <c r="AA144" s="36"/>
      <c r="AB144" s="288"/>
      <c r="AC144" s="288"/>
      <c r="AD144" s="288"/>
      <c r="AE144" s="288"/>
      <c r="AF144" s="288"/>
      <c r="AG144" s="36"/>
      <c r="AH144" s="288"/>
      <c r="AI144" s="36"/>
      <c r="AJ144" s="289"/>
      <c r="AK144" s="288"/>
      <c r="AL144" s="288"/>
    </row>
    <row r="146" spans="2:38" ht="14.25" customHeight="1" x14ac:dyDescent="0.25">
      <c r="B146" s="97" t="s">
        <v>611</v>
      </c>
      <c r="V146" s="297"/>
      <c r="W146" s="297"/>
      <c r="X146" s="297">
        <f ca="1">YEARFRAC(TODAY(),Inputs!$D$18+92)</f>
        <v>4.7222222222222221E-2</v>
      </c>
      <c r="Y146" s="297">
        <f ca="1">YEARFRAC(TODAY(),Inputs!$D$18+184)</f>
        <v>0.20277777777777778</v>
      </c>
      <c r="Z146" s="297">
        <f ca="1">YEARFRAC(TODAY(),"2025-12-31")</f>
        <v>0.20277777777777778</v>
      </c>
      <c r="AB146" s="297">
        <f ca="1">YEARFRAC(TODAY(),Inputs!$D$17+365+90)</f>
        <v>0.2</v>
      </c>
      <c r="AC146" s="297">
        <f ca="1">YEARFRAC(TODAY(),Inputs!$D$17+365+90+91)</f>
        <v>0.45277777777777778</v>
      </c>
      <c r="AD146" s="297">
        <f ca="1">YEARFRAC(TODAY(),Inputs!$D$17+365+90+91+92)</f>
        <v>0.70277777777777772</v>
      </c>
      <c r="AE146" s="297">
        <f ca="1">YEARFRAC(TODAY(),Inputs!$D$17+720)</f>
        <v>0.92500000000000004</v>
      </c>
      <c r="AF146" s="297">
        <f ca="1">Z146+1</f>
        <v>1.2027777777777777</v>
      </c>
      <c r="AH146" s="297">
        <f ca="1">YEARFRAC(TODAY(),Inputs!$D$17+730+365)</f>
        <v>1.9527777777777777</v>
      </c>
      <c r="AJ146" s="297">
        <f ca="1">YEARFRAC(TODAY(),Inputs!$D$17+730+731)</f>
        <v>2.9527777777777779</v>
      </c>
      <c r="AL146" s="297">
        <f ca="1">YEARFRAC(TODAY(),Inputs!$D$17+730+731+365)</f>
        <v>3.9527777777777779</v>
      </c>
    </row>
    <row r="147" spans="2:38" ht="14.25" customHeight="1" x14ac:dyDescent="0.25">
      <c r="B147" s="97" t="s">
        <v>612</v>
      </c>
      <c r="X147" s="297">
        <f ca="1">X146/2</f>
        <v>2.361111111111111E-2</v>
      </c>
      <c r="Y147" s="297">
        <f ca="1">X146+(Y146-X146)/2</f>
        <v>0.125</v>
      </c>
      <c r="Z147" s="297">
        <f ca="1">W146+(Z146-W146)/2</f>
        <v>0.10138888888888889</v>
      </c>
      <c r="AB147" s="297">
        <f ca="1">Y146+(AB146-Y146)/2</f>
        <v>0.2013888888888889</v>
      </c>
      <c r="AC147" s="297">
        <f ca="1">AB146+(AC146-AB146)/2</f>
        <v>0.3263888888888889</v>
      </c>
      <c r="AD147" s="297">
        <f ca="1">AC146+(AD146-AC146)/2</f>
        <v>0.57777777777777772</v>
      </c>
      <c r="AE147" s="297">
        <f ca="1">AD146+(AE146-AD146)/2</f>
        <v>0.81388888888888888</v>
      </c>
      <c r="AF147" s="297">
        <f ca="1">+Z147+1</f>
        <v>1.101388888888889</v>
      </c>
      <c r="AH147" s="297">
        <f ca="1">AE146+(AH146-AE146)/2</f>
        <v>1.4388888888888889</v>
      </c>
      <c r="AJ147" s="297">
        <f ca="1">AH146+(AJ146-AH146)/2</f>
        <v>2.4527777777777779</v>
      </c>
      <c r="AL147" s="297">
        <f ca="1">AJ146+(AL146-AJ146)/2</f>
        <v>3.4527777777777779</v>
      </c>
    </row>
    <row r="149" spans="2:38" ht="14.25" customHeight="1" x14ac:dyDescent="0.25">
      <c r="B149" s="97" t="s">
        <v>613</v>
      </c>
      <c r="V149" s="295"/>
      <c r="W149" s="295"/>
      <c r="X149" s="296">
        <f>WACC!$D$39+Sensitivity!U41</f>
        <v>7.4145167799931633E-2</v>
      </c>
      <c r="Y149" s="296">
        <f>WACC!$D$39+Sensitivity!U41</f>
        <v>7.4145167799931633E-2</v>
      </c>
      <c r="Z149" s="296">
        <f>WACC!D39</f>
        <v>7.4145167799931633E-2</v>
      </c>
      <c r="AB149" s="294">
        <f>WACC!$E$39+Sensitivity!U41</f>
        <v>7.4866135912261766E-2</v>
      </c>
      <c r="AC149" s="294">
        <f>WACC!$E$39+Sensitivity!U41</f>
        <v>7.4866135912261766E-2</v>
      </c>
      <c r="AD149" s="294">
        <f>WACC!$E$39+Sensitivity!U41</f>
        <v>7.4866135912261766E-2</v>
      </c>
      <c r="AE149" s="294">
        <f>WACC!$E$39+Sensitivity!U41</f>
        <v>7.4866135912261766E-2</v>
      </c>
      <c r="AF149" s="294">
        <f>WACC!E39</f>
        <v>7.4866135912261766E-2</v>
      </c>
      <c r="AH149" s="294">
        <f>WACC!$F$39+Sensitivity!U41</f>
        <v>6.8987767435764485E-2</v>
      </c>
      <c r="AJ149" s="294">
        <f>WACC!$G$39+Sensitivity!U41</f>
        <v>6.8068283131487134E-2</v>
      </c>
      <c r="AL149" s="294">
        <f>WACC!$H$39+Sensitivity!U41</f>
        <v>7.3087430026014602E-2</v>
      </c>
    </row>
    <row r="150" spans="2:38" ht="14.25" customHeight="1" x14ac:dyDescent="0.25">
      <c r="B150" s="97" t="s">
        <v>614</v>
      </c>
      <c r="V150" s="295"/>
      <c r="W150" s="295"/>
      <c r="X150" s="298">
        <f ca="1">(1+X149)^X147</f>
        <v>1.0016902151290399</v>
      </c>
      <c r="Y150" s="298">
        <f ca="1">((1+X149)^X147)*((1+Y149)^Y147)</f>
        <v>1.0106861254959281</v>
      </c>
      <c r="Z150" s="298">
        <f ca="1">+(1+Z149)^Z147</f>
        <v>1.00727821412282</v>
      </c>
      <c r="AB150" s="298">
        <f ca="1">((1+X149)^X147)*((1+Y149)^Y147)*((1+AB149)^AB147)</f>
        <v>1.0254883422597094</v>
      </c>
      <c r="AC150" s="298">
        <f ca="1">((1+X149)^X147)*((1+Y149)^Y147)*((1+AB149)^AB147)*((1+AC149)^AC147)</f>
        <v>1.0499399215516236</v>
      </c>
      <c r="AD150" s="298">
        <f ca="1">((1+X149)^X147)*((1+Y149)^Y147)*((1+AB149)^AB147)*((1+AC149)^AC147)*((1+AD149)^AD147)</f>
        <v>1.0946626832607305</v>
      </c>
      <c r="AE150" s="298">
        <f ca="1">((1+X149)^X147)*((1+Y149)^Y147)*((1+AB149)^AB147)*((1+AC149)^AC147)*((1+AD149)^AD147)*((1+AE149)^AE147)</f>
        <v>1.1609119862635942</v>
      </c>
      <c r="AF150" s="297">
        <f ca="1">1.01*(1+AF149)^AF147</f>
        <v>1.0935905281848302</v>
      </c>
      <c r="AH150" s="298">
        <f ca="1">((1+X149)^X147)*((1+Y149)^Y147)*((1+AB149)^AB147)*((1+AC149)^AC147)*((1+AD149)^AD147)*((1+AE149)^AE147)*((1+AH149)^AH147)</f>
        <v>1.2778734367322804</v>
      </c>
      <c r="AI150" s="298"/>
      <c r="AJ150" s="298">
        <f ca="1">((1+X149)^X147)*((1+Y149)^Y147)*((1+AB149)^AB147)*((1+AC149)^AC147)*((1+AD149)^AD147)*((1+AE149)^AE147)*((1+AH149)^AH147)*((1+AJ149)^AJ147)</f>
        <v>1.501878775560054</v>
      </c>
      <c r="AK150" s="298"/>
      <c r="AL150" s="298">
        <f ca="1">((1+X149)^X147)*((1+Y149)^Y147)*((1+AB149)^AB147)*((1+AC149)^AC147)*((1+AD149)^AD147)*((1+AE149)^AE147)*((1+AH149)^AH147)*((1+AJ149)^AJ147)*((1+AL149)^AL147)</f>
        <v>1.9160687983942699</v>
      </c>
    </row>
    <row r="151" spans="2:38" s="105" customFormat="1" ht="14.25" customHeight="1" x14ac:dyDescent="0.25">
      <c r="C151" s="33"/>
      <c r="I151" s="33"/>
      <c r="O151" s="33"/>
      <c r="U151" s="33"/>
      <c r="AA151" s="33"/>
      <c r="AF151" s="781"/>
      <c r="AG151" s="33"/>
      <c r="AI151" s="33"/>
    </row>
    <row r="152" spans="2:38" ht="14.25" customHeight="1" x14ac:dyDescent="0.25">
      <c r="B152" s="299" t="s">
        <v>615</v>
      </c>
      <c r="C152" s="293"/>
      <c r="D152" s="291"/>
      <c r="E152" s="291"/>
      <c r="F152" s="291"/>
      <c r="G152" s="291"/>
      <c r="H152" s="291"/>
      <c r="I152" s="293"/>
      <c r="J152" s="291"/>
      <c r="K152" s="291"/>
      <c r="L152" s="291"/>
      <c r="M152" s="291"/>
      <c r="N152" s="291"/>
      <c r="O152" s="293"/>
      <c r="P152" s="291"/>
      <c r="Q152" s="291"/>
      <c r="R152" s="291"/>
      <c r="S152" s="291"/>
      <c r="T152" s="291"/>
      <c r="U152" s="293"/>
      <c r="V152" s="291"/>
      <c r="W152" s="291"/>
      <c r="X152" s="315">
        <f ca="1">X136/X150</f>
        <v>1138.3074954496906</v>
      </c>
      <c r="Y152" s="315">
        <f ca="1">Y136/Y150</f>
        <v>3316.8101449815185</v>
      </c>
      <c r="Z152" s="315">
        <f ca="1">Z136/Z150</f>
        <v>7211.4183533192063</v>
      </c>
      <c r="AA152" s="315"/>
      <c r="AB152" s="315">
        <f ca="1">AB136/AB150</f>
        <v>3016.8499364475551</v>
      </c>
      <c r="AC152" s="315">
        <f ca="1">AC136/AC150</f>
        <v>1149.0465837684631</v>
      </c>
      <c r="AD152" s="315">
        <f ca="1">AD136/AD150</f>
        <v>1880.5098169000341</v>
      </c>
      <c r="AE152" s="315">
        <f ca="1">AE136/AE150</f>
        <v>2058.4145053098396</v>
      </c>
      <c r="AF152" s="315">
        <f ca="1">AF136/AF150</f>
        <v>7999.645286517456</v>
      </c>
      <c r="AG152" s="315"/>
      <c r="AH152" s="315">
        <f ca="1">AH136/AH150</f>
        <v>7483.5744375824243</v>
      </c>
      <c r="AI152" s="315"/>
      <c r="AJ152" s="315">
        <f ca="1">AJ136/AJ150</f>
        <v>6804.6061120684835</v>
      </c>
      <c r="AK152" s="315"/>
      <c r="AL152" s="315">
        <f ca="1">AL136/AL150</f>
        <v>6413.0509074232432</v>
      </c>
    </row>
    <row r="154" spans="2:38" ht="14.25" customHeight="1" x14ac:dyDescent="0.3">
      <c r="B154" s="161" t="s">
        <v>616</v>
      </c>
      <c r="C154" s="186"/>
      <c r="D154" s="286"/>
      <c r="E154" s="286"/>
      <c r="F154" s="286"/>
      <c r="G154" s="286"/>
      <c r="H154" s="286"/>
      <c r="I154" s="186"/>
      <c r="J154" s="286"/>
      <c r="K154" s="286"/>
      <c r="L154" s="286"/>
      <c r="M154" s="286"/>
      <c r="N154" s="286"/>
      <c r="O154" s="186"/>
      <c r="P154" s="286"/>
      <c r="Q154" s="286"/>
      <c r="R154" s="286"/>
      <c r="S154" s="286"/>
      <c r="T154" s="286"/>
      <c r="U154" s="186"/>
      <c r="V154" s="286"/>
      <c r="W154" s="286"/>
      <c r="X154" s="286"/>
      <c r="Y154" s="286"/>
      <c r="Z154" s="286"/>
      <c r="AA154" s="186"/>
      <c r="AB154" s="286"/>
      <c r="AC154" s="286"/>
      <c r="AD154" s="286"/>
      <c r="AE154" s="286"/>
      <c r="AF154" s="286"/>
      <c r="AG154" s="186"/>
      <c r="AH154" s="286"/>
      <c r="AI154" s="186"/>
      <c r="AJ154" s="287"/>
      <c r="AK154" s="286"/>
      <c r="AL154" s="286"/>
    </row>
    <row r="155" spans="2:38" ht="4.3499999999999996" customHeight="1" x14ac:dyDescent="0.25">
      <c r="B155" s="288"/>
      <c r="C155" s="36"/>
      <c r="D155" s="288"/>
      <c r="E155" s="288"/>
      <c r="F155" s="288"/>
      <c r="G155" s="288"/>
      <c r="H155" s="288"/>
      <c r="I155" s="36"/>
      <c r="J155" s="288"/>
      <c r="K155" s="288"/>
      <c r="L155" s="288"/>
      <c r="M155" s="288"/>
      <c r="N155" s="288"/>
      <c r="O155" s="36"/>
      <c r="P155" s="288"/>
      <c r="Q155" s="288"/>
      <c r="R155" s="288"/>
      <c r="S155" s="288"/>
      <c r="T155" s="288"/>
      <c r="U155" s="36"/>
      <c r="V155" s="288"/>
      <c r="W155" s="288"/>
      <c r="X155" s="288"/>
      <c r="Y155" s="288"/>
      <c r="Z155" s="288"/>
      <c r="AA155" s="36"/>
      <c r="AB155" s="288"/>
      <c r="AC155" s="288"/>
      <c r="AD155" s="288"/>
      <c r="AE155" s="288"/>
      <c r="AF155" s="288"/>
      <c r="AG155" s="36"/>
      <c r="AH155" s="288"/>
      <c r="AI155" s="36"/>
      <c r="AJ155" s="289"/>
      <c r="AK155" s="288"/>
      <c r="AL155" s="288"/>
    </row>
    <row r="156" spans="2:38" ht="14.25" customHeight="1" x14ac:dyDescent="0.25">
      <c r="B156" s="295"/>
      <c r="C156" s="25"/>
      <c r="D156" s="295"/>
      <c r="E156" s="295"/>
      <c r="F156" s="295"/>
      <c r="G156" s="295"/>
      <c r="H156" s="295"/>
      <c r="I156" s="25"/>
      <c r="J156" s="295"/>
      <c r="K156" s="295"/>
      <c r="L156" s="295"/>
      <c r="M156" s="295"/>
      <c r="N156" s="295"/>
      <c r="O156" s="25"/>
      <c r="P156" s="295"/>
      <c r="Q156" s="295"/>
      <c r="R156" s="295"/>
      <c r="S156" s="295"/>
      <c r="T156" s="295"/>
    </row>
    <row r="157" spans="2:38" s="340" customFormat="1" ht="14.25" customHeight="1" x14ac:dyDescent="0.25">
      <c r="B157" s="343"/>
      <c r="C157" s="344"/>
      <c r="D157" s="343"/>
      <c r="E157" s="343"/>
      <c r="F157" s="343"/>
      <c r="G157" s="343"/>
      <c r="H157" s="345"/>
      <c r="I157" s="344"/>
      <c r="J157" s="343"/>
      <c r="K157" s="343"/>
      <c r="L157" s="343"/>
      <c r="M157" s="343"/>
      <c r="N157" s="343"/>
      <c r="O157" s="344"/>
      <c r="P157" s="343"/>
      <c r="Q157" s="608" t="s">
        <v>617</v>
      </c>
      <c r="R157" s="609" t="s">
        <v>618</v>
      </c>
      <c r="S157" s="343"/>
      <c r="T157" s="343"/>
      <c r="U157" s="341"/>
      <c r="V157" s="342" t="s">
        <v>619</v>
      </c>
      <c r="W157" s="342"/>
      <c r="X157" s="342"/>
      <c r="Y157" s="342"/>
      <c r="Z157" s="342"/>
      <c r="AB157" s="342" t="s">
        <v>620</v>
      </c>
      <c r="AC157" s="342"/>
      <c r="AD157" s="342"/>
      <c r="AE157" s="342"/>
      <c r="AF157" s="342"/>
      <c r="AG157" s="341"/>
      <c r="AH157" s="342" t="s">
        <v>621</v>
      </c>
      <c r="AI157" s="342"/>
      <c r="AJ157" s="342"/>
      <c r="AK157" s="342"/>
      <c r="AL157" s="342"/>
    </row>
    <row r="158" spans="2:38" ht="4.3499999999999996" customHeight="1" x14ac:dyDescent="0.25">
      <c r="B158" s="295"/>
      <c r="C158" s="25"/>
      <c r="D158" s="295"/>
      <c r="E158" s="295"/>
      <c r="F158" s="295"/>
      <c r="G158" s="295"/>
      <c r="H158" s="295"/>
      <c r="I158" s="25"/>
      <c r="J158" s="295"/>
      <c r="K158" s="295"/>
      <c r="L158" s="295"/>
      <c r="M158" s="295"/>
      <c r="N158" s="295"/>
      <c r="O158" s="25"/>
      <c r="P158" s="295"/>
      <c r="Q158" s="295"/>
      <c r="R158" s="295"/>
      <c r="S158" s="295"/>
      <c r="T158" s="295"/>
      <c r="V158" s="288"/>
      <c r="W158" s="288"/>
      <c r="X158" s="288"/>
      <c r="Y158" s="288"/>
      <c r="Z158" s="288"/>
      <c r="AA158" s="97"/>
      <c r="AB158" s="288"/>
      <c r="AC158" s="288"/>
      <c r="AD158" s="288"/>
      <c r="AE158" s="288"/>
      <c r="AF158" s="288"/>
      <c r="AH158" s="288"/>
      <c r="AI158" s="288"/>
      <c r="AJ158" s="288"/>
      <c r="AK158" s="288"/>
      <c r="AL158" s="288"/>
    </row>
    <row r="159" spans="2:38" ht="14.25" customHeight="1" x14ac:dyDescent="0.25">
      <c r="B159" s="295"/>
      <c r="C159" s="25"/>
      <c r="D159" s="295"/>
      <c r="E159" s="295"/>
      <c r="F159" s="295"/>
      <c r="G159" s="295"/>
      <c r="H159" s="295"/>
      <c r="I159" s="25"/>
      <c r="M159" s="295"/>
      <c r="N159" s="295"/>
      <c r="O159" s="25"/>
      <c r="P159" s="295"/>
      <c r="Q159" s="295"/>
      <c r="R159" s="295"/>
      <c r="S159" s="295"/>
      <c r="T159" s="295"/>
      <c r="V159" s="97" t="s">
        <v>622</v>
      </c>
      <c r="Z159" s="357">
        <f>Inputs!M14</f>
        <v>30.080650006291297</v>
      </c>
      <c r="AB159" s="97" t="s">
        <v>623</v>
      </c>
      <c r="AF159" s="357">
        <f>Inputs!M13</f>
        <v>6.8940049162906556</v>
      </c>
      <c r="AH159" s="97" t="s">
        <v>624</v>
      </c>
      <c r="AL159" s="328">
        <f>AL136/AJ136-1</f>
        <v>0.20236940093394473</v>
      </c>
    </row>
    <row r="160" spans="2:38" ht="14.25" customHeight="1" x14ac:dyDescent="0.25">
      <c r="B160" s="295"/>
      <c r="C160" s="25"/>
      <c r="D160" s="295"/>
      <c r="E160" s="295"/>
      <c r="F160" s="295"/>
      <c r="G160" s="295"/>
      <c r="H160" s="295"/>
      <c r="I160" s="25"/>
      <c r="M160" s="295"/>
      <c r="N160" s="295"/>
      <c r="O160" s="25"/>
      <c r="P160" s="295"/>
      <c r="Q160" s="295"/>
      <c r="R160" s="295"/>
      <c r="S160" s="295"/>
      <c r="T160" s="295"/>
      <c r="V160" s="97" t="s">
        <v>625</v>
      </c>
      <c r="Z160" s="346">
        <f>(WACC!H13+WACC!H28-9000)/(FCFF!AL61+FCFF!AL94)</f>
        <v>13.748719885488873</v>
      </c>
      <c r="AB160" s="97" t="s">
        <v>626</v>
      </c>
      <c r="AF160" s="346">
        <f>(WACC!H13+WACC!H28-9000)/FCFF!AL31</f>
        <v>3.5146814978526892</v>
      </c>
      <c r="AH160" s="97" t="s">
        <v>627</v>
      </c>
      <c r="AL160" s="316">
        <v>0.02</v>
      </c>
    </row>
    <row r="161" spans="2:38" ht="14.25" customHeight="1" x14ac:dyDescent="0.25">
      <c r="B161" s="295"/>
      <c r="C161" s="25"/>
      <c r="D161" s="295"/>
      <c r="E161" s="295"/>
      <c r="F161" s="295"/>
      <c r="G161" s="295"/>
      <c r="H161" s="295"/>
      <c r="I161" s="25"/>
      <c r="M161" s="295"/>
      <c r="N161" s="295"/>
      <c r="O161" s="25"/>
      <c r="P161" s="295"/>
      <c r="Q161" s="295"/>
      <c r="R161" s="295" t="str">
        <f>R157</f>
        <v>Revenue Exit</v>
      </c>
      <c r="S161" s="295"/>
      <c r="T161" s="295"/>
      <c r="V161" s="97" t="s">
        <v>616</v>
      </c>
      <c r="Z161" s="312">
        <f>(Z160+Sensitivity!U43)*(AL122+AL128)</f>
        <v>221684.94876332974</v>
      </c>
      <c r="AB161" s="97" t="s">
        <v>616</v>
      </c>
      <c r="AF161" s="312">
        <f>(AF160+Sensitivity!U44)*(AL31)</f>
        <v>221684.94876332974</v>
      </c>
      <c r="AH161" s="97" t="s">
        <v>616</v>
      </c>
      <c r="AL161" s="312">
        <f>AL136*(1+AL160+Sensitivity!U42)/(AL149-AL160-Sensitivity!U42)</f>
        <v>236093.62282202041</v>
      </c>
    </row>
    <row r="162" spans="2:38" ht="14.25" customHeight="1" x14ac:dyDescent="0.25">
      <c r="B162" s="295"/>
      <c r="C162" s="25"/>
      <c r="D162" s="295"/>
      <c r="E162" s="295"/>
      <c r="F162" s="295"/>
      <c r="G162" s="295"/>
      <c r="H162" s="295"/>
      <c r="I162" s="25"/>
      <c r="M162" s="295"/>
      <c r="N162" s="295"/>
      <c r="O162" s="25"/>
      <c r="P162" s="295"/>
      <c r="Q162" s="295"/>
      <c r="R162" s="610">
        <f ca="1">IF($R$161="Revenue Exit",$AF$171,IF($R$161="EBITDA Exit",$Z$171,$AL$171))</f>
        <v>-0.1826259567345917</v>
      </c>
      <c r="S162" s="295"/>
      <c r="T162" s="295"/>
      <c r="V162" s="347" t="s">
        <v>628</v>
      </c>
      <c r="W162" s="347"/>
      <c r="X162" s="347"/>
      <c r="Y162" s="347"/>
      <c r="Z162" s="348">
        <f ca="1">Z161/AL150</f>
        <v>115697.80216091884</v>
      </c>
      <c r="AB162" s="347" t="s">
        <v>628</v>
      </c>
      <c r="AC162" s="347"/>
      <c r="AD162" s="347"/>
      <c r="AE162" s="347"/>
      <c r="AF162" s="348">
        <f ca="1">AF161/AL150</f>
        <v>115697.80216091884</v>
      </c>
      <c r="AH162" s="347" t="s">
        <v>628</v>
      </c>
      <c r="AI162" s="355"/>
      <c r="AJ162" s="356"/>
      <c r="AK162" s="347"/>
      <c r="AL162" s="348">
        <f ca="1">AL161/AL150</f>
        <v>123217.71693160225</v>
      </c>
    </row>
    <row r="163" spans="2:38" ht="14.25" customHeight="1" x14ac:dyDescent="0.25">
      <c r="B163" s="295"/>
      <c r="C163" s="25"/>
      <c r="D163" s="295"/>
      <c r="E163" s="295"/>
      <c r="F163" s="295"/>
      <c r="G163" s="295"/>
      <c r="H163" s="295"/>
      <c r="I163" s="25"/>
      <c r="M163" s="295"/>
      <c r="N163" s="295"/>
      <c r="O163" s="25"/>
      <c r="P163" s="295"/>
      <c r="Q163" s="295"/>
      <c r="R163" s="610">
        <f ca="1">1-R162</f>
        <v>1.1826259567345918</v>
      </c>
      <c r="S163" s="295"/>
      <c r="T163" s="295"/>
      <c r="V163" s="105" t="s">
        <v>629</v>
      </c>
      <c r="W163" s="105"/>
      <c r="X163" s="105"/>
      <c r="Y163" s="105"/>
      <c r="Z163" s="322">
        <f ca="1">Z162+SUM(V152:AL152)</f>
        <v>164170.03574068676</v>
      </c>
      <c r="AB163" s="105" t="s">
        <v>629</v>
      </c>
      <c r="AC163" s="105"/>
      <c r="AD163" s="105"/>
      <c r="AE163" s="105"/>
      <c r="AF163" s="322">
        <f ca="1">AF162+SUM(V152:AL152)</f>
        <v>164170.03574068676</v>
      </c>
      <c r="AH163" s="105" t="s">
        <v>629</v>
      </c>
      <c r="AI163" s="105"/>
      <c r="AK163" s="105"/>
      <c r="AL163" s="322">
        <f ca="1">AL162+SUM(V152:AL152)</f>
        <v>171689.95051137015</v>
      </c>
    </row>
    <row r="164" spans="2:38" ht="14.25" customHeight="1" x14ac:dyDescent="0.25">
      <c r="B164" s="295"/>
      <c r="C164" s="25"/>
      <c r="D164" s="295"/>
      <c r="E164" s="295"/>
      <c r="F164" s="295"/>
      <c r="G164" s="295"/>
      <c r="H164" s="295"/>
      <c r="I164" s="25"/>
      <c r="M164" s="295"/>
      <c r="N164" s="295"/>
      <c r="O164" s="25"/>
      <c r="P164" s="295"/>
      <c r="Q164" s="295"/>
      <c r="R164" s="97" t="str">
        <f ca="1">IF(R162&gt;0,"Upside","Downside")</f>
        <v>Downside</v>
      </c>
      <c r="S164" s="295"/>
      <c r="T164" s="295"/>
      <c r="V164" s="97" t="s">
        <v>630</v>
      </c>
      <c r="Z164" s="68">
        <f>BS!AI45+BS!AI44+BS!AI39+BS!AI38-BS!AI15</f>
        <v>57058</v>
      </c>
      <c r="AB164" s="97" t="s">
        <v>630</v>
      </c>
      <c r="AF164" s="68">
        <f>BS!AI45+BS!AI44+BS!AI39+BS!AI38-BS!AI15</f>
        <v>57058</v>
      </c>
      <c r="AH164" s="97" t="s">
        <v>630</v>
      </c>
      <c r="AI164" s="97"/>
      <c r="AJ164" s="97"/>
      <c r="AL164" s="68">
        <f>BS!AI45+BS!AI44+BS!AI39+BS!AI38-BS!AI15</f>
        <v>57058</v>
      </c>
    </row>
    <row r="165" spans="2:38" ht="14.25" customHeight="1" x14ac:dyDescent="0.25">
      <c r="B165" s="295"/>
      <c r="C165" s="25"/>
      <c r="D165" s="295"/>
      <c r="E165" s="295"/>
      <c r="F165" s="295"/>
      <c r="G165" s="295"/>
      <c r="H165" s="295"/>
      <c r="I165" s="25"/>
      <c r="M165" s="295"/>
      <c r="N165" s="295"/>
      <c r="O165" s="25"/>
      <c r="P165" s="295"/>
      <c r="Q165" s="295"/>
      <c r="R165" s="295"/>
      <c r="S165" s="295"/>
      <c r="T165" s="295"/>
      <c r="V165" s="97" t="s">
        <v>631</v>
      </c>
      <c r="Z165" s="68">
        <v>0</v>
      </c>
      <c r="AB165" s="97" t="s">
        <v>631</v>
      </c>
      <c r="AF165" s="68">
        <v>0</v>
      </c>
      <c r="AH165" s="97" t="s">
        <v>631</v>
      </c>
      <c r="AI165" s="97"/>
      <c r="AJ165" s="97"/>
      <c r="AL165" s="68">
        <v>0</v>
      </c>
    </row>
    <row r="166" spans="2:38" ht="14.25" customHeight="1" x14ac:dyDescent="0.25">
      <c r="V166" s="347" t="s">
        <v>632</v>
      </c>
      <c r="W166" s="347"/>
      <c r="X166" s="347"/>
      <c r="Y166" s="347"/>
      <c r="Z166" s="75">
        <f>BS!AI53</f>
        <v>91</v>
      </c>
      <c r="AB166" s="347" t="s">
        <v>632</v>
      </c>
      <c r="AC166" s="347"/>
      <c r="AD166" s="347"/>
      <c r="AE166" s="347"/>
      <c r="AF166" s="75">
        <f>BS!AI53</f>
        <v>91</v>
      </c>
      <c r="AH166" s="347" t="s">
        <v>632</v>
      </c>
      <c r="AI166" s="347"/>
      <c r="AJ166" s="347"/>
      <c r="AK166" s="347"/>
      <c r="AL166" s="75">
        <f>BS!AI53</f>
        <v>91</v>
      </c>
    </row>
    <row r="167" spans="2:38" ht="14.25" customHeight="1" x14ac:dyDescent="0.25">
      <c r="V167" s="105" t="s">
        <v>633</v>
      </c>
      <c r="W167" s="105"/>
      <c r="X167" s="105"/>
      <c r="Y167" s="105"/>
      <c r="Z167" s="322">
        <f ca="1">Z163-Z164-Z165-Z166</f>
        <v>107021.03574068676</v>
      </c>
      <c r="AB167" s="105" t="s">
        <v>633</v>
      </c>
      <c r="AC167" s="105"/>
      <c r="AD167" s="105"/>
      <c r="AE167" s="105"/>
      <c r="AF167" s="322">
        <f ca="1">AF163-AF164-AF165-AF166</f>
        <v>107021.03574068676</v>
      </c>
      <c r="AH167" s="105" t="s">
        <v>633</v>
      </c>
      <c r="AI167" s="105"/>
      <c r="AK167" s="105"/>
      <c r="AL167" s="322">
        <f ca="1">AL163-AL164-AL165-AL166</f>
        <v>114540.95051137015</v>
      </c>
    </row>
    <row r="168" spans="2:38" ht="14.25" customHeight="1" x14ac:dyDescent="0.25">
      <c r="V168" s="347" t="s">
        <v>634</v>
      </c>
      <c r="W168" s="347"/>
      <c r="X168" s="347"/>
      <c r="Y168" s="347"/>
      <c r="Z168" s="349">
        <f>AL64</f>
        <v>271.92115527755942</v>
      </c>
      <c r="AB168" s="347" t="s">
        <v>634</v>
      </c>
      <c r="AC168" s="347"/>
      <c r="AD168" s="347"/>
      <c r="AE168" s="347"/>
      <c r="AF168" s="349">
        <f>AL64</f>
        <v>271.92115527755942</v>
      </c>
      <c r="AH168" s="347" t="s">
        <v>634</v>
      </c>
      <c r="AI168" s="347"/>
      <c r="AJ168" s="347"/>
      <c r="AK168" s="347"/>
      <c r="AL168" s="349">
        <f>AL64</f>
        <v>271.92115527755942</v>
      </c>
    </row>
    <row r="169" spans="2:38" ht="14.25" customHeight="1" x14ac:dyDescent="0.25">
      <c r="V169" s="105" t="s">
        <v>635</v>
      </c>
      <c r="W169" s="105"/>
      <c r="X169" s="105"/>
      <c r="Y169" s="105"/>
      <c r="Z169" s="321">
        <f ca="1">Z167/Z168</f>
        <v>393.57377557272673</v>
      </c>
      <c r="AB169" s="105" t="s">
        <v>635</v>
      </c>
      <c r="AC169" s="105"/>
      <c r="AD169" s="105"/>
      <c r="AE169" s="105"/>
      <c r="AF169" s="321">
        <f ca="1">AF167/AF168</f>
        <v>393.57377557272673</v>
      </c>
      <c r="AH169" s="105" t="s">
        <v>635</v>
      </c>
      <c r="AI169" s="105"/>
      <c r="AK169" s="105"/>
      <c r="AL169" s="321">
        <f ca="1">AL167/AL168</f>
        <v>421.22853734735787</v>
      </c>
    </row>
    <row r="170" spans="2:38" ht="14.25" customHeight="1" x14ac:dyDescent="0.25">
      <c r="V170" s="97" t="s">
        <v>636</v>
      </c>
      <c r="Z170" s="354">
        <f>'Stock Data'!AN4</f>
        <v>481.51</v>
      </c>
      <c r="AB170" s="97" t="s">
        <v>636</v>
      </c>
      <c r="AF170" s="354">
        <f>'Stock Data'!AN4</f>
        <v>481.51</v>
      </c>
      <c r="AH170" s="97" t="s">
        <v>636</v>
      </c>
      <c r="AI170" s="97"/>
      <c r="AJ170" s="97"/>
      <c r="AL170" s="354">
        <f>'Stock Data'!AN4</f>
        <v>481.51</v>
      </c>
    </row>
    <row r="171" spans="2:38" ht="14.25" customHeight="1" x14ac:dyDescent="0.25">
      <c r="V171" s="97" t="s">
        <v>637</v>
      </c>
      <c r="Z171" s="328">
        <f ca="1">Z169/Z170-1</f>
        <v>-0.1826259567345917</v>
      </c>
      <c r="AB171" s="97" t="s">
        <v>637</v>
      </c>
      <c r="AF171" s="328">
        <f ca="1">AF169/AF170-1</f>
        <v>-0.1826259567345917</v>
      </c>
      <c r="AH171" s="97" t="s">
        <v>637</v>
      </c>
      <c r="AI171" s="97"/>
      <c r="AJ171" s="97"/>
      <c r="AL171" s="328">
        <f ca="1">AL169/AL170-1</f>
        <v>-0.12519254564316862</v>
      </c>
    </row>
    <row r="176" spans="2:38" ht="14.25" customHeight="1" x14ac:dyDescent="0.25">
      <c r="AB176" s="318"/>
    </row>
    <row r="177" spans="28:32" ht="14.25" customHeight="1" x14ac:dyDescent="0.25">
      <c r="AB177" s="598"/>
      <c r="AC177" s="318"/>
    </row>
    <row r="178" spans="28:32" ht="14.25" customHeight="1" x14ac:dyDescent="0.25">
      <c r="AB178" s="598"/>
      <c r="AC178" s="318"/>
    </row>
    <row r="181" spans="28:32" ht="14.25" customHeight="1" x14ac:dyDescent="0.25">
      <c r="AF181" s="318"/>
    </row>
    <row r="182" spans="28:32" ht="14.25" customHeight="1" x14ac:dyDescent="0.25">
      <c r="AE182" s="598"/>
      <c r="AF182" s="318"/>
    </row>
    <row r="183" spans="28:32" ht="14.25" customHeight="1" x14ac:dyDescent="0.25">
      <c r="AE183" s="598"/>
      <c r="AF183" s="328"/>
    </row>
  </sheetData>
  <mergeCells count="17">
    <mergeCell ref="D8:H8"/>
    <mergeCell ref="J8:N8"/>
    <mergeCell ref="P8:T8"/>
    <mergeCell ref="V8:Z8"/>
    <mergeCell ref="AB8:AF8"/>
    <mergeCell ref="V139:Z139"/>
    <mergeCell ref="AB139:AF139"/>
    <mergeCell ref="D24:H24"/>
    <mergeCell ref="J24:N24"/>
    <mergeCell ref="P24:T24"/>
    <mergeCell ref="V24:Z24"/>
    <mergeCell ref="AB24:AF24"/>
    <mergeCell ref="D118:H118"/>
    <mergeCell ref="J118:N118"/>
    <mergeCell ref="P118:T118"/>
    <mergeCell ref="V118:Z118"/>
    <mergeCell ref="AB118:AF118"/>
  </mergeCells>
  <dataValidations disablePrompts="1" count="2">
    <dataValidation type="list" allowBlank="1" showInputMessage="1" showErrorMessage="1" sqref="B82" xr:uid="{3068A702-6D91-4BC4-B8DA-FEBA02962F20}">
      <formula1>"Intangibles excl. Goodwill, Intangibles"</formula1>
    </dataValidation>
    <dataValidation type="list" allowBlank="1" showInputMessage="1" showErrorMessage="1" sqref="R157" xr:uid="{DD3EF530-1AED-43A6-B35C-1414A1C29D9A}">
      <formula1>"EBITDA Exit, Revenue Exit, Gordon's Growth Model"</formula1>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zoomScale="79" zoomScaleNormal="100" workbookViewId="0">
      <selection activeCell="E12" sqref="E12"/>
    </sheetView>
  </sheetViews>
  <sheetFormatPr defaultColWidth="9" defaultRowHeight="15" customHeight="1" x14ac:dyDescent="0.25"/>
  <cols>
    <col min="1" max="1" width="3.59765625" style="382" customWidth="1"/>
    <col min="2" max="2" width="39.09765625" style="23" customWidth="1"/>
    <col min="3" max="3" width="13.59765625" style="23" customWidth="1"/>
    <col min="4" max="13" width="12.59765625" style="23" customWidth="1"/>
    <col min="14" max="17" width="12.59765625" style="25" customWidth="1"/>
    <col min="18" max="16384" width="9" style="25"/>
  </cols>
  <sheetData>
    <row r="1" spans="1:13" s="581" customFormat="1" ht="15" customHeight="1" x14ac:dyDescent="0.25"/>
    <row r="2" spans="1:13" s="581" customFormat="1" ht="15" customHeight="1" x14ac:dyDescent="0.25"/>
    <row r="3" spans="1:13" s="581" customFormat="1" ht="15" customHeight="1" x14ac:dyDescent="0.25"/>
    <row r="4" spans="1:13" s="581" customFormat="1" ht="15" customHeight="1" x14ac:dyDescent="0.25"/>
    <row r="5" spans="1:13" s="421" customFormat="1" ht="4.3499999999999996" customHeight="1" x14ac:dyDescent="0.25">
      <c r="A5" s="576"/>
      <c r="B5" s="36"/>
      <c r="C5" s="36"/>
      <c r="D5" s="36"/>
      <c r="E5" s="36"/>
      <c r="F5" s="36"/>
      <c r="G5" s="36"/>
      <c r="H5" s="36"/>
      <c r="I5" s="36"/>
      <c r="J5" s="36"/>
      <c r="K5" s="36"/>
      <c r="L5" s="36"/>
      <c r="M5" s="36"/>
    </row>
    <row r="7" spans="1:13" ht="15" customHeight="1" x14ac:dyDescent="0.25">
      <c r="A7" s="382" t="s">
        <v>70</v>
      </c>
      <c r="B7" s="374" t="s">
        <v>638</v>
      </c>
      <c r="C7" s="32"/>
      <c r="D7" s="32"/>
      <c r="E7" s="32"/>
      <c r="F7" s="32"/>
      <c r="G7" s="32"/>
      <c r="H7" s="32"/>
      <c r="I7" s="32"/>
      <c r="J7" s="32"/>
      <c r="K7" s="32"/>
      <c r="L7" s="32"/>
    </row>
    <row r="8" spans="1:13" ht="4.3499999999999996" customHeight="1" x14ac:dyDescent="0.25">
      <c r="B8" s="423"/>
      <c r="C8" s="389"/>
      <c r="D8" s="389"/>
      <c r="E8" s="389"/>
      <c r="F8" s="389"/>
      <c r="G8" s="389"/>
      <c r="H8" s="389"/>
      <c r="I8" s="389"/>
      <c r="J8" s="389"/>
      <c r="K8" s="389"/>
      <c r="L8" s="389"/>
    </row>
    <row r="9" spans="1:13" ht="15" customHeight="1" x14ac:dyDescent="0.25">
      <c r="B9" s="424"/>
      <c r="C9" s="25"/>
      <c r="D9" s="25"/>
      <c r="E9" s="424"/>
      <c r="F9" s="25"/>
      <c r="G9" s="25"/>
      <c r="H9" s="424"/>
      <c r="J9" s="25"/>
      <c r="K9" s="424"/>
      <c r="L9" s="25"/>
    </row>
    <row r="10" spans="1:13" ht="15" customHeight="1" x14ac:dyDescent="0.25">
      <c r="B10" s="374" t="s">
        <v>639</v>
      </c>
      <c r="C10" s="32"/>
      <c r="D10" s="32"/>
      <c r="E10" s="32"/>
      <c r="G10" s="374" t="s">
        <v>640</v>
      </c>
      <c r="H10" s="374"/>
      <c r="I10" s="374"/>
      <c r="J10" s="374" t="s">
        <v>641</v>
      </c>
      <c r="K10" s="374" t="s">
        <v>642</v>
      </c>
      <c r="L10" s="374" t="s">
        <v>643</v>
      </c>
    </row>
    <row r="11" spans="1:13" ht="15" customHeight="1" x14ac:dyDescent="0.25">
      <c r="B11" s="23" t="s">
        <v>644</v>
      </c>
      <c r="E11" s="425">
        <f>(G86+G77)</f>
        <v>12802</v>
      </c>
      <c r="G11" s="23" t="s">
        <v>645</v>
      </c>
      <c r="J11" s="683"/>
      <c r="K11" s="684"/>
      <c r="L11" s="48">
        <f>K11*$E$13</f>
        <v>0</v>
      </c>
    </row>
    <row r="12" spans="1:13" ht="15" customHeight="1" x14ac:dyDescent="0.25">
      <c r="B12" s="355" t="s">
        <v>646</v>
      </c>
      <c r="C12" s="355"/>
      <c r="D12" s="355"/>
      <c r="E12" s="681"/>
      <c r="G12" s="23" t="s">
        <v>647</v>
      </c>
      <c r="J12" s="683"/>
      <c r="K12" s="684"/>
      <c r="L12" s="48">
        <f>K12*$E$13</f>
        <v>0</v>
      </c>
    </row>
    <row r="13" spans="1:13" ht="15" customHeight="1" x14ac:dyDescent="0.25">
      <c r="B13" s="33" t="s">
        <v>648</v>
      </c>
      <c r="E13" s="426">
        <f>E11*E12</f>
        <v>0</v>
      </c>
      <c r="G13" s="23" t="s">
        <v>649</v>
      </c>
      <c r="J13" s="683"/>
      <c r="K13" s="684"/>
      <c r="L13" s="48">
        <f>K13*$E$13</f>
        <v>0</v>
      </c>
    </row>
    <row r="14" spans="1:13" ht="15" customHeight="1" x14ac:dyDescent="0.25">
      <c r="B14" s="355" t="s">
        <v>650</v>
      </c>
      <c r="C14" s="355"/>
      <c r="D14" s="355"/>
      <c r="E14" s="427">
        <f>BS!AJ38+BS!AJ39+BS!AJ44+BS!AJ45-BS!AJ15</f>
        <v>0</v>
      </c>
      <c r="J14" s="428"/>
      <c r="L14" s="48"/>
    </row>
    <row r="15" spans="1:13" ht="15" customHeight="1" x14ac:dyDescent="0.25">
      <c r="B15" s="33" t="s">
        <v>651</v>
      </c>
      <c r="E15" s="426">
        <f>E13-E14</f>
        <v>0</v>
      </c>
      <c r="G15" s="374" t="s">
        <v>652</v>
      </c>
      <c r="H15" s="374"/>
      <c r="I15" s="374"/>
      <c r="J15" s="374"/>
      <c r="K15" s="374"/>
      <c r="L15" s="374"/>
    </row>
    <row r="16" spans="1:13" ht="15" customHeight="1" x14ac:dyDescent="0.25">
      <c r="G16" s="23" t="s">
        <v>653</v>
      </c>
      <c r="L16" s="429" t="e">
        <f>L180</f>
        <v>#DIV/0!</v>
      </c>
    </row>
    <row r="17" spans="1:12" ht="15" customHeight="1" x14ac:dyDescent="0.25">
      <c r="B17" s="23" t="s">
        <v>654</v>
      </c>
      <c r="E17" s="48">
        <f>0.03*E13</f>
        <v>0</v>
      </c>
      <c r="G17" s="23" t="s">
        <v>655</v>
      </c>
      <c r="L17" s="429" t="e">
        <f>L181</f>
        <v>#DIV/0!</v>
      </c>
    </row>
    <row r="19" spans="1:12" ht="15" customHeight="1" x14ac:dyDescent="0.25">
      <c r="B19" s="374" t="s">
        <v>656</v>
      </c>
      <c r="C19" s="32"/>
      <c r="D19" s="32"/>
      <c r="E19" s="32"/>
      <c r="I19" s="422"/>
    </row>
    <row r="20" spans="1:12" ht="15" customHeight="1" x14ac:dyDescent="0.25">
      <c r="B20" s="23" t="s">
        <v>657</v>
      </c>
      <c r="E20" s="682"/>
      <c r="H20" s="430"/>
    </row>
    <row r="21" spans="1:12" ht="15" customHeight="1" x14ac:dyDescent="0.25">
      <c r="C21" s="431"/>
    </row>
    <row r="22" spans="1:12" ht="15" customHeight="1" x14ac:dyDescent="0.25">
      <c r="A22" s="382" t="s">
        <v>70</v>
      </c>
      <c r="B22" s="374" t="s">
        <v>658</v>
      </c>
      <c r="C22" s="32"/>
      <c r="D22" s="32"/>
      <c r="E22" s="32"/>
      <c r="F22" s="32"/>
      <c r="G22" s="32"/>
      <c r="H22" s="32"/>
      <c r="I22" s="32"/>
      <c r="J22" s="32"/>
      <c r="K22" s="32"/>
      <c r="L22" s="32"/>
    </row>
    <row r="23" spans="1:12" ht="4.3499999999999996" customHeight="1" x14ac:dyDescent="0.25">
      <c r="B23" s="423"/>
      <c r="C23" s="389"/>
      <c r="D23" s="389"/>
      <c r="E23" s="389"/>
      <c r="F23" s="389"/>
      <c r="G23" s="389"/>
      <c r="H23" s="389"/>
      <c r="I23" s="389"/>
      <c r="J23" s="389"/>
      <c r="K23" s="389"/>
      <c r="L23" s="389"/>
    </row>
    <row r="24" spans="1:12" ht="15" customHeight="1" x14ac:dyDescent="0.25">
      <c r="C24" s="432"/>
    </row>
    <row r="25" spans="1:12" ht="15" customHeight="1" x14ac:dyDescent="0.25">
      <c r="B25" s="374" t="s">
        <v>659</v>
      </c>
      <c r="C25" s="32"/>
      <c r="D25" s="32"/>
      <c r="E25" s="32"/>
      <c r="G25" s="374" t="s">
        <v>660</v>
      </c>
      <c r="H25" s="32"/>
      <c r="I25" s="32"/>
      <c r="J25" s="32"/>
      <c r="K25" s="32"/>
      <c r="L25" s="32"/>
    </row>
    <row r="26" spans="1:12" ht="15" customHeight="1" x14ac:dyDescent="0.25">
      <c r="B26" s="344"/>
      <c r="C26" s="424" t="s">
        <v>643</v>
      </c>
      <c r="D26" s="424" t="s">
        <v>661</v>
      </c>
      <c r="E26" s="424" t="s">
        <v>662</v>
      </c>
      <c r="J26" s="424" t="s">
        <v>643</v>
      </c>
      <c r="K26" s="424" t="s">
        <v>661</v>
      </c>
      <c r="L26" s="424" t="s">
        <v>662</v>
      </c>
    </row>
    <row r="27" spans="1:12" ht="15" customHeight="1" x14ac:dyDescent="0.25">
      <c r="B27" s="25" t="s">
        <v>645</v>
      </c>
      <c r="C27" s="425">
        <f>L11</f>
        <v>0</v>
      </c>
      <c r="D27" s="433">
        <f>C27/$E$11</f>
        <v>0</v>
      </c>
      <c r="E27" s="434" t="e">
        <f>C27/$C$34</f>
        <v>#DIV/0!</v>
      </c>
      <c r="G27" s="25" t="s">
        <v>663</v>
      </c>
      <c r="H27" s="25"/>
      <c r="I27" s="25"/>
      <c r="J27" s="425">
        <f>E14</f>
        <v>0</v>
      </c>
      <c r="K27" s="433">
        <f>J27/$E$11</f>
        <v>0</v>
      </c>
      <c r="L27" s="434" t="e">
        <f>J27/$J$34</f>
        <v>#DIV/0!</v>
      </c>
    </row>
    <row r="28" spans="1:12" ht="15" customHeight="1" x14ac:dyDescent="0.25">
      <c r="B28" s="25" t="s">
        <v>647</v>
      </c>
      <c r="C28" s="425">
        <f>L12</f>
        <v>0</v>
      </c>
      <c r="D28" s="433">
        <f>C28/$E$11</f>
        <v>0</v>
      </c>
      <c r="E28" s="434" t="e">
        <f>C28/$C$34</f>
        <v>#DIV/0!</v>
      </c>
      <c r="G28" s="25" t="s">
        <v>664</v>
      </c>
      <c r="H28" s="25"/>
      <c r="I28" s="25"/>
      <c r="J28" s="425">
        <f>E15</f>
        <v>0</v>
      </c>
      <c r="K28" s="433">
        <f>J28/$E$11</f>
        <v>0</v>
      </c>
      <c r="L28" s="434" t="e">
        <f>J28/$J$34</f>
        <v>#DIV/0!</v>
      </c>
    </row>
    <row r="29" spans="1:12" ht="15" customHeight="1" x14ac:dyDescent="0.25">
      <c r="B29" s="435" t="s">
        <v>649</v>
      </c>
      <c r="C29" s="436">
        <f>L13</f>
        <v>0</v>
      </c>
      <c r="D29" s="437">
        <f>C29/$E$11</f>
        <v>0</v>
      </c>
      <c r="E29" s="438" t="e">
        <f>C29/$C$34</f>
        <v>#DIV/0!</v>
      </c>
      <c r="G29" s="25"/>
      <c r="H29" s="25"/>
      <c r="I29" s="25"/>
      <c r="J29" s="439"/>
      <c r="K29" s="25"/>
      <c r="L29" s="422"/>
    </row>
    <row r="30" spans="1:12" ht="15" customHeight="1" x14ac:dyDescent="0.25">
      <c r="B30" s="344" t="s">
        <v>515</v>
      </c>
      <c r="C30" s="440">
        <f>SUM(C27:C29)</f>
        <v>0</v>
      </c>
      <c r="D30" s="441">
        <f>C30/$E$11</f>
        <v>0</v>
      </c>
      <c r="E30" s="442" t="e">
        <f>C30/$C$34</f>
        <v>#DIV/0!</v>
      </c>
      <c r="G30" s="25" t="s">
        <v>654</v>
      </c>
      <c r="H30" s="25"/>
      <c r="I30" s="25"/>
      <c r="J30" s="425">
        <f>E17</f>
        <v>0</v>
      </c>
      <c r="K30" s="433">
        <f>J30/$E$11</f>
        <v>0</v>
      </c>
      <c r="L30" s="434" t="e">
        <f>J30/$J$34</f>
        <v>#DIV/0!</v>
      </c>
    </row>
    <row r="31" spans="1:12" ht="15" customHeight="1" x14ac:dyDescent="0.25">
      <c r="B31" s="344"/>
      <c r="C31" s="25"/>
      <c r="D31" s="25"/>
      <c r="E31" s="434"/>
      <c r="G31" s="25"/>
      <c r="H31" s="25"/>
      <c r="I31" s="25"/>
      <c r="J31" s="422"/>
      <c r="K31" s="422"/>
      <c r="L31" s="422"/>
    </row>
    <row r="32" spans="1:12" ht="15" customHeight="1" x14ac:dyDescent="0.25">
      <c r="B32" s="25" t="s">
        <v>665</v>
      </c>
      <c r="C32" s="48">
        <f>C34-C30</f>
        <v>0</v>
      </c>
      <c r="D32" s="433">
        <f>C32/$E$11</f>
        <v>0</v>
      </c>
      <c r="E32" s="434" t="e">
        <f>C32/$C$34</f>
        <v>#DIV/0!</v>
      </c>
      <c r="G32" s="25"/>
      <c r="H32" s="25"/>
      <c r="I32" s="25"/>
    </row>
    <row r="34" spans="1:12" ht="15" customHeight="1" x14ac:dyDescent="0.25">
      <c r="B34" s="443" t="s">
        <v>666</v>
      </c>
      <c r="C34" s="444">
        <f>J34</f>
        <v>0</v>
      </c>
      <c r="D34" s="445">
        <f>C34/$E$11</f>
        <v>0</v>
      </c>
      <c r="E34" s="446" t="e">
        <f>C34/$C$34</f>
        <v>#DIV/0!</v>
      </c>
      <c r="G34" s="447" t="s">
        <v>667</v>
      </c>
      <c r="H34" s="448"/>
      <c r="I34" s="448"/>
      <c r="J34" s="449">
        <f>J27+J28+J30</f>
        <v>0</v>
      </c>
      <c r="K34" s="450">
        <f>J34/$E$11</f>
        <v>0</v>
      </c>
      <c r="L34" s="451" t="e">
        <f>J34/$J$34</f>
        <v>#DIV/0!</v>
      </c>
    </row>
    <row r="35" spans="1:12" ht="15" customHeight="1" x14ac:dyDescent="0.25">
      <c r="C35" s="431"/>
    </row>
    <row r="36" spans="1:12" ht="15" customHeight="1" x14ac:dyDescent="0.25">
      <c r="B36" s="374" t="s">
        <v>523</v>
      </c>
      <c r="C36" s="32"/>
      <c r="D36" s="32"/>
      <c r="E36" s="32"/>
      <c r="F36" s="32"/>
      <c r="G36" s="32"/>
      <c r="H36" s="32"/>
      <c r="I36" s="32"/>
      <c r="J36" s="32"/>
      <c r="K36" s="32"/>
      <c r="L36" s="32"/>
    </row>
    <row r="37" spans="1:12" ht="15" customHeight="1" x14ac:dyDescent="0.25">
      <c r="B37" s="32"/>
      <c r="C37" s="32"/>
      <c r="D37" s="32"/>
      <c r="E37" s="32"/>
      <c r="F37" s="32"/>
      <c r="G37" s="32"/>
      <c r="H37" s="32"/>
      <c r="I37" s="32"/>
      <c r="J37" s="32"/>
      <c r="K37" s="32"/>
      <c r="L37" s="32"/>
    </row>
    <row r="38" spans="1:12" ht="15" customHeight="1" x14ac:dyDescent="0.25">
      <c r="A38" s="382" t="s">
        <v>70</v>
      </c>
      <c r="B38" s="32"/>
      <c r="C38" s="32"/>
      <c r="D38" s="32"/>
      <c r="E38" s="452">
        <v>2022</v>
      </c>
      <c r="F38" s="452">
        <f t="shared" ref="F38:L38" si="0">+E38+1</f>
        <v>2023</v>
      </c>
      <c r="G38" s="452">
        <f t="shared" si="0"/>
        <v>2024</v>
      </c>
      <c r="H38" s="453">
        <f t="shared" si="0"/>
        <v>2025</v>
      </c>
      <c r="I38" s="453">
        <f t="shared" si="0"/>
        <v>2026</v>
      </c>
      <c r="J38" s="453">
        <f t="shared" si="0"/>
        <v>2027</v>
      </c>
      <c r="K38" s="453">
        <f t="shared" si="0"/>
        <v>2028</v>
      </c>
      <c r="L38" s="453">
        <f t="shared" si="0"/>
        <v>2029</v>
      </c>
    </row>
    <row r="50" spans="1:12" ht="15" customHeight="1" x14ac:dyDescent="0.25">
      <c r="B50" s="292" t="s">
        <v>258</v>
      </c>
      <c r="C50" s="458"/>
      <c r="D50" s="459"/>
      <c r="E50" s="460"/>
      <c r="F50" s="460"/>
      <c r="G50" s="461"/>
      <c r="H50" s="315">
        <v>350000</v>
      </c>
      <c r="I50" s="315">
        <v>352000</v>
      </c>
      <c r="J50" s="315">
        <v>350000</v>
      </c>
      <c r="K50" s="315">
        <v>352000</v>
      </c>
      <c r="L50" s="524">
        <v>350000</v>
      </c>
    </row>
    <row r="51" spans="1:12" ht="15" customHeight="1" x14ac:dyDescent="0.25">
      <c r="B51" s="454"/>
      <c r="C51" s="462"/>
      <c r="D51" s="25"/>
      <c r="E51" s="463"/>
      <c r="F51" s="463"/>
      <c r="G51" s="464"/>
      <c r="H51" s="465"/>
      <c r="I51" s="465"/>
      <c r="J51" s="465"/>
      <c r="K51" s="465"/>
      <c r="L51" s="465"/>
    </row>
    <row r="52" spans="1:12" ht="15" customHeight="1" x14ac:dyDescent="0.25">
      <c r="B52" s="374" t="s">
        <v>527</v>
      </c>
      <c r="C52" s="32"/>
      <c r="D52" s="32"/>
      <c r="E52" s="32"/>
      <c r="F52" s="32"/>
      <c r="G52" s="32"/>
      <c r="H52" s="32"/>
      <c r="I52" s="32"/>
      <c r="J52" s="32"/>
      <c r="K52" s="32"/>
      <c r="L52" s="32"/>
    </row>
    <row r="53" spans="1:12" ht="15" customHeight="1" x14ac:dyDescent="0.25">
      <c r="B53" s="32"/>
      <c r="C53" s="32"/>
      <c r="D53" s="32"/>
      <c r="E53" s="32"/>
      <c r="F53" s="32"/>
      <c r="G53" s="32"/>
      <c r="H53" s="32"/>
      <c r="I53" s="32"/>
      <c r="J53" s="32"/>
      <c r="K53" s="32"/>
      <c r="L53" s="32"/>
    </row>
    <row r="54" spans="1:12" ht="15" customHeight="1" x14ac:dyDescent="0.25">
      <c r="B54" s="32"/>
      <c r="C54" s="32"/>
      <c r="D54" s="32"/>
      <c r="E54" s="32"/>
      <c r="F54" s="32"/>
      <c r="G54" s="32"/>
      <c r="H54" s="32"/>
      <c r="I54" s="32"/>
      <c r="J54" s="32"/>
      <c r="K54" s="32"/>
      <c r="L54" s="32"/>
    </row>
    <row r="55" spans="1:12" ht="4.3499999999999996" customHeight="1" x14ac:dyDescent="0.25">
      <c r="B55" s="467"/>
      <c r="C55" s="468"/>
      <c r="D55" s="421"/>
      <c r="E55" s="469"/>
      <c r="F55" s="469"/>
      <c r="G55" s="469"/>
      <c r="H55" s="470"/>
      <c r="I55" s="470"/>
      <c r="J55" s="470"/>
      <c r="K55" s="470"/>
      <c r="L55" s="470"/>
    </row>
    <row r="56" spans="1:12" ht="4.3499999999999996" customHeight="1" x14ac:dyDescent="0.25">
      <c r="B56" s="454"/>
      <c r="C56" s="455"/>
      <c r="D56" s="25"/>
      <c r="E56" s="463"/>
      <c r="F56" s="463"/>
      <c r="G56" s="463"/>
      <c r="H56" s="466"/>
      <c r="I56" s="466"/>
      <c r="J56" s="466"/>
      <c r="K56" s="466"/>
      <c r="L56" s="466"/>
    </row>
    <row r="57" spans="1:12" ht="15" customHeight="1" x14ac:dyDescent="0.25">
      <c r="A57" s="382" t="s">
        <v>70</v>
      </c>
      <c r="B57" s="374" t="s">
        <v>528</v>
      </c>
      <c r="C57" s="32"/>
      <c r="D57" s="32"/>
      <c r="E57" s="452">
        <v>2022</v>
      </c>
      <c r="F57" s="452">
        <f t="shared" ref="F57:L57" si="1">+E57+1</f>
        <v>2023</v>
      </c>
      <c r="G57" s="452">
        <f t="shared" si="1"/>
        <v>2024</v>
      </c>
      <c r="H57" s="453">
        <f t="shared" si="1"/>
        <v>2025</v>
      </c>
      <c r="I57" s="453">
        <f t="shared" si="1"/>
        <v>2026</v>
      </c>
      <c r="J57" s="453">
        <f t="shared" si="1"/>
        <v>2027</v>
      </c>
      <c r="K57" s="453">
        <f t="shared" si="1"/>
        <v>2028</v>
      </c>
      <c r="L57" s="453">
        <f t="shared" si="1"/>
        <v>2029</v>
      </c>
    </row>
    <row r="58" spans="1:12" ht="4.3499999999999996" customHeight="1" x14ac:dyDescent="0.25">
      <c r="B58" s="36"/>
      <c r="C58" s="36"/>
      <c r="D58" s="36"/>
      <c r="E58" s="36"/>
      <c r="F58" s="36"/>
      <c r="G58" s="36"/>
      <c r="H58" s="36"/>
      <c r="I58" s="36"/>
      <c r="J58" s="36"/>
      <c r="K58" s="36"/>
      <c r="L58" s="36"/>
    </row>
    <row r="59" spans="1:12" ht="15" customHeight="1" x14ac:dyDescent="0.25">
      <c r="B59" s="377" t="s">
        <v>526</v>
      </c>
      <c r="D59" s="471" t="e">
        <f>+_xlfn.XLOOKUP($B59,#REF!,#REF!)</f>
        <v>#REF!</v>
      </c>
      <c r="E59" s="58">
        <f>FCFF!H31</f>
        <v>52577</v>
      </c>
      <c r="F59" s="58">
        <f>FCFF!N31</f>
        <v>61251</v>
      </c>
      <c r="G59" s="412">
        <f>FCFF!T31</f>
        <v>51716</v>
      </c>
      <c r="H59" s="472">
        <f>+H50</f>
        <v>350000</v>
      </c>
      <c r="I59" s="472">
        <f t="shared" ref="I59:L59" si="2">+I50</f>
        <v>352000</v>
      </c>
      <c r="J59" s="472">
        <f t="shared" si="2"/>
        <v>350000</v>
      </c>
      <c r="K59" s="472">
        <f t="shared" si="2"/>
        <v>352000</v>
      </c>
      <c r="L59" s="472">
        <f t="shared" si="2"/>
        <v>350000</v>
      </c>
    </row>
    <row r="60" spans="1:12" s="457" customFormat="1" ht="15" customHeight="1" x14ac:dyDescent="0.25">
      <c r="A60" s="382"/>
      <c r="B60" s="31" t="s">
        <v>529</v>
      </c>
      <c r="C60" s="26"/>
      <c r="D60" s="26"/>
      <c r="E60" s="306">
        <f>E59/IS!N18-1</f>
        <v>0.19428039251317464</v>
      </c>
      <c r="F60" s="306">
        <f>F59/E59-1</f>
        <v>0.16497708123323895</v>
      </c>
      <c r="G60" s="413">
        <f>G59/F59-1</f>
        <v>-0.15567092782158654</v>
      </c>
      <c r="H60" s="306">
        <f t="shared" ref="H60:L60" si="3">H59/G59-1</f>
        <v>5.7677314564158095</v>
      </c>
      <c r="I60" s="306">
        <f t="shared" si="3"/>
        <v>5.7142857142857828E-3</v>
      </c>
      <c r="J60" s="306">
        <f t="shared" si="3"/>
        <v>-5.6818181818182323E-3</v>
      </c>
      <c r="K60" s="306">
        <f t="shared" si="3"/>
        <v>5.7142857142857828E-3</v>
      </c>
      <c r="L60" s="306">
        <f t="shared" si="3"/>
        <v>-5.6818181818182323E-3</v>
      </c>
    </row>
    <row r="61" spans="1:12" ht="15" customHeight="1" x14ac:dyDescent="0.25">
      <c r="B61" s="401"/>
      <c r="E61" s="57"/>
      <c r="F61" s="57"/>
      <c r="G61" s="414"/>
      <c r="H61" s="434"/>
      <c r="I61" s="434"/>
      <c r="J61" s="434"/>
      <c r="K61" s="434"/>
      <c r="L61" s="434"/>
    </row>
    <row r="62" spans="1:12" ht="15" customHeight="1" x14ac:dyDescent="0.25">
      <c r="B62" s="377" t="s">
        <v>530</v>
      </c>
      <c r="E62" s="58">
        <f>FCFF!H34</f>
        <v>35338</v>
      </c>
      <c r="F62" s="58">
        <f>FCFF!N34</f>
        <v>37715</v>
      </c>
      <c r="G62" s="412">
        <f>FCFF!T34</f>
        <v>30775</v>
      </c>
      <c r="H62" s="472">
        <f>H63*H$59</f>
        <v>0</v>
      </c>
      <c r="I62" s="472">
        <f>I63*I$59</f>
        <v>0</v>
      </c>
      <c r="J62" s="472">
        <f>J63*J$59</f>
        <v>0</v>
      </c>
      <c r="K62" s="472">
        <f>K63*K$59</f>
        <v>0</v>
      </c>
      <c r="L62" s="472">
        <f>L63*L$59</f>
        <v>0</v>
      </c>
    </row>
    <row r="63" spans="1:12" s="457" customFormat="1" ht="15" customHeight="1" x14ac:dyDescent="0.25">
      <c r="A63" s="382"/>
      <c r="B63" s="31" t="s">
        <v>531</v>
      </c>
      <c r="C63" s="26"/>
      <c r="D63" s="26"/>
      <c r="E63" s="306">
        <f>E62/E59</f>
        <v>0.67211898738992337</v>
      </c>
      <c r="F63" s="306">
        <f t="shared" ref="F63:G63" si="4">F62/F59</f>
        <v>0.61574504906042349</v>
      </c>
      <c r="G63" s="413">
        <f t="shared" si="4"/>
        <v>0.59507695877484723</v>
      </c>
      <c r="H63" s="473"/>
      <c r="I63" s="473"/>
      <c r="J63" s="473"/>
      <c r="K63" s="473"/>
      <c r="L63" s="474"/>
    </row>
    <row r="64" spans="1:12" ht="15" customHeight="1" x14ac:dyDescent="0.25">
      <c r="G64" s="205"/>
    </row>
    <row r="65" spans="2:12" ht="15" customHeight="1" x14ac:dyDescent="0.25">
      <c r="B65" s="377" t="s">
        <v>532</v>
      </c>
      <c r="E65" s="58">
        <f>FCFF!H37</f>
        <v>0</v>
      </c>
      <c r="F65" s="58">
        <f>FCFF!N37</f>
        <v>0</v>
      </c>
      <c r="G65" s="412">
        <f>FCFF!T37</f>
        <v>0</v>
      </c>
      <c r="H65" s="472">
        <f>+H66*H62</f>
        <v>0</v>
      </c>
      <c r="I65" s="472">
        <f t="shared" ref="I65:L65" si="5">+I66*I62</f>
        <v>0</v>
      </c>
      <c r="J65" s="472">
        <f t="shared" si="5"/>
        <v>0</v>
      </c>
      <c r="K65" s="472">
        <f t="shared" si="5"/>
        <v>0</v>
      </c>
      <c r="L65" s="472">
        <f t="shared" si="5"/>
        <v>0</v>
      </c>
    </row>
    <row r="66" spans="2:12" s="457" customFormat="1" ht="15" customHeight="1" x14ac:dyDescent="0.25">
      <c r="B66" s="31" t="s">
        <v>533</v>
      </c>
      <c r="C66" s="26"/>
      <c r="D66" s="26"/>
      <c r="E66" s="306">
        <f>E65/E62</f>
        <v>0</v>
      </c>
      <c r="F66" s="306">
        <f t="shared" ref="F66:G66" si="6">F65/F62</f>
        <v>0</v>
      </c>
      <c r="G66" s="413">
        <f t="shared" si="6"/>
        <v>0</v>
      </c>
      <c r="H66" s="473"/>
      <c r="I66" s="473"/>
      <c r="J66" s="473"/>
      <c r="K66" s="473"/>
      <c r="L66" s="473"/>
    </row>
    <row r="67" spans="2:12" ht="15" customHeight="1" x14ac:dyDescent="0.25">
      <c r="B67" s="31"/>
      <c r="E67" s="181"/>
      <c r="F67" s="181"/>
      <c r="G67" s="415"/>
      <c r="H67" s="25"/>
      <c r="I67" s="25"/>
      <c r="J67" s="25"/>
      <c r="K67" s="25"/>
      <c r="L67" s="25"/>
    </row>
    <row r="68" spans="2:12" ht="15" customHeight="1" x14ac:dyDescent="0.25">
      <c r="B68" s="377" t="s">
        <v>534</v>
      </c>
      <c r="E68" s="58">
        <f>FCFF!H40</f>
        <v>17239</v>
      </c>
      <c r="F68" s="58">
        <f>FCFF!N40</f>
        <v>23536</v>
      </c>
      <c r="G68" s="412">
        <f>FCFF!T40</f>
        <v>20941</v>
      </c>
      <c r="H68" s="472">
        <f>+H59-H62-H65</f>
        <v>350000</v>
      </c>
      <c r="I68" s="472">
        <f t="shared" ref="I68:L68" si="7">+I59-I62-I65</f>
        <v>352000</v>
      </c>
      <c r="J68" s="472">
        <f t="shared" si="7"/>
        <v>350000</v>
      </c>
      <c r="K68" s="472">
        <f t="shared" si="7"/>
        <v>352000</v>
      </c>
      <c r="L68" s="472">
        <f t="shared" si="7"/>
        <v>350000</v>
      </c>
    </row>
    <row r="69" spans="2:12" s="457" customFormat="1" ht="15" customHeight="1" x14ac:dyDescent="0.25">
      <c r="B69" s="31" t="s">
        <v>531</v>
      </c>
      <c r="C69" s="26"/>
      <c r="D69" s="26"/>
      <c r="E69" s="308">
        <f>E68/E59</f>
        <v>0.32788101261007663</v>
      </c>
      <c r="F69" s="308">
        <f t="shared" ref="F69:G69" si="8">F68/F59</f>
        <v>0.38425495093957651</v>
      </c>
      <c r="G69" s="416">
        <f t="shared" si="8"/>
        <v>0.40492304122515277</v>
      </c>
      <c r="H69" s="475">
        <f t="shared" ref="H69:L69" si="9">IFERROR(H68/H$59,"")</f>
        <v>1</v>
      </c>
      <c r="I69" s="475">
        <f t="shared" si="9"/>
        <v>1</v>
      </c>
      <c r="J69" s="475">
        <f t="shared" si="9"/>
        <v>1</v>
      </c>
      <c r="K69" s="475">
        <f t="shared" si="9"/>
        <v>1</v>
      </c>
      <c r="L69" s="475">
        <f t="shared" si="9"/>
        <v>1</v>
      </c>
    </row>
    <row r="70" spans="2:12" ht="15" customHeight="1" x14ac:dyDescent="0.25">
      <c r="B70" s="377"/>
      <c r="E70" s="66"/>
      <c r="F70" s="66"/>
      <c r="G70" s="417"/>
      <c r="H70" s="434"/>
      <c r="I70" s="434"/>
      <c r="J70" s="434"/>
      <c r="K70" s="434"/>
      <c r="L70" s="434"/>
    </row>
    <row r="71" spans="2:12" ht="15" customHeight="1" x14ac:dyDescent="0.25">
      <c r="B71" s="377" t="s">
        <v>535</v>
      </c>
      <c r="E71" s="68">
        <f>FCFF!H43</f>
        <v>3863</v>
      </c>
      <c r="F71" s="68">
        <f>FCFF!N43</f>
        <v>4595</v>
      </c>
      <c r="G71" s="418">
        <f>FCFF!T43</f>
        <v>4840</v>
      </c>
      <c r="H71" s="472">
        <f>+H72*H59</f>
        <v>0</v>
      </c>
      <c r="I71" s="472">
        <f t="shared" ref="I71:L71" si="10">+I72*I59</f>
        <v>0</v>
      </c>
      <c r="J71" s="472">
        <f t="shared" si="10"/>
        <v>0</v>
      </c>
      <c r="K71" s="472">
        <f t="shared" si="10"/>
        <v>0</v>
      </c>
      <c r="L71" s="472">
        <f t="shared" si="10"/>
        <v>0</v>
      </c>
    </row>
    <row r="72" spans="2:12" s="457" customFormat="1" ht="15" customHeight="1" x14ac:dyDescent="0.25">
      <c r="B72" s="31" t="s">
        <v>531</v>
      </c>
      <c r="C72" s="26"/>
      <c r="D72" s="26"/>
      <c r="E72" s="308">
        <f>E71/E59</f>
        <v>7.3473191699792689E-2</v>
      </c>
      <c r="F72" s="308">
        <f t="shared" ref="F72:G72" si="11">F71/F59</f>
        <v>7.5019183360271663E-2</v>
      </c>
      <c r="G72" s="416">
        <f t="shared" si="11"/>
        <v>9.3588057854435761E-2</v>
      </c>
      <c r="H72" s="473"/>
      <c r="I72" s="473"/>
      <c r="J72" s="473"/>
      <c r="K72" s="473"/>
      <c r="L72" s="474"/>
    </row>
    <row r="73" spans="2:12" s="478" customFormat="1" ht="15" customHeight="1" x14ac:dyDescent="0.25">
      <c r="B73" s="401"/>
      <c r="C73" s="476"/>
      <c r="D73" s="476"/>
      <c r="E73" s="66"/>
      <c r="F73" s="66"/>
      <c r="G73" s="417"/>
      <c r="H73" s="477"/>
      <c r="I73" s="477"/>
      <c r="J73" s="477"/>
      <c r="K73" s="477"/>
      <c r="L73" s="477"/>
    </row>
    <row r="74" spans="2:12" ht="15" customHeight="1" x14ac:dyDescent="0.25">
      <c r="B74" s="377" t="s">
        <v>536</v>
      </c>
      <c r="E74" s="68">
        <f>FCFF!H46</f>
        <v>1912</v>
      </c>
      <c r="F74" s="68">
        <f>FCFF!N46</f>
        <v>2177</v>
      </c>
      <c r="G74" s="418">
        <f>FCFF!T46</f>
        <v>2290</v>
      </c>
      <c r="H74" s="472">
        <f>+H75*H68</f>
        <v>0</v>
      </c>
      <c r="I74" s="472">
        <f t="shared" ref="I74:L74" si="12">+I75*I68</f>
        <v>0</v>
      </c>
      <c r="J74" s="472">
        <f t="shared" si="12"/>
        <v>0</v>
      </c>
      <c r="K74" s="472">
        <f t="shared" si="12"/>
        <v>0</v>
      </c>
      <c r="L74" s="472">
        <f t="shared" si="12"/>
        <v>0</v>
      </c>
    </row>
    <row r="75" spans="2:12" ht="15" customHeight="1" x14ac:dyDescent="0.25">
      <c r="B75" s="31" t="s">
        <v>537</v>
      </c>
      <c r="E75" s="308">
        <f>E74/E68</f>
        <v>0.11091130576019491</v>
      </c>
      <c r="F75" s="308">
        <f t="shared" ref="F75:G75" si="13">F74/F68</f>
        <v>9.249660095173351E-2</v>
      </c>
      <c r="G75" s="416">
        <f t="shared" si="13"/>
        <v>0.10935485411393916</v>
      </c>
      <c r="H75" s="473"/>
      <c r="I75" s="473"/>
      <c r="J75" s="473"/>
      <c r="K75" s="473"/>
      <c r="L75" s="473"/>
    </row>
    <row r="76" spans="2:12" ht="15" customHeight="1" x14ac:dyDescent="0.25">
      <c r="B76" s="31"/>
      <c r="E76" s="66"/>
      <c r="F76" s="66"/>
      <c r="G76" s="417"/>
      <c r="H76" s="432"/>
      <c r="I76" s="432"/>
      <c r="J76" s="432"/>
      <c r="K76" s="432"/>
      <c r="L76" s="432"/>
    </row>
    <row r="77" spans="2:12" ht="15" customHeight="1" x14ac:dyDescent="0.25">
      <c r="B77" s="377" t="s">
        <v>538</v>
      </c>
      <c r="E77" s="68">
        <f>FCFF!H49</f>
        <v>0</v>
      </c>
      <c r="F77" s="68">
        <f>FCFF!N49</f>
        <v>0</v>
      </c>
      <c r="G77" s="418">
        <f>FCFF!T49</f>
        <v>0</v>
      </c>
      <c r="H77" s="472">
        <f>+H80+H83</f>
        <v>0</v>
      </c>
      <c r="I77" s="472">
        <f t="shared" ref="I77:L77" si="14">+I80+I83</f>
        <v>0</v>
      </c>
      <c r="J77" s="472">
        <f t="shared" si="14"/>
        <v>0</v>
      </c>
      <c r="K77" s="472">
        <f t="shared" si="14"/>
        <v>0</v>
      </c>
      <c r="L77" s="472">
        <f t="shared" si="14"/>
        <v>0</v>
      </c>
    </row>
    <row r="78" spans="2:12" s="457" customFormat="1" ht="15" customHeight="1" x14ac:dyDescent="0.25">
      <c r="B78" s="31" t="s">
        <v>539</v>
      </c>
      <c r="C78" s="26"/>
      <c r="D78" s="26"/>
      <c r="E78" s="308">
        <f>E77/(E111+E114)</f>
        <v>0</v>
      </c>
      <c r="F78" s="308">
        <f>F77/(F111+F114)</f>
        <v>0</v>
      </c>
      <c r="G78" s="416">
        <f>G77/(G111+G114)</f>
        <v>0</v>
      </c>
      <c r="H78" s="308">
        <f t="shared" ref="H78:L78" si="15">H77/(H111+H114)</f>
        <v>0</v>
      </c>
      <c r="I78" s="308">
        <f t="shared" si="15"/>
        <v>0</v>
      </c>
      <c r="J78" s="308">
        <f t="shared" si="15"/>
        <v>0</v>
      </c>
      <c r="K78" s="308">
        <f t="shared" si="15"/>
        <v>0</v>
      </c>
      <c r="L78" s="308">
        <f t="shared" si="15"/>
        <v>0</v>
      </c>
    </row>
    <row r="79" spans="2:12" ht="15" customHeight="1" x14ac:dyDescent="0.25">
      <c r="B79" s="31"/>
      <c r="E79" s="308"/>
      <c r="F79" s="308"/>
      <c r="G79" s="416"/>
      <c r="H79" s="479"/>
      <c r="I79" s="479"/>
      <c r="J79" s="479"/>
      <c r="K79" s="479"/>
      <c r="L79" s="479"/>
    </row>
    <row r="80" spans="2:12" ht="15" customHeight="1" x14ac:dyDescent="0.25">
      <c r="B80" s="480" t="s">
        <v>540</v>
      </c>
      <c r="E80" s="68">
        <f>FCFF!H52</f>
        <v>0</v>
      </c>
      <c r="F80" s="68">
        <f>FCFF!N52</f>
        <v>0</v>
      </c>
      <c r="G80" s="418">
        <f>FCFF!T52</f>
        <v>0</v>
      </c>
      <c r="H80" s="481">
        <f>H81*G111</f>
        <v>0</v>
      </c>
      <c r="I80" s="481">
        <f t="shared" ref="I80:L80" si="16">I81*H111</f>
        <v>0</v>
      </c>
      <c r="J80" s="481">
        <f t="shared" si="16"/>
        <v>0</v>
      </c>
      <c r="K80" s="481">
        <f t="shared" si="16"/>
        <v>0</v>
      </c>
      <c r="L80" s="481">
        <f t="shared" si="16"/>
        <v>0</v>
      </c>
    </row>
    <row r="81" spans="2:12" ht="15" customHeight="1" x14ac:dyDescent="0.25">
      <c r="B81" s="302" t="s">
        <v>541</v>
      </c>
      <c r="E81" s="308">
        <f>E80/E111</f>
        <v>0</v>
      </c>
      <c r="F81" s="308">
        <f>FCFF!N53</f>
        <v>0</v>
      </c>
      <c r="G81" s="416">
        <f>FCFF!T53</f>
        <v>0</v>
      </c>
      <c r="H81" s="473"/>
      <c r="I81" s="473"/>
      <c r="J81" s="473"/>
      <c r="K81" s="473"/>
      <c r="L81" s="473"/>
    </row>
    <row r="82" spans="2:12" ht="15" customHeight="1" x14ac:dyDescent="0.25">
      <c r="B82" s="31"/>
      <c r="E82" s="308"/>
      <c r="F82" s="308"/>
      <c r="G82" s="416"/>
    </row>
    <row r="83" spans="2:12" ht="15" customHeight="1" x14ac:dyDescent="0.25">
      <c r="B83" s="480" t="s">
        <v>542</v>
      </c>
      <c r="E83" s="68">
        <f>FCFF!H55</f>
        <v>0</v>
      </c>
      <c r="F83" s="68">
        <f>FCFF!N55</f>
        <v>0</v>
      </c>
      <c r="G83" s="418">
        <f>FCFF!T55</f>
        <v>0</v>
      </c>
      <c r="H83" s="472">
        <f>H84*G114</f>
        <v>0</v>
      </c>
      <c r="I83" s="472">
        <f t="shared" ref="I83:L83" si="17">I84*H114</f>
        <v>0</v>
      </c>
      <c r="J83" s="472">
        <f t="shared" si="17"/>
        <v>0</v>
      </c>
      <c r="K83" s="472">
        <f t="shared" si="17"/>
        <v>0</v>
      </c>
      <c r="L83" s="472">
        <f t="shared" si="17"/>
        <v>0</v>
      </c>
    </row>
    <row r="84" spans="2:12" ht="15" customHeight="1" x14ac:dyDescent="0.25">
      <c r="B84" s="302" t="s">
        <v>543</v>
      </c>
      <c r="C84" s="482"/>
      <c r="D84" s="482"/>
      <c r="E84" s="308">
        <f>E83/E114</f>
        <v>0</v>
      </c>
      <c r="F84" s="308">
        <f>F83/F114</f>
        <v>0</v>
      </c>
      <c r="G84" s="416">
        <f>G83/G114</f>
        <v>0</v>
      </c>
      <c r="H84" s="473"/>
      <c r="I84" s="473"/>
      <c r="J84" s="473"/>
      <c r="K84" s="473"/>
      <c r="L84" s="474"/>
    </row>
    <row r="85" spans="2:12" ht="15" customHeight="1" x14ac:dyDescent="0.25">
      <c r="B85" s="483"/>
      <c r="C85" s="482"/>
      <c r="D85" s="482"/>
      <c r="E85" s="66"/>
      <c r="F85" s="66"/>
      <c r="G85" s="417"/>
      <c r="H85" s="475"/>
      <c r="I85" s="475"/>
      <c r="J85" s="475"/>
      <c r="K85" s="475"/>
      <c r="L85" s="475"/>
    </row>
    <row r="86" spans="2:12" ht="15" customHeight="1" x14ac:dyDescent="0.25">
      <c r="B86" s="377" t="s">
        <v>545</v>
      </c>
      <c r="C86" s="482"/>
      <c r="D86" s="482"/>
      <c r="E86" s="68">
        <f>FCFF!H61</f>
        <v>10036</v>
      </c>
      <c r="F86" s="68">
        <f>FCFF!N61</f>
        <v>15663</v>
      </c>
      <c r="G86" s="418">
        <f>FCFF!T61</f>
        <v>12802</v>
      </c>
      <c r="H86" s="472">
        <f>H68-H71-H74-H77</f>
        <v>350000</v>
      </c>
      <c r="I86" s="472">
        <f t="shared" ref="I86:L86" si="18">I68-I71-I74-I77</f>
        <v>352000</v>
      </c>
      <c r="J86" s="472">
        <f t="shared" si="18"/>
        <v>350000</v>
      </c>
      <c r="K86" s="472">
        <f t="shared" si="18"/>
        <v>352000</v>
      </c>
      <c r="L86" s="472">
        <f t="shared" si="18"/>
        <v>350000</v>
      </c>
    </row>
    <row r="87" spans="2:12" ht="15" customHeight="1" x14ac:dyDescent="0.25">
      <c r="B87" s="31" t="s">
        <v>531</v>
      </c>
      <c r="C87" s="482"/>
      <c r="D87" s="482"/>
      <c r="E87" s="308">
        <f t="shared" ref="E87:L87" si="19">E86/E59</f>
        <v>0.19088194457652585</v>
      </c>
      <c r="F87" s="308">
        <f t="shared" si="19"/>
        <v>0.25571827398736346</v>
      </c>
      <c r="G87" s="416">
        <f t="shared" si="19"/>
        <v>0.24754428030010056</v>
      </c>
      <c r="H87" s="308">
        <f t="shared" si="19"/>
        <v>1</v>
      </c>
      <c r="I87" s="308">
        <f t="shared" si="19"/>
        <v>1</v>
      </c>
      <c r="J87" s="308">
        <f t="shared" si="19"/>
        <v>1</v>
      </c>
      <c r="K87" s="308">
        <f t="shared" si="19"/>
        <v>1</v>
      </c>
      <c r="L87" s="308">
        <f t="shared" si="19"/>
        <v>1</v>
      </c>
    </row>
    <row r="88" spans="2:12" ht="15" customHeight="1" x14ac:dyDescent="0.25">
      <c r="B88" s="31"/>
      <c r="C88" s="482"/>
      <c r="D88" s="482"/>
      <c r="E88" s="475"/>
      <c r="F88" s="475"/>
      <c r="G88" s="484"/>
      <c r="H88" s="475"/>
      <c r="I88" s="475"/>
      <c r="J88" s="475"/>
      <c r="K88" s="475"/>
      <c r="L88" s="475"/>
    </row>
    <row r="89" spans="2:12" ht="15" customHeight="1" x14ac:dyDescent="0.25">
      <c r="B89" s="377" t="s">
        <v>668</v>
      </c>
      <c r="C89" s="482"/>
      <c r="D89" s="482"/>
      <c r="E89" s="68">
        <f>IS!T38</f>
        <v>1062</v>
      </c>
      <c r="F89" s="68">
        <f>IS!Z38</f>
        <v>2453</v>
      </c>
      <c r="G89" s="418">
        <f>IS!AF38</f>
        <v>3348</v>
      </c>
      <c r="H89" s="66">
        <f>+H164</f>
        <v>0</v>
      </c>
      <c r="I89" s="66">
        <f t="shared" ref="I89:L89" si="20">+I164</f>
        <v>0</v>
      </c>
      <c r="J89" s="66">
        <f t="shared" si="20"/>
        <v>0</v>
      </c>
      <c r="K89" s="66">
        <f t="shared" si="20"/>
        <v>0</v>
      </c>
      <c r="L89" s="66">
        <f t="shared" si="20"/>
        <v>0</v>
      </c>
    </row>
    <row r="90" spans="2:12" ht="15" customHeight="1" x14ac:dyDescent="0.25">
      <c r="B90" s="377"/>
      <c r="C90" s="482"/>
      <c r="D90" s="482"/>
      <c r="E90" s="475"/>
      <c r="F90" s="475"/>
      <c r="G90" s="484"/>
      <c r="H90" s="475"/>
      <c r="I90" s="475"/>
      <c r="J90" s="475"/>
      <c r="K90" s="475"/>
      <c r="L90" s="475"/>
    </row>
    <row r="91" spans="2:12" ht="15" customHeight="1" x14ac:dyDescent="0.25">
      <c r="B91" s="377" t="s">
        <v>669</v>
      </c>
      <c r="C91" s="482"/>
      <c r="D91" s="482"/>
      <c r="E91" s="68">
        <f>IS!T42</f>
        <v>8974</v>
      </c>
      <c r="F91" s="68">
        <f>IS!Z42</f>
        <v>13210</v>
      </c>
      <c r="G91" s="418">
        <f>IS!AF42</f>
        <v>9459</v>
      </c>
      <c r="H91" s="66">
        <f>+H86-H89</f>
        <v>350000</v>
      </c>
      <c r="I91" s="66">
        <f t="shared" ref="I91:L91" si="21">+I86-I89</f>
        <v>352000</v>
      </c>
      <c r="J91" s="66">
        <f t="shared" si="21"/>
        <v>350000</v>
      </c>
      <c r="K91" s="66">
        <f t="shared" si="21"/>
        <v>352000</v>
      </c>
      <c r="L91" s="66">
        <f t="shared" si="21"/>
        <v>350000</v>
      </c>
    </row>
    <row r="92" spans="2:12" ht="15" customHeight="1" x14ac:dyDescent="0.25">
      <c r="B92" s="31" t="s">
        <v>531</v>
      </c>
      <c r="C92" s="482"/>
      <c r="D92" s="482"/>
      <c r="E92" s="475">
        <f t="shared" ref="E92:L92" si="22">E91/E59</f>
        <v>0.17068299826920516</v>
      </c>
      <c r="F92" s="475">
        <f t="shared" si="22"/>
        <v>0.21566994824574293</v>
      </c>
      <c r="G92" s="485">
        <f t="shared" si="22"/>
        <v>0.18290277670353469</v>
      </c>
      <c r="H92" s="475">
        <f t="shared" si="22"/>
        <v>1</v>
      </c>
      <c r="I92" s="475">
        <f t="shared" si="22"/>
        <v>1</v>
      </c>
      <c r="J92" s="475">
        <f t="shared" si="22"/>
        <v>1</v>
      </c>
      <c r="K92" s="475">
        <f t="shared" si="22"/>
        <v>1</v>
      </c>
      <c r="L92" s="475">
        <f t="shared" si="22"/>
        <v>1</v>
      </c>
    </row>
    <row r="93" spans="2:12" ht="15" customHeight="1" x14ac:dyDescent="0.25">
      <c r="B93" s="76"/>
      <c r="C93" s="482"/>
      <c r="D93" s="482"/>
      <c r="E93" s="475"/>
      <c r="F93" s="475"/>
      <c r="G93" s="485"/>
      <c r="H93" s="475"/>
      <c r="I93" s="475"/>
      <c r="J93" s="475"/>
      <c r="K93" s="475"/>
      <c r="L93" s="475"/>
    </row>
    <row r="94" spans="2:12" ht="15" customHeight="1" x14ac:dyDescent="0.25">
      <c r="B94" s="377" t="s">
        <v>670</v>
      </c>
      <c r="C94" s="482"/>
      <c r="D94" s="482"/>
      <c r="E94" s="68">
        <f>IS!T45</f>
        <v>1974.87</v>
      </c>
      <c r="F94" s="68">
        <f>IS!Z45</f>
        <v>2911.11</v>
      </c>
      <c r="G94" s="418">
        <f>IS!AF45</f>
        <v>2181</v>
      </c>
      <c r="H94" s="66">
        <f>H95*H91</f>
        <v>0</v>
      </c>
      <c r="I94" s="66">
        <f t="shared" ref="I94:L94" si="23">I95*I91</f>
        <v>0</v>
      </c>
      <c r="J94" s="66">
        <f t="shared" si="23"/>
        <v>0</v>
      </c>
      <c r="K94" s="66">
        <f t="shared" si="23"/>
        <v>0</v>
      </c>
      <c r="L94" s="66">
        <f t="shared" si="23"/>
        <v>0</v>
      </c>
    </row>
    <row r="95" spans="2:12" ht="15" customHeight="1" x14ac:dyDescent="0.25">
      <c r="B95" s="31" t="s">
        <v>671</v>
      </c>
      <c r="C95" s="482"/>
      <c r="D95" s="482"/>
      <c r="E95" s="475">
        <f>E94/E91</f>
        <v>0.22006574548696231</v>
      </c>
      <c r="F95" s="475">
        <f t="shared" ref="F95:G95" si="24">F94/F91</f>
        <v>0.22037168811506436</v>
      </c>
      <c r="G95" s="486">
        <f t="shared" si="24"/>
        <v>0.23057405645417064</v>
      </c>
      <c r="H95" s="473"/>
      <c r="I95" s="473"/>
      <c r="J95" s="473"/>
      <c r="K95" s="473"/>
      <c r="L95" s="474"/>
    </row>
    <row r="96" spans="2:12" ht="15" customHeight="1" x14ac:dyDescent="0.25">
      <c r="G96" s="205"/>
    </row>
    <row r="97" spans="1:12" ht="15" customHeight="1" x14ac:dyDescent="0.25">
      <c r="B97" s="377" t="s">
        <v>672</v>
      </c>
      <c r="C97" s="482"/>
      <c r="D97" s="482"/>
      <c r="E97" s="68">
        <f>IS!T47</f>
        <v>7009.13</v>
      </c>
      <c r="F97" s="68">
        <f>IS!Z47</f>
        <v>10305.89</v>
      </c>
      <c r="G97" s="418">
        <f>IS!AF47</f>
        <v>7254</v>
      </c>
      <c r="H97" s="66">
        <f>H91-H94</f>
        <v>350000</v>
      </c>
      <c r="I97" s="66">
        <f t="shared" ref="I97:L97" si="25">I91-I94</f>
        <v>352000</v>
      </c>
      <c r="J97" s="66">
        <f t="shared" si="25"/>
        <v>350000</v>
      </c>
      <c r="K97" s="66">
        <f t="shared" si="25"/>
        <v>352000</v>
      </c>
      <c r="L97" s="66">
        <f t="shared" si="25"/>
        <v>350000</v>
      </c>
    </row>
    <row r="98" spans="1:12" ht="15" customHeight="1" x14ac:dyDescent="0.25">
      <c r="B98" s="31" t="s">
        <v>531</v>
      </c>
      <c r="C98" s="482"/>
      <c r="D98" s="482"/>
      <c r="E98" s="475">
        <f t="shared" ref="E98:L98" si="26">E97/E59</f>
        <v>0.13331171424767485</v>
      </c>
      <c r="F98" s="475">
        <f t="shared" si="26"/>
        <v>0.16825668152356696</v>
      </c>
      <c r="G98" s="485">
        <f t="shared" si="26"/>
        <v>0.1402660685281151</v>
      </c>
      <c r="H98" s="475">
        <f t="shared" si="26"/>
        <v>1</v>
      </c>
      <c r="I98" s="475">
        <f t="shared" si="26"/>
        <v>1</v>
      </c>
      <c r="J98" s="475">
        <f t="shared" si="26"/>
        <v>1</v>
      </c>
      <c r="K98" s="475">
        <f t="shared" si="26"/>
        <v>1</v>
      </c>
      <c r="L98" s="475">
        <f t="shared" si="26"/>
        <v>1</v>
      </c>
    </row>
    <row r="99" spans="1:12" ht="15" customHeight="1" x14ac:dyDescent="0.25">
      <c r="B99" s="31"/>
      <c r="C99" s="482"/>
      <c r="D99" s="482"/>
      <c r="E99" s="487"/>
      <c r="F99" s="487"/>
      <c r="G99" s="488"/>
      <c r="H99" s="475"/>
      <c r="I99" s="475"/>
      <c r="J99" s="475"/>
      <c r="K99" s="475"/>
      <c r="L99" s="475"/>
    </row>
    <row r="100" spans="1:12" ht="15" customHeight="1" x14ac:dyDescent="0.25">
      <c r="A100" s="382" t="s">
        <v>70</v>
      </c>
      <c r="B100" s="374" t="s">
        <v>548</v>
      </c>
      <c r="C100" s="32"/>
      <c r="D100" s="32"/>
      <c r="E100" s="452">
        <f t="shared" ref="E100:L100" si="27">E57</f>
        <v>2022</v>
      </c>
      <c r="F100" s="452">
        <f t="shared" si="27"/>
        <v>2023</v>
      </c>
      <c r="G100" s="452">
        <f t="shared" si="27"/>
        <v>2024</v>
      </c>
      <c r="H100" s="453">
        <f t="shared" si="27"/>
        <v>2025</v>
      </c>
      <c r="I100" s="453">
        <f t="shared" si="27"/>
        <v>2026</v>
      </c>
      <c r="J100" s="453">
        <f t="shared" si="27"/>
        <v>2027</v>
      </c>
      <c r="K100" s="453">
        <f t="shared" si="27"/>
        <v>2028</v>
      </c>
      <c r="L100" s="453">
        <f t="shared" si="27"/>
        <v>2029</v>
      </c>
    </row>
    <row r="101" spans="1:12" ht="4.3499999999999996" customHeight="1" x14ac:dyDescent="0.25">
      <c r="B101" s="489"/>
      <c r="C101" s="36"/>
      <c r="D101" s="36"/>
      <c r="E101" s="36"/>
      <c r="F101" s="36"/>
      <c r="G101" s="36"/>
      <c r="H101" s="36"/>
      <c r="I101" s="36"/>
      <c r="J101" s="36"/>
      <c r="K101" s="36"/>
      <c r="L101" s="36"/>
    </row>
    <row r="102" spans="1:12" ht="15" customHeight="1" x14ac:dyDescent="0.25">
      <c r="B102" s="377" t="s">
        <v>577</v>
      </c>
      <c r="E102" s="68">
        <f>FCFF!H70</f>
        <v>6410</v>
      </c>
      <c r="F102" s="68">
        <f>FCFF!N70</f>
        <v>7739</v>
      </c>
      <c r="G102" s="418">
        <f>FCFF!T70</f>
        <v>5326</v>
      </c>
      <c r="H102" s="490">
        <f>+H103*H59/365</f>
        <v>0</v>
      </c>
      <c r="I102" s="490">
        <f t="shared" ref="I102:L102" si="28">+I103*I59/365</f>
        <v>0</v>
      </c>
      <c r="J102" s="490">
        <f t="shared" si="28"/>
        <v>0</v>
      </c>
      <c r="K102" s="490">
        <f>+K103*K59/366</f>
        <v>0</v>
      </c>
      <c r="L102" s="490">
        <f t="shared" si="28"/>
        <v>0</v>
      </c>
    </row>
    <row r="103" spans="1:12" ht="15" customHeight="1" x14ac:dyDescent="0.25">
      <c r="B103" s="31" t="s">
        <v>578</v>
      </c>
      <c r="E103" s="324">
        <f>FCFF!H71</f>
        <v>44.499495977328486</v>
      </c>
      <c r="F103" s="324">
        <f>FCFF!N71</f>
        <v>46.117369512334491</v>
      </c>
      <c r="G103" s="419">
        <f>FCFF!T71</f>
        <v>37.589720782736485</v>
      </c>
      <c r="H103" s="491"/>
      <c r="I103" s="491"/>
      <c r="J103" s="491"/>
      <c r="K103" s="491"/>
      <c r="L103" s="491"/>
    </row>
    <row r="104" spans="1:12" ht="15" customHeight="1" x14ac:dyDescent="0.25">
      <c r="B104" s="377"/>
      <c r="E104" s="97"/>
      <c r="F104" s="97"/>
      <c r="G104" s="420"/>
      <c r="H104" s="490"/>
      <c r="I104" s="490"/>
      <c r="J104" s="490"/>
      <c r="K104" s="490"/>
      <c r="L104" s="490"/>
    </row>
    <row r="105" spans="1:12" ht="15" customHeight="1" x14ac:dyDescent="0.25">
      <c r="B105" s="377" t="s">
        <v>579</v>
      </c>
      <c r="E105" s="68">
        <f>FCFF!H73</f>
        <v>8495</v>
      </c>
      <c r="F105" s="68">
        <f>FCFF!N73</f>
        <v>8160</v>
      </c>
      <c r="G105" s="418">
        <f>FCFF!T73</f>
        <v>7093</v>
      </c>
      <c r="H105" s="490">
        <f>+H106*H62/365</f>
        <v>0</v>
      </c>
      <c r="I105" s="490">
        <f t="shared" ref="I105:L105" si="29">+I106*I62/365</f>
        <v>0</v>
      </c>
      <c r="J105" s="490">
        <f t="shared" si="29"/>
        <v>0</v>
      </c>
      <c r="K105" s="490">
        <f>+K106*K62/366</f>
        <v>0</v>
      </c>
      <c r="L105" s="490">
        <f t="shared" si="29"/>
        <v>0</v>
      </c>
    </row>
    <row r="106" spans="1:12" ht="15" customHeight="1" x14ac:dyDescent="0.25">
      <c r="B106" s="31" t="s">
        <v>580</v>
      </c>
      <c r="E106" s="324">
        <f>FCFF!H74</f>
        <v>87.743364083988908</v>
      </c>
      <c r="F106" s="324">
        <f>FCFF!N74</f>
        <v>78.971231605462009</v>
      </c>
      <c r="G106" s="419">
        <f>FCFF!T74</f>
        <v>84.124939073923642</v>
      </c>
      <c r="H106" s="491"/>
      <c r="I106" s="491"/>
      <c r="J106" s="491"/>
      <c r="K106" s="491"/>
      <c r="L106" s="491"/>
    </row>
    <row r="107" spans="1:12" ht="15" customHeight="1" x14ac:dyDescent="0.25">
      <c r="B107" s="377"/>
      <c r="E107" s="97"/>
      <c r="F107" s="97"/>
      <c r="G107" s="420"/>
    </row>
    <row r="108" spans="1:12" ht="15" customHeight="1" x14ac:dyDescent="0.25">
      <c r="B108" s="377" t="s">
        <v>581</v>
      </c>
      <c r="E108" s="68">
        <f>FCFF!H76</f>
        <v>2492</v>
      </c>
      <c r="F108" s="68">
        <f>FCFF!N76</f>
        <v>2623</v>
      </c>
      <c r="G108" s="418">
        <f>FCFF!T76</f>
        <v>5489</v>
      </c>
      <c r="H108" s="490">
        <f>+H109*H59</f>
        <v>0</v>
      </c>
      <c r="I108" s="490">
        <f t="shared" ref="I108:L108" si="30">+I109*I59</f>
        <v>0</v>
      </c>
      <c r="J108" s="490">
        <f t="shared" si="30"/>
        <v>0</v>
      </c>
      <c r="K108" s="490">
        <f t="shared" si="30"/>
        <v>0</v>
      </c>
      <c r="L108" s="490">
        <f t="shared" si="30"/>
        <v>0</v>
      </c>
    </row>
    <row r="109" spans="1:12" s="457" customFormat="1" ht="15" customHeight="1" x14ac:dyDescent="0.25">
      <c r="A109" s="382"/>
      <c r="B109" s="31" t="s">
        <v>531</v>
      </c>
      <c r="C109" s="26"/>
      <c r="D109" s="26"/>
      <c r="E109" s="308">
        <f>FCFF!H77</f>
        <v>4.7397150845426707E-2</v>
      </c>
      <c r="F109" s="308">
        <f>FCFF!N77</f>
        <v>4.2823790631989683E-2</v>
      </c>
      <c r="G109" s="416">
        <f>FCFF!T77</f>
        <v>0.10613736561218966</v>
      </c>
      <c r="H109" s="473"/>
      <c r="I109" s="473"/>
      <c r="J109" s="473"/>
      <c r="K109" s="473"/>
      <c r="L109" s="473"/>
    </row>
    <row r="110" spans="1:12" ht="15" customHeight="1" x14ac:dyDescent="0.25">
      <c r="B110" s="377"/>
      <c r="E110" s="97"/>
      <c r="F110" s="97"/>
      <c r="G110" s="420"/>
      <c r="H110" s="490"/>
      <c r="I110" s="490"/>
      <c r="J110" s="490"/>
      <c r="K110" s="490"/>
      <c r="L110" s="490"/>
    </row>
    <row r="111" spans="1:12" ht="15" customHeight="1" x14ac:dyDescent="0.25">
      <c r="B111" s="377" t="s">
        <v>582</v>
      </c>
      <c r="E111" s="68">
        <f>FCFF!H79</f>
        <v>12679</v>
      </c>
      <c r="F111" s="68">
        <f>FCFF!N79</f>
        <v>13796</v>
      </c>
      <c r="G111" s="418">
        <f>FCFF!T79</f>
        <v>15031</v>
      </c>
      <c r="H111" s="66">
        <f>+G111-H112*H131-H80-H65</f>
        <v>15031</v>
      </c>
      <c r="I111" s="66">
        <f t="shared" ref="I111:L111" si="31">+H111-I112*I131-I80-I65</f>
        <v>15031</v>
      </c>
      <c r="J111" s="66">
        <f t="shared" si="31"/>
        <v>15031</v>
      </c>
      <c r="K111" s="66">
        <f t="shared" si="31"/>
        <v>15031</v>
      </c>
      <c r="L111" s="66">
        <f t="shared" si="31"/>
        <v>15031</v>
      </c>
    </row>
    <row r="112" spans="1:12" ht="15" customHeight="1" x14ac:dyDescent="0.25">
      <c r="B112" s="31" t="s">
        <v>583</v>
      </c>
      <c r="E112" s="308">
        <f>FCFF!H80</f>
        <v>1.5520094337828328E-2</v>
      </c>
      <c r="F112" s="308">
        <f>FCFF!N80</f>
        <v>2.4489396091492383E-2</v>
      </c>
      <c r="G112" s="416">
        <f>FCFF!T80</f>
        <v>3.093820094361513E-2</v>
      </c>
      <c r="H112" s="473"/>
      <c r="I112" s="473"/>
      <c r="J112" s="473"/>
      <c r="K112" s="473"/>
      <c r="L112" s="473"/>
    </row>
    <row r="113" spans="1:12" ht="15" customHeight="1" x14ac:dyDescent="0.25">
      <c r="G113" s="205"/>
    </row>
    <row r="114" spans="1:12" ht="15" customHeight="1" x14ac:dyDescent="0.25">
      <c r="B114" s="377" t="s">
        <v>673</v>
      </c>
      <c r="E114" s="68">
        <f>FCFF!H82</f>
        <v>4905</v>
      </c>
      <c r="F114" s="68">
        <f>FCFF!N82</f>
        <v>5033</v>
      </c>
      <c r="G114" s="418">
        <f>FCFF!T82</f>
        <v>4958</v>
      </c>
      <c r="H114" s="66">
        <f>+G114+H115*H74-(1-H112)*H131-H83</f>
        <v>4958</v>
      </c>
      <c r="I114" s="66">
        <f>+H114+I115*I74-(1-I112)*I131-I83</f>
        <v>4958</v>
      </c>
      <c r="J114" s="66">
        <f>+I114+J115*J74-(1-J112)*J131-J83</f>
        <v>4958</v>
      </c>
      <c r="K114" s="66">
        <f>+J114+K115*K74-(1-K112)*K131-K83</f>
        <v>4958</v>
      </c>
      <c r="L114" s="66">
        <f>+K114+L115*L74-(1-L112)*L131-L83</f>
        <v>4958</v>
      </c>
    </row>
    <row r="115" spans="1:12" ht="15" customHeight="1" x14ac:dyDescent="0.25">
      <c r="B115" s="31" t="s">
        <v>674</v>
      </c>
      <c r="E115" s="308">
        <f>FCFF!H83</f>
        <v>0</v>
      </c>
      <c r="F115" s="308">
        <f>FCFF!N83</f>
        <v>0</v>
      </c>
      <c r="G115" s="416">
        <f>FCFF!T83</f>
        <v>0</v>
      </c>
      <c r="H115" s="473"/>
      <c r="I115" s="473"/>
      <c r="J115" s="473"/>
      <c r="K115" s="473"/>
      <c r="L115" s="473"/>
    </row>
    <row r="116" spans="1:12" s="457" customFormat="1" ht="15" customHeight="1" x14ac:dyDescent="0.25">
      <c r="A116" s="382"/>
      <c r="B116" s="97"/>
      <c r="C116" s="22"/>
      <c r="D116" s="22"/>
      <c r="E116" s="97"/>
      <c r="F116" s="97"/>
      <c r="G116" s="420"/>
      <c r="H116" s="490"/>
      <c r="I116" s="490"/>
      <c r="J116" s="490"/>
      <c r="K116" s="490"/>
      <c r="L116" s="490"/>
    </row>
    <row r="117" spans="1:12" ht="15" customHeight="1" x14ac:dyDescent="0.25">
      <c r="B117" s="377" t="s">
        <v>586</v>
      </c>
      <c r="E117" s="68">
        <f>FCFF!H85</f>
        <v>12333</v>
      </c>
      <c r="F117" s="68">
        <f>FCFF!N85</f>
        <v>13592</v>
      </c>
      <c r="G117" s="418">
        <f>FCFF!T85</f>
        <v>12452</v>
      </c>
      <c r="H117" s="66">
        <f>+H118*H62/365</f>
        <v>0</v>
      </c>
      <c r="I117" s="66">
        <f t="shared" ref="I117:L117" si="32">+I118*I62/365</f>
        <v>0</v>
      </c>
      <c r="J117" s="66">
        <f t="shared" si="32"/>
        <v>0</v>
      </c>
      <c r="K117" s="66">
        <f>+K118*K62/366</f>
        <v>0</v>
      </c>
      <c r="L117" s="66">
        <f t="shared" si="32"/>
        <v>0</v>
      </c>
    </row>
    <row r="118" spans="1:12" ht="15" customHeight="1" x14ac:dyDescent="0.25">
      <c r="B118" s="31" t="s">
        <v>587</v>
      </c>
      <c r="E118" s="324">
        <f>FCFF!H86</f>
        <v>127.38539249533081</v>
      </c>
      <c r="F118" s="324">
        <f>FCFF!N86</f>
        <v>131.54129656635291</v>
      </c>
      <c r="G118" s="419">
        <f>FCFF!T86</f>
        <v>147.68415922014623</v>
      </c>
      <c r="H118" s="491"/>
      <c r="I118" s="491"/>
      <c r="J118" s="491"/>
      <c r="K118" s="491"/>
      <c r="L118" s="491"/>
    </row>
    <row r="119" spans="1:12" ht="15" customHeight="1" x14ac:dyDescent="0.25">
      <c r="B119" s="377"/>
      <c r="E119" s="97"/>
      <c r="F119" s="97"/>
      <c r="G119" s="420"/>
      <c r="H119" s="492"/>
      <c r="I119" s="492"/>
      <c r="J119" s="492"/>
      <c r="K119" s="492"/>
      <c r="L119" s="492"/>
    </row>
    <row r="120" spans="1:12" ht="15" customHeight="1" x14ac:dyDescent="0.25">
      <c r="B120" s="377" t="s">
        <v>588</v>
      </c>
      <c r="E120" s="68">
        <f>FCFF!H88</f>
        <v>2187</v>
      </c>
      <c r="F120" s="68">
        <f>FCFF!N88</f>
        <v>2257</v>
      </c>
      <c r="G120" s="418">
        <f>FCFF!T88</f>
        <v>1821</v>
      </c>
      <c r="H120" s="66">
        <f>+H121*H71</f>
        <v>0</v>
      </c>
      <c r="I120" s="66">
        <f t="shared" ref="I120:L120" si="33">+I121*I71</f>
        <v>0</v>
      </c>
      <c r="J120" s="66">
        <f t="shared" si="33"/>
        <v>0</v>
      </c>
      <c r="K120" s="66">
        <f t="shared" si="33"/>
        <v>0</v>
      </c>
      <c r="L120" s="66">
        <f t="shared" si="33"/>
        <v>0</v>
      </c>
    </row>
    <row r="121" spans="1:12" ht="15" customHeight="1" x14ac:dyDescent="0.25">
      <c r="B121" s="31" t="s">
        <v>589</v>
      </c>
      <c r="E121" s="308">
        <f>FCFF!H89</f>
        <v>0.56614030546207605</v>
      </c>
      <c r="F121" s="308">
        <f>FCFF!N89</f>
        <v>0.49118607181719259</v>
      </c>
      <c r="G121" s="416">
        <f>FCFF!T89</f>
        <v>0.37623966942148762</v>
      </c>
      <c r="H121" s="473"/>
      <c r="I121" s="473"/>
      <c r="J121" s="473"/>
      <c r="K121" s="473"/>
      <c r="L121" s="473"/>
    </row>
    <row r="122" spans="1:12" ht="15" customHeight="1" x14ac:dyDescent="0.25">
      <c r="B122" s="377"/>
      <c r="C122" s="482"/>
      <c r="D122" s="482"/>
      <c r="E122" s="475"/>
      <c r="F122" s="475"/>
      <c r="G122" s="485"/>
      <c r="H122" s="493"/>
      <c r="I122" s="493"/>
      <c r="J122" s="493"/>
      <c r="K122" s="493"/>
      <c r="L122" s="493"/>
    </row>
    <row r="123" spans="1:12" ht="15" customHeight="1" x14ac:dyDescent="0.25">
      <c r="A123" s="382" t="s">
        <v>70</v>
      </c>
      <c r="B123" s="374" t="s">
        <v>675</v>
      </c>
      <c r="C123" s="374"/>
      <c r="D123" s="374"/>
      <c r="E123" s="452">
        <f t="shared" ref="E123:L123" si="34">E57</f>
        <v>2022</v>
      </c>
      <c r="F123" s="452">
        <f t="shared" si="34"/>
        <v>2023</v>
      </c>
      <c r="G123" s="452">
        <f t="shared" si="34"/>
        <v>2024</v>
      </c>
      <c r="H123" s="453">
        <f t="shared" si="34"/>
        <v>2025</v>
      </c>
      <c r="I123" s="453">
        <f t="shared" si="34"/>
        <v>2026</v>
      </c>
      <c r="J123" s="453">
        <f t="shared" si="34"/>
        <v>2027</v>
      </c>
      <c r="K123" s="453">
        <f t="shared" si="34"/>
        <v>2028</v>
      </c>
      <c r="L123" s="453">
        <f t="shared" si="34"/>
        <v>2029</v>
      </c>
    </row>
    <row r="124" spans="1:12" ht="4.3499999999999996" customHeight="1" x14ac:dyDescent="0.25">
      <c r="B124" s="36"/>
      <c r="C124" s="36"/>
      <c r="D124" s="36"/>
      <c r="E124" s="494"/>
      <c r="F124" s="494"/>
      <c r="G124" s="494"/>
      <c r="H124" s="36"/>
      <c r="I124" s="36"/>
      <c r="J124" s="36"/>
      <c r="K124" s="36"/>
      <c r="L124" s="36"/>
    </row>
    <row r="125" spans="1:12" ht="15" customHeight="1" x14ac:dyDescent="0.25">
      <c r="B125" s="377" t="s">
        <v>538</v>
      </c>
      <c r="E125" s="68">
        <f>FCFF!H94</f>
        <v>1895</v>
      </c>
      <c r="F125" s="68">
        <f>FCFF!N94</f>
        <v>2004</v>
      </c>
      <c r="G125" s="418">
        <f>FCFF!T94</f>
        <v>2118</v>
      </c>
      <c r="H125" s="495">
        <f>+H77+H65</f>
        <v>0</v>
      </c>
      <c r="I125" s="495">
        <f t="shared" ref="I125:L125" si="35">+I77+I65</f>
        <v>0</v>
      </c>
      <c r="J125" s="495">
        <f t="shared" si="35"/>
        <v>0</v>
      </c>
      <c r="K125" s="495">
        <f t="shared" si="35"/>
        <v>0</v>
      </c>
      <c r="L125" s="495">
        <f t="shared" si="35"/>
        <v>0</v>
      </c>
    </row>
    <row r="126" spans="1:12" ht="15" customHeight="1" x14ac:dyDescent="0.25">
      <c r="B126" s="31" t="s">
        <v>539</v>
      </c>
      <c r="E126" s="308">
        <f>FCFF!H95</f>
        <v>0.10776842584167425</v>
      </c>
      <c r="F126" s="308">
        <f>FCFF!N95</f>
        <v>0.10643156832545542</v>
      </c>
      <c r="G126" s="416">
        <f>FCFF!T95</f>
        <v>0.10595827705237881</v>
      </c>
      <c r="H126" s="496">
        <f>+H125/(H111+H114)</f>
        <v>0</v>
      </c>
      <c r="I126" s="496">
        <f>+I125/(I111+I114)</f>
        <v>0</v>
      </c>
      <c r="J126" s="496">
        <f>+J125/(J111+J114)</f>
        <v>0</v>
      </c>
      <c r="K126" s="496">
        <f>+K125/(K111+K114)</f>
        <v>0</v>
      </c>
      <c r="L126" s="496">
        <f>+L125/(L111+L114)</f>
        <v>0</v>
      </c>
    </row>
    <row r="127" spans="1:12" s="344" customFormat="1" ht="15" customHeight="1" x14ac:dyDescent="0.25">
      <c r="A127" s="497"/>
      <c r="B127" s="97"/>
      <c r="C127" s="33"/>
      <c r="D127" s="33"/>
      <c r="E127" s="97"/>
      <c r="F127" s="97"/>
      <c r="G127" s="420"/>
      <c r="H127" s="33"/>
      <c r="I127" s="33"/>
      <c r="J127" s="33"/>
      <c r="K127" s="33"/>
      <c r="L127" s="33"/>
    </row>
    <row r="128" spans="1:12" ht="15" customHeight="1" x14ac:dyDescent="0.25">
      <c r="B128" s="377" t="s">
        <v>595</v>
      </c>
      <c r="E128" s="68">
        <f>FCFF!H103</f>
        <v>-3300</v>
      </c>
      <c r="F128" s="68">
        <f>FCFF!N103</f>
        <v>-3167</v>
      </c>
      <c r="G128" s="418">
        <f>FCFF!T103</f>
        <v>46</v>
      </c>
      <c r="H128" s="498">
        <f>-((H102+H105+H108-H117-H120)-(G102+G105+G108-G117-G120))</f>
        <v>3635</v>
      </c>
      <c r="I128" s="498">
        <f>-((I102+I105+I108-I117-I120)-(H102+H105+H108-H117-H120))</f>
        <v>0</v>
      </c>
      <c r="J128" s="498">
        <f>-((J102+J105+J108-J117-J120)-(I102+I105+I108-I117-I120))</f>
        <v>0</v>
      </c>
      <c r="K128" s="498">
        <f>-((K102+K105+K108-K117-K120)-(J102+J105+J108-J117-J120))</f>
        <v>0</v>
      </c>
      <c r="L128" s="498">
        <f>-((L102+L105+L108-L117-L120)-(K102+K105+K108-K117-K120))</f>
        <v>0</v>
      </c>
    </row>
    <row r="129" spans="1:12" ht="15" customHeight="1" x14ac:dyDescent="0.25">
      <c r="B129" s="31" t="s">
        <v>596</v>
      </c>
      <c r="E129" s="308">
        <f>FCFF!H104</f>
        <v>-7.4959113210975828E-2</v>
      </c>
      <c r="F129" s="308">
        <f>FCFF!N104</f>
        <v>-6.0235464176350874E-2</v>
      </c>
      <c r="G129" s="416">
        <f>FCFF!T104</f>
        <v>7.5100814680576639E-4</v>
      </c>
      <c r="H129" s="456">
        <f>H128/(H59-G59)</f>
        <v>1.2186372718617156E-2</v>
      </c>
      <c r="I129" s="456">
        <f>I128/(I59-H59)</f>
        <v>0</v>
      </c>
      <c r="J129" s="456">
        <f>J128/(J59-I59)</f>
        <v>0</v>
      </c>
      <c r="K129" s="456">
        <f>K128/(K59-J59)</f>
        <v>0</v>
      </c>
      <c r="L129" s="456">
        <f>L128/(L59-K59)</f>
        <v>0</v>
      </c>
    </row>
    <row r="130" spans="1:12" ht="15" customHeight="1" x14ac:dyDescent="0.25">
      <c r="B130" s="97"/>
      <c r="E130" s="97"/>
      <c r="F130" s="97"/>
      <c r="G130" s="420"/>
      <c r="H130" s="499"/>
      <c r="I130" s="499"/>
      <c r="J130" s="499"/>
      <c r="K130" s="499"/>
      <c r="L130" s="499"/>
    </row>
    <row r="131" spans="1:12" ht="15" customHeight="1" x14ac:dyDescent="0.25">
      <c r="B131" s="377" t="s">
        <v>607</v>
      </c>
      <c r="E131" s="68">
        <f>FCFF!H106+FCFF!H109</f>
        <v>1277</v>
      </c>
      <c r="F131" s="68">
        <f>FCFF!N106+FCFF!N109</f>
        <v>481</v>
      </c>
      <c r="G131" s="418">
        <f>FCFF!T106+FCFF!T109</f>
        <v>329</v>
      </c>
      <c r="H131" s="490">
        <f>-H132*H59</f>
        <v>0</v>
      </c>
      <c r="I131" s="490">
        <f t="shared" ref="I131:L131" si="36">-I132*I59</f>
        <v>0</v>
      </c>
      <c r="J131" s="490">
        <f t="shared" si="36"/>
        <v>0</v>
      </c>
      <c r="K131" s="490">
        <f t="shared" si="36"/>
        <v>0</v>
      </c>
      <c r="L131" s="490">
        <f t="shared" si="36"/>
        <v>0</v>
      </c>
    </row>
    <row r="132" spans="1:12" ht="15" customHeight="1" x14ac:dyDescent="0.25">
      <c r="B132" s="31" t="s">
        <v>531</v>
      </c>
      <c r="E132" s="308">
        <f>FCFF!H107</f>
        <v>1.5520094337828328E-2</v>
      </c>
      <c r="F132" s="308">
        <f>FCFF!N107</f>
        <v>2.4489396091492383E-2</v>
      </c>
      <c r="G132" s="416">
        <f>FCFF!T107</f>
        <v>3.093820094361513E-2</v>
      </c>
      <c r="H132" s="473"/>
      <c r="I132" s="473"/>
      <c r="J132" s="473"/>
      <c r="K132" s="473"/>
      <c r="L132" s="473"/>
    </row>
    <row r="133" spans="1:12" ht="15" customHeight="1" x14ac:dyDescent="0.25">
      <c r="B133" s="377"/>
      <c r="G133" s="500"/>
      <c r="H133" s="25"/>
      <c r="I133" s="25"/>
      <c r="J133" s="25"/>
      <c r="K133" s="25"/>
      <c r="L133" s="25"/>
    </row>
    <row r="134" spans="1:12" ht="15" customHeight="1" x14ac:dyDescent="0.25">
      <c r="A134" s="382" t="s">
        <v>70</v>
      </c>
      <c r="B134" s="374" t="s">
        <v>676</v>
      </c>
      <c r="C134" s="374"/>
      <c r="D134" s="374"/>
      <c r="E134" s="452"/>
      <c r="F134" s="452"/>
      <c r="G134" s="501"/>
      <c r="H134" s="453">
        <f>H57</f>
        <v>2025</v>
      </c>
      <c r="I134" s="453">
        <f>I57</f>
        <v>2026</v>
      </c>
      <c r="J134" s="453">
        <f>J57</f>
        <v>2027</v>
      </c>
      <c r="K134" s="453">
        <f>K57</f>
        <v>2028</v>
      </c>
      <c r="L134" s="453">
        <f>L57</f>
        <v>2029</v>
      </c>
    </row>
    <row r="135" spans="1:12" ht="4.3499999999999996" customHeight="1" x14ac:dyDescent="0.25">
      <c r="B135" s="36"/>
      <c r="C135" s="36"/>
      <c r="D135" s="36"/>
      <c r="E135" s="36"/>
      <c r="F135" s="36"/>
      <c r="G135" s="502"/>
      <c r="H135" s="36"/>
      <c r="I135" s="36"/>
      <c r="J135" s="36"/>
      <c r="K135" s="36"/>
      <c r="L135" s="36"/>
    </row>
    <row r="136" spans="1:12" ht="15" customHeight="1" x14ac:dyDescent="0.25">
      <c r="B136" s="377" t="s">
        <v>677</v>
      </c>
      <c r="G136" s="205"/>
      <c r="H136" s="495">
        <f>H97</f>
        <v>350000</v>
      </c>
      <c r="I136" s="495">
        <f t="shared" ref="I136:L136" si="37">I97</f>
        <v>352000</v>
      </c>
      <c r="J136" s="495">
        <f t="shared" si="37"/>
        <v>350000</v>
      </c>
      <c r="K136" s="495">
        <f t="shared" si="37"/>
        <v>352000</v>
      </c>
      <c r="L136" s="495">
        <f t="shared" si="37"/>
        <v>350000</v>
      </c>
    </row>
    <row r="137" spans="1:12" ht="15" customHeight="1" x14ac:dyDescent="0.25">
      <c r="B137" s="377" t="s">
        <v>678</v>
      </c>
      <c r="E137" s="495"/>
      <c r="F137" s="495"/>
      <c r="G137" s="503"/>
      <c r="H137" s="495">
        <f>+H125</f>
        <v>0</v>
      </c>
      <c r="I137" s="495">
        <f>+I125</f>
        <v>0</v>
      </c>
      <c r="J137" s="495">
        <f>+J125</f>
        <v>0</v>
      </c>
      <c r="K137" s="495">
        <f>+K125</f>
        <v>0</v>
      </c>
      <c r="L137" s="495">
        <f>+L125</f>
        <v>0</v>
      </c>
    </row>
    <row r="138" spans="1:12" ht="15" customHeight="1" x14ac:dyDescent="0.25">
      <c r="B138" s="377" t="s">
        <v>538</v>
      </c>
      <c r="E138" s="495"/>
      <c r="F138" s="495"/>
      <c r="G138" s="504"/>
      <c r="H138" s="495">
        <f>+H128</f>
        <v>3635</v>
      </c>
      <c r="I138" s="495">
        <f>+I128</f>
        <v>0</v>
      </c>
      <c r="J138" s="495">
        <f>+J128</f>
        <v>0</v>
      </c>
      <c r="K138" s="495">
        <f>+K128</f>
        <v>0</v>
      </c>
      <c r="L138" s="495">
        <f>+L128</f>
        <v>0</v>
      </c>
    </row>
    <row r="139" spans="1:12" ht="15" customHeight="1" x14ac:dyDescent="0.25">
      <c r="B139" s="377" t="s">
        <v>607</v>
      </c>
      <c r="E139" s="472"/>
      <c r="F139" s="472"/>
      <c r="G139" s="505"/>
      <c r="H139" s="495">
        <f>+H131</f>
        <v>0</v>
      </c>
      <c r="I139" s="495">
        <f>+I131</f>
        <v>0</v>
      </c>
      <c r="J139" s="495">
        <f>+J131</f>
        <v>0</v>
      </c>
      <c r="K139" s="495">
        <f>+K131</f>
        <v>0</v>
      </c>
      <c r="L139" s="495">
        <f>+L131</f>
        <v>0</v>
      </c>
    </row>
    <row r="140" spans="1:12" ht="15" customHeight="1" x14ac:dyDescent="0.25">
      <c r="B140" s="506" t="s">
        <v>679</v>
      </c>
      <c r="C140" s="507"/>
      <c r="D140" s="507"/>
      <c r="E140" s="508"/>
      <c r="F140" s="508"/>
      <c r="G140" s="509"/>
      <c r="H140" s="508">
        <f>H136+H137+H138+H139</f>
        <v>353635</v>
      </c>
      <c r="I140" s="508">
        <f>I136+I137+I138+I139</f>
        <v>352000</v>
      </c>
      <c r="J140" s="508">
        <f>J136+J137+J138+J139</f>
        <v>350000</v>
      </c>
      <c r="K140" s="508">
        <f>K136+K137+K138+K139</f>
        <v>352000</v>
      </c>
      <c r="L140" s="510">
        <f>L136+L137+L138+L139</f>
        <v>350000</v>
      </c>
    </row>
    <row r="141" spans="1:12" ht="15" customHeight="1" x14ac:dyDescent="0.25">
      <c r="G141" s="500"/>
    </row>
    <row r="142" spans="1:12" ht="15" customHeight="1" x14ac:dyDescent="0.25">
      <c r="A142" s="382" t="s">
        <v>70</v>
      </c>
      <c r="B142" s="374" t="s">
        <v>680</v>
      </c>
      <c r="C142" s="374"/>
      <c r="D142" s="374"/>
      <c r="E142" s="452"/>
      <c r="F142" s="452"/>
      <c r="G142" s="501"/>
      <c r="H142" s="453">
        <f>H134</f>
        <v>2025</v>
      </c>
      <c r="I142" s="453">
        <f>I134</f>
        <v>2026</v>
      </c>
      <c r="J142" s="453">
        <f>J134</f>
        <v>2027</v>
      </c>
      <c r="K142" s="453">
        <f>K134</f>
        <v>2028</v>
      </c>
      <c r="L142" s="453">
        <f>L134</f>
        <v>2029</v>
      </c>
    </row>
    <row r="143" spans="1:12" ht="4.3499999999999996" customHeight="1" x14ac:dyDescent="0.25">
      <c r="B143" s="36"/>
      <c r="C143" s="36"/>
      <c r="D143" s="36"/>
      <c r="E143" s="36"/>
      <c r="F143" s="36"/>
      <c r="G143" s="502"/>
      <c r="H143" s="36"/>
      <c r="I143" s="36"/>
      <c r="J143" s="36"/>
      <c r="K143" s="36"/>
      <c r="L143" s="36"/>
    </row>
    <row r="144" spans="1:12" ht="15" customHeight="1" x14ac:dyDescent="0.25">
      <c r="B144" s="375" t="s">
        <v>645</v>
      </c>
      <c r="C144" s="422"/>
      <c r="D144" s="422"/>
      <c r="E144" s="422"/>
      <c r="F144" s="422"/>
      <c r="G144" s="511"/>
    </row>
    <row r="145" spans="2:12" ht="15" customHeight="1" x14ac:dyDescent="0.25">
      <c r="B145" s="512" t="s">
        <v>681</v>
      </c>
      <c r="C145" s="422"/>
      <c r="D145" s="422"/>
      <c r="E145" s="422"/>
      <c r="F145" s="422"/>
      <c r="G145" s="511"/>
      <c r="H145" s="490">
        <f>G148</f>
        <v>0</v>
      </c>
      <c r="I145" s="490">
        <f t="shared" ref="I145:L145" si="38">H148</f>
        <v>0</v>
      </c>
      <c r="J145" s="490">
        <f t="shared" si="38"/>
        <v>0</v>
      </c>
      <c r="K145" s="490">
        <f t="shared" si="38"/>
        <v>0</v>
      </c>
      <c r="L145" s="490">
        <f t="shared" si="38"/>
        <v>0</v>
      </c>
    </row>
    <row r="146" spans="2:12" ht="15" customHeight="1" x14ac:dyDescent="0.25">
      <c r="B146" s="512" t="s">
        <v>641</v>
      </c>
      <c r="C146" s="422"/>
      <c r="D146" s="422"/>
      <c r="E146" s="422"/>
      <c r="F146" s="422"/>
      <c r="G146" s="511"/>
      <c r="H146" s="490">
        <f>H145*$J$11</f>
        <v>0</v>
      </c>
      <c r="I146" s="490">
        <f t="shared" ref="I146:L146" si="39">I145*$J$11</f>
        <v>0</v>
      </c>
      <c r="J146" s="490">
        <f t="shared" si="39"/>
        <v>0</v>
      </c>
      <c r="K146" s="490">
        <f t="shared" si="39"/>
        <v>0</v>
      </c>
      <c r="L146" s="490">
        <f t="shared" si="39"/>
        <v>0</v>
      </c>
    </row>
    <row r="147" spans="2:12" ht="15" customHeight="1" x14ac:dyDescent="0.25">
      <c r="B147" s="512" t="s">
        <v>682</v>
      </c>
      <c r="C147" s="422"/>
      <c r="D147" s="422"/>
      <c r="E147" s="422"/>
      <c r="F147" s="422"/>
      <c r="G147" s="511"/>
      <c r="H147" s="490">
        <f>MIN(H140,H145)</f>
        <v>0</v>
      </c>
      <c r="I147" s="490">
        <f t="shared" ref="I147:L147" si="40">MIN(I140,I145)</f>
        <v>0</v>
      </c>
      <c r="J147" s="490">
        <f t="shared" si="40"/>
        <v>0</v>
      </c>
      <c r="K147" s="490">
        <f t="shared" si="40"/>
        <v>0</v>
      </c>
      <c r="L147" s="490">
        <f t="shared" si="40"/>
        <v>0</v>
      </c>
    </row>
    <row r="148" spans="2:12" ht="15" customHeight="1" x14ac:dyDescent="0.25">
      <c r="B148" s="513" t="s">
        <v>683</v>
      </c>
      <c r="C148" s="507"/>
      <c r="D148" s="507"/>
      <c r="E148" s="508"/>
      <c r="F148" s="508"/>
      <c r="G148" s="509">
        <f>L11</f>
        <v>0</v>
      </c>
      <c r="H148" s="508">
        <f>H145-H147</f>
        <v>0</v>
      </c>
      <c r="I148" s="508">
        <f t="shared" ref="I148:L148" si="41">I145-I147</f>
        <v>0</v>
      </c>
      <c r="J148" s="508">
        <f t="shared" si="41"/>
        <v>0</v>
      </c>
      <c r="K148" s="508">
        <f t="shared" si="41"/>
        <v>0</v>
      </c>
      <c r="L148" s="510">
        <f t="shared" si="41"/>
        <v>0</v>
      </c>
    </row>
    <row r="149" spans="2:12" ht="15" customHeight="1" x14ac:dyDescent="0.25">
      <c r="B149" s="514"/>
      <c r="E149" s="490"/>
      <c r="F149" s="490"/>
      <c r="G149" s="515"/>
      <c r="H149" s="490"/>
      <c r="I149" s="490"/>
      <c r="J149" s="490"/>
      <c r="K149" s="490"/>
      <c r="L149" s="490"/>
    </row>
    <row r="150" spans="2:12" ht="15" customHeight="1" x14ac:dyDescent="0.25">
      <c r="B150" s="375" t="s">
        <v>647</v>
      </c>
      <c r="C150" s="422"/>
      <c r="D150" s="422"/>
      <c r="E150" s="422"/>
      <c r="F150" s="422"/>
      <c r="G150" s="511"/>
      <c r="H150" s="490"/>
    </row>
    <row r="151" spans="2:12" ht="15" customHeight="1" x14ac:dyDescent="0.25">
      <c r="B151" s="512" t="s">
        <v>681</v>
      </c>
      <c r="C151" s="422"/>
      <c r="D151" s="422"/>
      <c r="E151" s="422"/>
      <c r="F151" s="422"/>
      <c r="G151" s="511"/>
      <c r="H151" s="490">
        <f>G154</f>
        <v>0</v>
      </c>
      <c r="I151" s="490">
        <f t="shared" ref="I151:L151" si="42">H154</f>
        <v>0</v>
      </c>
      <c r="J151" s="490">
        <f t="shared" si="42"/>
        <v>0</v>
      </c>
      <c r="K151" s="490">
        <f t="shared" si="42"/>
        <v>0</v>
      </c>
      <c r="L151" s="490">
        <f t="shared" si="42"/>
        <v>0</v>
      </c>
    </row>
    <row r="152" spans="2:12" ht="15" customHeight="1" x14ac:dyDescent="0.25">
      <c r="B152" s="512" t="s">
        <v>641</v>
      </c>
      <c r="C152" s="422"/>
      <c r="D152" s="422"/>
      <c r="E152" s="422"/>
      <c r="F152" s="422"/>
      <c r="G152" s="511"/>
      <c r="H152" s="490">
        <f>H151*$J$12</f>
        <v>0</v>
      </c>
      <c r="I152" s="490">
        <f t="shared" ref="I152:L152" si="43">I151*$J$12</f>
        <v>0</v>
      </c>
      <c r="J152" s="490">
        <f t="shared" si="43"/>
        <v>0</v>
      </c>
      <c r="K152" s="490">
        <f t="shared" si="43"/>
        <v>0</v>
      </c>
      <c r="L152" s="490">
        <f t="shared" si="43"/>
        <v>0</v>
      </c>
    </row>
    <row r="153" spans="2:12" ht="15" customHeight="1" x14ac:dyDescent="0.25">
      <c r="B153" s="512" t="s">
        <v>682</v>
      </c>
      <c r="C153" s="422"/>
      <c r="D153" s="422"/>
      <c r="E153" s="422"/>
      <c r="F153" s="422"/>
      <c r="G153" s="511"/>
      <c r="H153" s="490">
        <f>MIN(H151,H140-H147)</f>
        <v>0</v>
      </c>
      <c r="I153" s="490">
        <f>MIN(I151,I140-I147)</f>
        <v>0</v>
      </c>
      <c r="J153" s="490">
        <f t="shared" ref="J153:K153" si="44">MIN(J151,J140-J147)</f>
        <v>0</v>
      </c>
      <c r="K153" s="490">
        <f t="shared" si="44"/>
        <v>0</v>
      </c>
      <c r="L153" s="490">
        <f>MIN(L151,L140-L147)</f>
        <v>0</v>
      </c>
    </row>
    <row r="154" spans="2:12" ht="15" customHeight="1" x14ac:dyDescent="0.25">
      <c r="B154" s="513" t="s">
        <v>683</v>
      </c>
      <c r="C154" s="507"/>
      <c r="D154" s="507"/>
      <c r="E154" s="508"/>
      <c r="F154" s="508"/>
      <c r="G154" s="509">
        <f>L12</f>
        <v>0</v>
      </c>
      <c r="H154" s="508">
        <f>H151-H153</f>
        <v>0</v>
      </c>
      <c r="I154" s="508">
        <f t="shared" ref="I154:L154" si="45">I151-I153</f>
        <v>0</v>
      </c>
      <c r="J154" s="508">
        <f t="shared" si="45"/>
        <v>0</v>
      </c>
      <c r="K154" s="508">
        <f t="shared" si="45"/>
        <v>0</v>
      </c>
      <c r="L154" s="510">
        <f t="shared" si="45"/>
        <v>0</v>
      </c>
    </row>
    <row r="155" spans="2:12" ht="15" customHeight="1" x14ac:dyDescent="0.25">
      <c r="B155" s="514"/>
      <c r="E155" s="490"/>
      <c r="F155" s="490"/>
      <c r="G155" s="515"/>
      <c r="H155" s="490"/>
      <c r="I155" s="490"/>
      <c r="J155" s="490"/>
      <c r="K155" s="490"/>
      <c r="L155" s="490"/>
    </row>
    <row r="156" spans="2:12" ht="15" customHeight="1" x14ac:dyDescent="0.25">
      <c r="B156" s="375" t="s">
        <v>684</v>
      </c>
      <c r="G156" s="500"/>
    </row>
    <row r="157" spans="2:12" ht="15" customHeight="1" x14ac:dyDescent="0.25">
      <c r="B157" s="512" t="s">
        <v>681</v>
      </c>
      <c r="G157" s="500"/>
      <c r="H157" s="490">
        <f>G160</f>
        <v>0</v>
      </c>
      <c r="I157" s="490">
        <f t="shared" ref="I157:L157" si="46">H160</f>
        <v>0</v>
      </c>
      <c r="J157" s="490">
        <f t="shared" si="46"/>
        <v>0</v>
      </c>
      <c r="K157" s="490">
        <f t="shared" si="46"/>
        <v>0</v>
      </c>
      <c r="L157" s="490">
        <f t="shared" si="46"/>
        <v>0</v>
      </c>
    </row>
    <row r="158" spans="2:12" ht="15" customHeight="1" x14ac:dyDescent="0.25">
      <c r="B158" s="512" t="s">
        <v>641</v>
      </c>
      <c r="G158" s="500"/>
      <c r="H158" s="490">
        <f>H157*$J$13</f>
        <v>0</v>
      </c>
      <c r="I158" s="490">
        <f t="shared" ref="I158:L158" si="47">I157*$J$13</f>
        <v>0</v>
      </c>
      <c r="J158" s="490">
        <f t="shared" si="47"/>
        <v>0</v>
      </c>
      <c r="K158" s="490">
        <f t="shared" si="47"/>
        <v>0</v>
      </c>
      <c r="L158" s="490">
        <f t="shared" si="47"/>
        <v>0</v>
      </c>
    </row>
    <row r="159" spans="2:12" ht="15" customHeight="1" x14ac:dyDescent="0.25">
      <c r="B159" s="512" t="s">
        <v>682</v>
      </c>
      <c r="G159" s="500"/>
      <c r="H159" s="490">
        <f>MIN(H157,H140-H147-H153)</f>
        <v>0</v>
      </c>
      <c r="I159" s="490">
        <f t="shared" ref="I159:L159" si="48">MIN(I157,I140-I147-I153)</f>
        <v>0</v>
      </c>
      <c r="J159" s="490">
        <f t="shared" si="48"/>
        <v>0</v>
      </c>
      <c r="K159" s="490">
        <f t="shared" si="48"/>
        <v>0</v>
      </c>
      <c r="L159" s="490">
        <f t="shared" si="48"/>
        <v>0</v>
      </c>
    </row>
    <row r="160" spans="2:12" ht="15" customHeight="1" x14ac:dyDescent="0.25">
      <c r="B160" s="513" t="s">
        <v>683</v>
      </c>
      <c r="C160" s="507"/>
      <c r="D160" s="507"/>
      <c r="E160" s="508"/>
      <c r="F160" s="508"/>
      <c r="G160" s="509">
        <f>L13</f>
        <v>0</v>
      </c>
      <c r="H160" s="508">
        <f>H157-H159</f>
        <v>0</v>
      </c>
      <c r="I160" s="508">
        <f t="shared" ref="I160:L160" si="49">I157-I159</f>
        <v>0</v>
      </c>
      <c r="J160" s="508">
        <f t="shared" si="49"/>
        <v>0</v>
      </c>
      <c r="K160" s="508">
        <f t="shared" si="49"/>
        <v>0</v>
      </c>
      <c r="L160" s="510">
        <f t="shared" si="49"/>
        <v>0</v>
      </c>
    </row>
    <row r="161" spans="1:12" ht="15" customHeight="1" x14ac:dyDescent="0.25">
      <c r="G161" s="680"/>
    </row>
    <row r="162" spans="1:12" ht="15" customHeight="1" x14ac:dyDescent="0.25">
      <c r="B162" s="375" t="s">
        <v>685</v>
      </c>
      <c r="G162" s="500"/>
    </row>
    <row r="163" spans="1:12" ht="15" customHeight="1" x14ac:dyDescent="0.25">
      <c r="B163" s="512" t="s">
        <v>681</v>
      </c>
      <c r="G163" s="500"/>
      <c r="H163" s="490">
        <f>H145+H151+H157</f>
        <v>0</v>
      </c>
      <c r="I163" s="490">
        <f t="shared" ref="I163:L163" si="50">I145+I151+I157</f>
        <v>0</v>
      </c>
      <c r="J163" s="490">
        <f t="shared" si="50"/>
        <v>0</v>
      </c>
      <c r="K163" s="490">
        <f t="shared" si="50"/>
        <v>0</v>
      </c>
      <c r="L163" s="490">
        <f t="shared" si="50"/>
        <v>0</v>
      </c>
    </row>
    <row r="164" spans="1:12" ht="15" customHeight="1" x14ac:dyDescent="0.25">
      <c r="B164" s="512" t="s">
        <v>641</v>
      </c>
      <c r="G164" s="500"/>
      <c r="H164" s="490">
        <f>H146+H152+H158</f>
        <v>0</v>
      </c>
      <c r="I164" s="490">
        <f t="shared" ref="I164:L164" si="51">I146+I152+I158</f>
        <v>0</v>
      </c>
      <c r="J164" s="490">
        <f t="shared" si="51"/>
        <v>0</v>
      </c>
      <c r="K164" s="490">
        <f t="shared" si="51"/>
        <v>0</v>
      </c>
      <c r="L164" s="490">
        <f t="shared" si="51"/>
        <v>0</v>
      </c>
    </row>
    <row r="165" spans="1:12" ht="15" customHeight="1" x14ac:dyDescent="0.25">
      <c r="B165" s="512" t="s">
        <v>682</v>
      </c>
      <c r="G165" s="500"/>
      <c r="H165" s="490">
        <f>H147+H153+H159</f>
        <v>0</v>
      </c>
      <c r="I165" s="490">
        <f t="shared" ref="I165:L165" si="52">I147+I153+I159</f>
        <v>0</v>
      </c>
      <c r="J165" s="490">
        <f t="shared" si="52"/>
        <v>0</v>
      </c>
      <c r="K165" s="490">
        <f t="shared" si="52"/>
        <v>0</v>
      </c>
      <c r="L165" s="490">
        <f t="shared" si="52"/>
        <v>0</v>
      </c>
    </row>
    <row r="166" spans="1:12" ht="15" customHeight="1" x14ac:dyDescent="0.25">
      <c r="B166" s="513" t="s">
        <v>683</v>
      </c>
      <c r="C166" s="507"/>
      <c r="D166" s="507"/>
      <c r="E166" s="508"/>
      <c r="F166" s="508"/>
      <c r="G166" s="509">
        <f>G148+G154+G160</f>
        <v>0</v>
      </c>
      <c r="H166" s="508">
        <f>H148+H154+H160</f>
        <v>0</v>
      </c>
      <c r="I166" s="508">
        <f t="shared" ref="I166:K166" si="53">I148+I154+I160</f>
        <v>0</v>
      </c>
      <c r="J166" s="508">
        <f t="shared" si="53"/>
        <v>0</v>
      </c>
      <c r="K166" s="508">
        <f t="shared" si="53"/>
        <v>0</v>
      </c>
      <c r="L166" s="510">
        <f>L148+L154+L160</f>
        <v>0</v>
      </c>
    </row>
    <row r="167" spans="1:12" s="344" customFormat="1" ht="15" customHeight="1" x14ac:dyDescent="0.25">
      <c r="A167" s="497"/>
      <c r="B167" s="33"/>
      <c r="C167" s="33"/>
      <c r="D167" s="33"/>
      <c r="E167" s="33"/>
      <c r="F167" s="33"/>
      <c r="G167" s="33"/>
      <c r="H167" s="33"/>
      <c r="I167" s="33"/>
      <c r="J167" s="33"/>
      <c r="K167" s="33"/>
      <c r="L167" s="33"/>
    </row>
    <row r="168" spans="1:12" s="344" customFormat="1" ht="15" customHeight="1" x14ac:dyDescent="0.25">
      <c r="A168" s="497"/>
      <c r="B168" s="374" t="s">
        <v>655</v>
      </c>
      <c r="C168" s="374"/>
      <c r="D168" s="374"/>
      <c r="E168" s="374"/>
      <c r="F168" s="374"/>
      <c r="G168" s="374"/>
      <c r="H168" s="374"/>
      <c r="I168" s="374"/>
      <c r="J168" s="374"/>
      <c r="K168" s="374"/>
      <c r="L168" s="374"/>
    </row>
    <row r="169" spans="1:12" s="344" customFormat="1" ht="15" customHeight="1" x14ac:dyDescent="0.25">
      <c r="A169" s="497"/>
      <c r="B169" s="374"/>
      <c r="C169" s="374"/>
      <c r="D169" s="374"/>
      <c r="E169" s="374"/>
      <c r="F169" s="374"/>
      <c r="G169" s="374"/>
      <c r="H169" s="374"/>
      <c r="I169" s="374"/>
      <c r="J169" s="374"/>
      <c r="K169" s="374"/>
      <c r="L169" s="374"/>
    </row>
    <row r="170" spans="1:12" ht="15" customHeight="1" x14ac:dyDescent="0.25">
      <c r="A170" s="382" t="s">
        <v>70</v>
      </c>
      <c r="B170" s="374"/>
      <c r="C170" s="374"/>
      <c r="D170" s="374"/>
      <c r="E170" s="452"/>
      <c r="F170" s="452"/>
      <c r="G170" s="452"/>
      <c r="H170" s="453"/>
      <c r="I170" s="453"/>
      <c r="J170" s="453"/>
      <c r="K170" s="453"/>
      <c r="L170" s="453"/>
    </row>
    <row r="171" spans="1:12" ht="4.3499999999999996" customHeight="1" x14ac:dyDescent="0.25">
      <c r="B171" s="36"/>
      <c r="C171" s="36"/>
      <c r="D171" s="36"/>
      <c r="E171" s="36"/>
      <c r="F171" s="36"/>
      <c r="G171" s="36"/>
      <c r="H171" s="36"/>
      <c r="I171" s="36"/>
      <c r="J171" s="36"/>
      <c r="K171" s="36"/>
      <c r="L171" s="36"/>
    </row>
    <row r="172" spans="1:12" ht="15" customHeight="1" x14ac:dyDescent="0.25">
      <c r="B172" s="377" t="s">
        <v>686</v>
      </c>
      <c r="L172" s="425">
        <f>(L77+L86)</f>
        <v>350000</v>
      </c>
    </row>
    <row r="173" spans="1:12" ht="15" customHeight="1" x14ac:dyDescent="0.25">
      <c r="B173" s="516" t="s">
        <v>657</v>
      </c>
      <c r="C173" s="355"/>
      <c r="D173" s="355"/>
      <c r="E173" s="355"/>
      <c r="F173" s="355"/>
      <c r="G173" s="355"/>
      <c r="H173" s="355"/>
      <c r="I173" s="355"/>
      <c r="J173" s="355"/>
      <c r="K173" s="355"/>
      <c r="L173" s="517">
        <f>E20</f>
        <v>0</v>
      </c>
    </row>
    <row r="174" spans="1:12" ht="15" customHeight="1" x14ac:dyDescent="0.25">
      <c r="B174" s="377" t="s">
        <v>648</v>
      </c>
      <c r="L174" s="48">
        <f>L172*L173</f>
        <v>0</v>
      </c>
    </row>
    <row r="175" spans="1:12" ht="15" customHeight="1" x14ac:dyDescent="0.25">
      <c r="B175" s="377" t="s">
        <v>687</v>
      </c>
      <c r="L175" s="425">
        <f>L166</f>
        <v>0</v>
      </c>
    </row>
    <row r="176" spans="1:12" ht="15" customHeight="1" x14ac:dyDescent="0.25">
      <c r="B176" s="377" t="s">
        <v>688</v>
      </c>
      <c r="L176" s="24">
        <f>L174-L175</f>
        <v>0</v>
      </c>
    </row>
    <row r="178" spans="2:12" ht="15" customHeight="1" x14ac:dyDescent="0.25">
      <c r="B178" s="377" t="s">
        <v>689</v>
      </c>
      <c r="L178" s="425">
        <f>C32</f>
        <v>0</v>
      </c>
    </row>
    <row r="179" spans="2:12" ht="15" customHeight="1" x14ac:dyDescent="0.25">
      <c r="B179" s="377"/>
    </row>
    <row r="180" spans="2:12" ht="15" customHeight="1" x14ac:dyDescent="0.25">
      <c r="B180" s="518" t="s">
        <v>653</v>
      </c>
      <c r="C180" s="519"/>
      <c r="D180" s="519"/>
      <c r="E180" s="519"/>
      <c r="F180" s="519"/>
      <c r="G180" s="519"/>
      <c r="H180" s="519"/>
      <c r="I180" s="519"/>
      <c r="J180" s="519"/>
      <c r="K180" s="519"/>
      <c r="L180" s="520" t="e">
        <f>L176/L178</f>
        <v>#DIV/0!</v>
      </c>
    </row>
    <row r="181" spans="2:12" ht="15" customHeight="1" x14ac:dyDescent="0.25">
      <c r="B181" s="521" t="s">
        <v>655</v>
      </c>
      <c r="C181" s="522"/>
      <c r="D181" s="522"/>
      <c r="E181" s="522"/>
      <c r="F181" s="522"/>
      <c r="G181" s="522"/>
      <c r="H181" s="522"/>
      <c r="I181" s="522"/>
      <c r="J181" s="522"/>
      <c r="K181" s="522"/>
      <c r="L181" s="523" t="e">
        <f>L180^(1/5)-1</f>
        <v>#DIV/0!</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4"/>
  <sheetViews>
    <sheetView showGridLines="0" topLeftCell="J7" zoomScale="55" zoomScaleNormal="55" workbookViewId="0">
      <selection activeCell="V33" sqref="V33"/>
    </sheetView>
  </sheetViews>
  <sheetFormatPr defaultColWidth="9" defaultRowHeight="15" customHeight="1" x14ac:dyDescent="0.25"/>
  <cols>
    <col min="1" max="1" width="2.09765625" style="23" customWidth="1"/>
    <col min="2" max="19" width="9" style="23"/>
    <col min="20" max="20" width="9" style="23" customWidth="1"/>
    <col min="21" max="24" width="9.09765625" style="23" customWidth="1"/>
    <col min="25" max="16384" width="9" style="23"/>
  </cols>
  <sheetData>
    <row r="1" spans="2:43" s="581" customFormat="1" ht="15" customHeight="1" x14ac:dyDescent="0.25"/>
    <row r="2" spans="2:43" s="581" customFormat="1" ht="15" customHeight="1" x14ac:dyDescent="0.25"/>
    <row r="3" spans="2:43" s="581" customFormat="1" ht="15" customHeight="1" x14ac:dyDescent="0.25"/>
    <row r="4" spans="2:43" s="581" customFormat="1" ht="15" customHeight="1" x14ac:dyDescent="0.25"/>
    <row r="5" spans="2:43" s="36" customFormat="1" ht="4.3499999999999996" customHeight="1" x14ac:dyDescent="0.25"/>
    <row r="7" spans="2:43" ht="15" customHeight="1" x14ac:dyDescent="0.25">
      <c r="B7" s="374" t="s">
        <v>690</v>
      </c>
      <c r="C7" s="186"/>
      <c r="D7" s="186"/>
      <c r="E7" s="186"/>
      <c r="F7" s="186"/>
      <c r="G7" s="186"/>
      <c r="H7" s="186"/>
      <c r="I7" s="186"/>
      <c r="J7" s="186"/>
      <c r="K7" s="186"/>
      <c r="L7" s="186"/>
      <c r="M7" s="186"/>
      <c r="N7" s="186"/>
      <c r="O7" s="186"/>
      <c r="P7" s="186"/>
      <c r="R7" s="374" t="s">
        <v>691</v>
      </c>
      <c r="S7" s="186"/>
      <c r="T7" s="186"/>
      <c r="U7" s="186"/>
      <c r="V7" s="186"/>
      <c r="W7" s="186"/>
      <c r="X7" s="186"/>
      <c r="Y7" s="186"/>
      <c r="Z7" s="186"/>
    </row>
    <row r="8" spans="2:43" ht="15" customHeight="1" x14ac:dyDescent="0.25">
      <c r="B8" s="186"/>
      <c r="C8" s="186"/>
      <c r="D8" s="186"/>
      <c r="E8" s="186"/>
      <c r="F8" s="186"/>
      <c r="G8" s="186"/>
      <c r="H8" s="186"/>
      <c r="I8" s="186"/>
      <c r="J8" s="186"/>
      <c r="K8" s="186"/>
      <c r="L8" s="186"/>
      <c r="M8" s="186"/>
      <c r="N8" s="186"/>
      <c r="O8" s="186"/>
      <c r="P8" s="186"/>
      <c r="R8" s="186"/>
      <c r="S8" s="186"/>
      <c r="T8" s="186"/>
      <c r="U8" s="186"/>
      <c r="V8" s="186"/>
      <c r="W8" s="186"/>
      <c r="X8" s="186"/>
      <c r="Y8" s="186"/>
      <c r="Z8" s="186"/>
    </row>
    <row r="9" spans="2:43" ht="15" customHeight="1" x14ac:dyDescent="0.25">
      <c r="B9" s="186"/>
      <c r="C9" s="186"/>
      <c r="D9" s="186"/>
      <c r="E9" s="186"/>
      <c r="F9" s="186"/>
      <c r="G9" s="186"/>
      <c r="H9" s="186"/>
      <c r="I9" s="186"/>
      <c r="J9" s="186"/>
      <c r="K9" s="186"/>
      <c r="L9" s="186"/>
      <c r="M9" s="186"/>
      <c r="N9" s="186"/>
      <c r="O9" s="186"/>
      <c r="P9" s="186"/>
      <c r="R9" s="186"/>
      <c r="S9" s="186"/>
      <c r="T9" s="186"/>
      <c r="U9" s="186"/>
      <c r="V9" s="186"/>
      <c r="W9" s="186"/>
      <c r="X9" s="186"/>
      <c r="Y9" s="186"/>
      <c r="Z9" s="186"/>
    </row>
    <row r="10" spans="2:43" ht="4.3499999999999996" customHeight="1" x14ac:dyDescent="0.25">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x14ac:dyDescent="0.25">
      <c r="AA14" s="25"/>
      <c r="AB14" s="25"/>
      <c r="AC14" s="25"/>
      <c r="AD14" s="25"/>
      <c r="AE14" s="25"/>
      <c r="AF14" s="25"/>
      <c r="AG14" s="25"/>
      <c r="AH14" s="25"/>
      <c r="AI14" s="25"/>
      <c r="AJ14" s="25"/>
      <c r="AK14" s="25"/>
      <c r="AL14" s="25"/>
      <c r="AM14" s="25"/>
      <c r="AN14" s="25"/>
      <c r="AO14" s="25"/>
      <c r="AP14" s="25"/>
      <c r="AQ14" s="25"/>
    </row>
    <row r="15" spans="2:43" ht="15" customHeight="1" x14ac:dyDescent="0.25">
      <c r="AA15" s="25"/>
      <c r="AB15" s="25"/>
      <c r="AC15" s="25"/>
      <c r="AD15" s="25"/>
      <c r="AE15" s="25"/>
      <c r="AF15" s="25"/>
      <c r="AG15" s="25"/>
      <c r="AH15" s="25"/>
      <c r="AI15" s="25"/>
      <c r="AJ15" s="25"/>
      <c r="AK15" s="25"/>
      <c r="AL15" s="25"/>
      <c r="AM15" s="25"/>
      <c r="AN15" s="25"/>
      <c r="AO15" s="25"/>
      <c r="AP15" s="25"/>
      <c r="AQ15" s="25"/>
    </row>
    <row r="16" spans="2:43" ht="15" customHeight="1" x14ac:dyDescent="0.25">
      <c r="AA16" s="25"/>
      <c r="AB16" s="25"/>
      <c r="AC16" s="25"/>
      <c r="AD16" s="25"/>
      <c r="AE16" s="25"/>
      <c r="AF16" s="25"/>
      <c r="AG16" s="25"/>
      <c r="AH16" s="25"/>
      <c r="AI16" s="25"/>
      <c r="AJ16" s="25"/>
      <c r="AK16" s="25"/>
      <c r="AL16" s="25"/>
      <c r="AM16" s="25"/>
      <c r="AN16" s="25"/>
      <c r="AO16" s="25"/>
      <c r="AP16" s="25"/>
      <c r="AQ16" s="25"/>
    </row>
    <row r="17" spans="18:43" ht="15" customHeight="1" x14ac:dyDescent="0.25">
      <c r="AA17" s="25"/>
      <c r="AB17" s="25"/>
      <c r="AC17" s="25"/>
      <c r="AD17" s="25"/>
      <c r="AE17" s="25"/>
      <c r="AF17" s="25"/>
      <c r="AG17" s="25"/>
      <c r="AH17" s="25"/>
      <c r="AI17" s="25"/>
      <c r="AJ17" s="25"/>
      <c r="AK17" s="25"/>
      <c r="AL17" s="25"/>
      <c r="AM17" s="25"/>
      <c r="AN17" s="25"/>
      <c r="AO17" s="25"/>
      <c r="AP17" s="25"/>
      <c r="AQ17" s="25"/>
    </row>
    <row r="18" spans="18:43" ht="15" customHeight="1" x14ac:dyDescent="0.25">
      <c r="AA18" s="25"/>
      <c r="AB18" s="25"/>
      <c r="AC18" s="25"/>
      <c r="AD18" s="25"/>
      <c r="AE18" s="25"/>
      <c r="AF18" s="25"/>
      <c r="AG18" s="25"/>
      <c r="AH18" s="25"/>
      <c r="AI18" s="25"/>
      <c r="AJ18" s="25"/>
      <c r="AK18" s="25"/>
      <c r="AL18" s="25"/>
      <c r="AM18" s="25"/>
      <c r="AN18" s="25"/>
      <c r="AO18" s="25"/>
      <c r="AP18" s="25"/>
      <c r="AQ18" s="25"/>
    </row>
    <row r="19" spans="18:43" ht="15" customHeight="1" x14ac:dyDescent="0.25">
      <c r="AA19" s="25"/>
      <c r="AB19" s="25"/>
      <c r="AC19" s="25"/>
      <c r="AD19" s="25"/>
      <c r="AE19" s="25"/>
      <c r="AF19" s="25"/>
      <c r="AG19" s="25"/>
      <c r="AH19" s="25"/>
      <c r="AI19" s="25"/>
      <c r="AJ19" s="25"/>
      <c r="AK19" s="25"/>
      <c r="AL19" s="25"/>
      <c r="AM19" s="25"/>
      <c r="AN19" s="25"/>
      <c r="AO19" s="25"/>
      <c r="AP19" s="25"/>
      <c r="AQ19" s="25"/>
    </row>
    <row r="20" spans="18:43" ht="15" customHeight="1" x14ac:dyDescent="0.25">
      <c r="AA20" s="25"/>
      <c r="AB20" s="25"/>
      <c r="AC20" s="25"/>
      <c r="AD20" s="25"/>
      <c r="AE20" s="25"/>
      <c r="AF20" s="25"/>
      <c r="AG20" s="25"/>
      <c r="AH20" s="25"/>
      <c r="AI20" s="25"/>
      <c r="AJ20" s="25"/>
      <c r="AK20" s="25"/>
      <c r="AL20" s="25"/>
      <c r="AM20" s="25"/>
      <c r="AN20" s="25"/>
      <c r="AO20" s="25"/>
      <c r="AP20" s="25"/>
      <c r="AQ20" s="25"/>
    </row>
    <row r="21" spans="18:43" ht="15" customHeight="1" x14ac:dyDescent="0.25">
      <c r="AA21" s="25"/>
      <c r="AB21" s="25"/>
      <c r="AC21" s="25"/>
      <c r="AD21" s="25"/>
      <c r="AE21" s="25"/>
      <c r="AF21" s="25"/>
      <c r="AG21" s="25"/>
      <c r="AH21" s="25"/>
      <c r="AI21" s="25"/>
      <c r="AJ21" s="25"/>
      <c r="AK21" s="25"/>
      <c r="AL21" s="25"/>
      <c r="AM21" s="25"/>
      <c r="AN21" s="25"/>
      <c r="AO21" s="25"/>
      <c r="AP21" s="25"/>
      <c r="AQ21" s="25"/>
    </row>
    <row r="22" spans="18:43" ht="15" customHeight="1" x14ac:dyDescent="0.25">
      <c r="AA22" s="25"/>
      <c r="AB22" s="25"/>
      <c r="AC22" s="25"/>
      <c r="AD22" s="25"/>
      <c r="AE22" s="25"/>
      <c r="AF22" s="25"/>
      <c r="AG22" s="25"/>
      <c r="AH22" s="25"/>
      <c r="AI22" s="25"/>
      <c r="AJ22" s="25"/>
      <c r="AK22" s="25"/>
      <c r="AL22" s="25"/>
      <c r="AM22" s="25"/>
      <c r="AN22" s="25"/>
      <c r="AO22" s="25"/>
      <c r="AP22" s="25"/>
      <c r="AQ22" s="25"/>
    </row>
    <row r="23" spans="18:43" ht="15" customHeight="1" x14ac:dyDescent="0.25">
      <c r="AA23" s="25"/>
      <c r="AB23" s="25"/>
      <c r="AC23" s="25"/>
      <c r="AD23" s="25"/>
      <c r="AE23" s="25"/>
      <c r="AF23" s="25"/>
      <c r="AG23" s="25"/>
      <c r="AH23" s="25"/>
      <c r="AI23" s="25"/>
      <c r="AJ23" s="25"/>
      <c r="AK23" s="25"/>
      <c r="AL23" s="25"/>
      <c r="AM23" s="25"/>
      <c r="AN23" s="25"/>
      <c r="AO23" s="25"/>
      <c r="AP23" s="25"/>
      <c r="AQ23" s="25"/>
    </row>
    <row r="24" spans="18:43" ht="15" customHeight="1" x14ac:dyDescent="0.25">
      <c r="AA24" s="25"/>
      <c r="AB24" s="25"/>
      <c r="AC24" s="25"/>
      <c r="AD24" s="25"/>
      <c r="AE24" s="25"/>
      <c r="AF24" s="25"/>
      <c r="AG24" s="25"/>
      <c r="AH24" s="25"/>
      <c r="AI24" s="25"/>
      <c r="AJ24" s="25"/>
      <c r="AK24" s="25"/>
      <c r="AL24" s="25"/>
      <c r="AM24" s="25"/>
      <c r="AN24" s="25"/>
      <c r="AO24" s="25"/>
      <c r="AP24" s="25"/>
      <c r="AQ24" s="25"/>
    </row>
    <row r="25" spans="18:43" ht="15" customHeight="1" x14ac:dyDescent="0.25">
      <c r="AA25" s="25"/>
      <c r="AB25" s="25"/>
      <c r="AC25" s="25"/>
      <c r="AD25" s="25"/>
      <c r="AE25" s="25"/>
      <c r="AF25" s="25"/>
      <c r="AG25" s="25"/>
      <c r="AH25" s="25"/>
      <c r="AI25" s="25"/>
      <c r="AJ25" s="25"/>
      <c r="AK25" s="25"/>
      <c r="AL25" s="25"/>
      <c r="AM25" s="25"/>
      <c r="AN25" s="25"/>
      <c r="AO25" s="25"/>
      <c r="AP25" s="25"/>
      <c r="AQ25" s="25"/>
    </row>
    <row r="26" spans="18:43" ht="15" customHeight="1" x14ac:dyDescent="0.25">
      <c r="AA26" s="25"/>
      <c r="AB26" s="25"/>
      <c r="AC26" s="25"/>
      <c r="AD26" s="25"/>
      <c r="AE26" s="25"/>
      <c r="AF26" s="25"/>
      <c r="AG26" s="25"/>
      <c r="AH26" s="25"/>
      <c r="AI26" s="25"/>
      <c r="AJ26" s="25"/>
      <c r="AK26" s="25"/>
      <c r="AL26" s="25"/>
      <c r="AM26" s="25"/>
      <c r="AN26" s="25"/>
      <c r="AO26" s="25"/>
      <c r="AP26" s="25"/>
      <c r="AQ26" s="25"/>
    </row>
    <row r="27" spans="18:43" ht="15" customHeight="1" x14ac:dyDescent="0.25">
      <c r="AA27" s="25"/>
      <c r="AB27" s="25"/>
      <c r="AC27" s="25"/>
      <c r="AD27" s="25"/>
      <c r="AE27" s="25"/>
      <c r="AF27" s="25"/>
      <c r="AG27" s="25"/>
      <c r="AH27" s="25"/>
      <c r="AI27" s="25"/>
      <c r="AJ27" s="25"/>
      <c r="AK27" s="25"/>
      <c r="AL27" s="25"/>
      <c r="AM27" s="25"/>
      <c r="AN27" s="25"/>
      <c r="AO27" s="25"/>
      <c r="AP27" s="25"/>
      <c r="AQ27" s="25"/>
    </row>
    <row r="28" spans="18:43" ht="15" customHeight="1" x14ac:dyDescent="0.25">
      <c r="AA28" s="25"/>
      <c r="AB28" s="25"/>
      <c r="AC28" s="25"/>
      <c r="AD28" s="25" t="str" cm="1">
        <f t="array" ref="AD28:AL34">_xlfn.SORTBY(R38:Z44,Z38:Z44,1)</f>
        <v>Capex Intensity</v>
      </c>
      <c r="AE28" s="25">
        <v>0</v>
      </c>
      <c r="AF28" s="25">
        <v>0.01</v>
      </c>
      <c r="AG28" s="25">
        <v>0</v>
      </c>
      <c r="AH28" s="25">
        <v>0</v>
      </c>
      <c r="AI28" s="25">
        <v>0</v>
      </c>
      <c r="AJ28" s="25">
        <v>0</v>
      </c>
      <c r="AK28" s="25">
        <v>0</v>
      </c>
      <c r="AL28" s="25">
        <v>0</v>
      </c>
      <c r="AM28" s="25"/>
      <c r="AN28" s="25"/>
      <c r="AO28" s="25"/>
      <c r="AP28" s="25"/>
      <c r="AQ28" s="25"/>
    </row>
    <row r="29" spans="18:43" ht="15" customHeight="1" x14ac:dyDescent="0.25">
      <c r="AA29" s="25"/>
      <c r="AB29" s="25"/>
      <c r="AC29" s="25"/>
      <c r="AD29" s="25" t="str">
        <v>COGS Margin</v>
      </c>
      <c r="AE29" s="25">
        <v>0</v>
      </c>
      <c r="AF29" s="25">
        <v>0.02</v>
      </c>
      <c r="AG29" s="25">
        <v>0</v>
      </c>
      <c r="AH29" s="25">
        <v>0</v>
      </c>
      <c r="AI29" s="25">
        <v>0</v>
      </c>
      <c r="AJ29" s="25">
        <v>0</v>
      </c>
      <c r="AK29" s="25">
        <v>0</v>
      </c>
      <c r="AL29" s="25">
        <v>0</v>
      </c>
      <c r="AM29" s="25"/>
      <c r="AN29" s="25"/>
      <c r="AO29" s="25"/>
      <c r="AP29" s="25"/>
      <c r="AQ29" s="25"/>
    </row>
    <row r="30" spans="18:43" ht="15" customHeight="1" x14ac:dyDescent="0.25">
      <c r="AA30" s="25"/>
      <c r="AB30" s="25"/>
      <c r="AC30" s="25"/>
      <c r="AD30" s="25" t="str">
        <v>SG&amp;A Margin</v>
      </c>
      <c r="AE30" s="25">
        <v>0</v>
      </c>
      <c r="AF30" s="25">
        <v>0.01</v>
      </c>
      <c r="AG30" s="25">
        <v>0</v>
      </c>
      <c r="AH30" s="25">
        <v>0</v>
      </c>
      <c r="AI30" s="25">
        <v>0</v>
      </c>
      <c r="AJ30" s="25">
        <v>0</v>
      </c>
      <c r="AK30" s="25">
        <v>0</v>
      </c>
      <c r="AL30" s="25">
        <v>0</v>
      </c>
      <c r="AM30" s="25"/>
      <c r="AN30" s="25"/>
      <c r="AO30" s="25"/>
      <c r="AP30" s="25"/>
      <c r="AQ30" s="25"/>
    </row>
    <row r="31" spans="18:43" ht="15" customHeight="1" x14ac:dyDescent="0.25">
      <c r="AA31" s="25"/>
      <c r="AB31" s="25"/>
      <c r="AC31" s="25"/>
      <c r="AD31" s="25" t="str">
        <v>WACC</v>
      </c>
      <c r="AE31" s="25">
        <v>0</v>
      </c>
      <c r="AF31" s="25">
        <v>5.0000000000000001E-3</v>
      </c>
      <c r="AG31" s="25">
        <v>0</v>
      </c>
      <c r="AH31" s="25">
        <v>0</v>
      </c>
      <c r="AI31" s="25">
        <v>0</v>
      </c>
      <c r="AJ31" s="25">
        <v>0</v>
      </c>
      <c r="AK31" s="25">
        <v>0</v>
      </c>
      <c r="AL31" s="25">
        <v>0</v>
      </c>
      <c r="AM31" s="25"/>
      <c r="AN31" s="25"/>
      <c r="AO31" s="25"/>
      <c r="AP31" s="25"/>
      <c r="AQ31" s="25"/>
    </row>
    <row r="32" spans="18:43" ht="15" customHeight="1" x14ac:dyDescent="0.25">
      <c r="R32" s="374" t="s">
        <v>692</v>
      </c>
      <c r="S32" s="32"/>
      <c r="T32" s="32"/>
      <c r="U32" s="32"/>
      <c r="V32" s="374" t="s">
        <v>693</v>
      </c>
      <c r="W32" s="32"/>
      <c r="X32" s="32"/>
      <c r="Y32" s="32"/>
      <c r="Z32" s="37" t="s">
        <v>694</v>
      </c>
      <c r="AA32" s="25"/>
      <c r="AB32" s="25"/>
      <c r="AC32" s="25"/>
      <c r="AD32" s="25" t="str">
        <v>Terminal g</v>
      </c>
      <c r="AE32" s="25">
        <v>0</v>
      </c>
      <c r="AF32" s="25">
        <v>5.0000000000000001E-3</v>
      </c>
      <c r="AG32" s="25">
        <v>0</v>
      </c>
      <c r="AH32" s="25">
        <v>0</v>
      </c>
      <c r="AI32" s="25">
        <v>0</v>
      </c>
      <c r="AJ32" s="25">
        <v>0</v>
      </c>
      <c r="AK32" s="25">
        <v>0</v>
      </c>
      <c r="AL32" s="25">
        <v>0</v>
      </c>
      <c r="AM32" s="25"/>
      <c r="AN32" s="25"/>
      <c r="AO32" s="25"/>
      <c r="AP32" s="25"/>
      <c r="AQ32" s="25"/>
    </row>
    <row r="33" spans="18:43" ht="15" customHeight="1" x14ac:dyDescent="0.25">
      <c r="R33" s="33" t="s">
        <v>695</v>
      </c>
      <c r="T33" s="24">
        <f ca="1">+FCFF!AL169</f>
        <v>421.22853734735787</v>
      </c>
      <c r="V33" s="33" t="s">
        <v>696</v>
      </c>
      <c r="W33" s="97"/>
      <c r="X33" s="620"/>
      <c r="Z33" s="23" t="s">
        <v>251</v>
      </c>
      <c r="AA33" s="25"/>
      <c r="AB33" s="25"/>
      <c r="AC33" s="25"/>
      <c r="AD33" s="25" t="str">
        <v>EBITDA Exit</v>
      </c>
      <c r="AE33" s="25">
        <v>0</v>
      </c>
      <c r="AF33" s="25">
        <v>1.5</v>
      </c>
      <c r="AG33" s="25">
        <v>0</v>
      </c>
      <c r="AH33" s="25">
        <v>0</v>
      </c>
      <c r="AI33" s="25">
        <v>0</v>
      </c>
      <c r="AJ33" s="25">
        <v>0</v>
      </c>
      <c r="AK33" s="25">
        <v>0</v>
      </c>
      <c r="AL33" s="25">
        <v>0</v>
      </c>
      <c r="AM33" s="25"/>
      <c r="AN33" s="25"/>
      <c r="AO33" s="25"/>
      <c r="AP33" s="25"/>
      <c r="AQ33" s="25"/>
    </row>
    <row r="34" spans="18:43" ht="15" customHeight="1" x14ac:dyDescent="0.25">
      <c r="R34" s="33" t="s">
        <v>697</v>
      </c>
      <c r="T34" s="599">
        <f ca="1">+FCFF!Z169</f>
        <v>393.57377557272673</v>
      </c>
      <c r="V34" s="105" t="s">
        <v>698</v>
      </c>
      <c r="W34" s="97"/>
      <c r="X34" s="620"/>
      <c r="AA34" s="25"/>
      <c r="AB34" s="25"/>
      <c r="AC34" s="25"/>
      <c r="AD34" s="25" t="str">
        <v>Revenue Exit</v>
      </c>
      <c r="AE34" s="25">
        <v>0</v>
      </c>
      <c r="AF34" s="25">
        <v>1</v>
      </c>
      <c r="AG34" s="25">
        <v>0</v>
      </c>
      <c r="AH34" s="25">
        <v>0</v>
      </c>
      <c r="AI34" s="25">
        <v>0</v>
      </c>
      <c r="AJ34" s="25">
        <v>0</v>
      </c>
      <c r="AK34" s="25">
        <v>0</v>
      </c>
      <c r="AL34" s="25">
        <v>0</v>
      </c>
      <c r="AM34" s="25"/>
      <c r="AN34" s="25"/>
      <c r="AO34" s="25"/>
      <c r="AP34" s="25"/>
      <c r="AQ34" s="25"/>
    </row>
    <row r="35" spans="18:43" ht="15" customHeight="1" x14ac:dyDescent="0.25">
      <c r="R35" s="33" t="s">
        <v>699</v>
      </c>
      <c r="T35" s="599">
        <f ca="1">FCFF!AF169</f>
        <v>393.57377557272673</v>
      </c>
      <c r="V35" s="33" t="s">
        <v>700</v>
      </c>
      <c r="X35" s="621"/>
      <c r="AA35" s="25"/>
      <c r="AB35" s="25"/>
      <c r="AC35" s="25"/>
      <c r="AD35" s="25"/>
      <c r="AE35" s="25"/>
      <c r="AF35" s="25"/>
      <c r="AG35" s="25"/>
      <c r="AH35" s="25"/>
      <c r="AI35" s="25"/>
      <c r="AJ35" s="25"/>
      <c r="AK35" s="25"/>
      <c r="AL35" s="25"/>
      <c r="AM35" s="25"/>
      <c r="AN35" s="25"/>
      <c r="AO35" s="25"/>
      <c r="AP35" s="25"/>
      <c r="AQ35" s="25"/>
    </row>
    <row r="36" spans="18:43" ht="15" customHeight="1" x14ac:dyDescent="0.25">
      <c r="AA36" s="25"/>
      <c r="AB36" s="25"/>
      <c r="AC36" s="25"/>
      <c r="AD36" s="25"/>
      <c r="AE36" s="25"/>
      <c r="AF36" s="25"/>
      <c r="AG36" s="25"/>
      <c r="AH36" s="25"/>
      <c r="AI36" s="25"/>
      <c r="AJ36" s="25"/>
      <c r="AK36" s="25"/>
      <c r="AL36" s="25"/>
      <c r="AM36" s="25"/>
      <c r="AN36" s="25"/>
      <c r="AO36" s="25"/>
      <c r="AP36" s="25"/>
      <c r="AQ36" s="25"/>
    </row>
    <row r="37" spans="18:43" ht="15" customHeight="1" x14ac:dyDescent="0.25">
      <c r="R37" s="32"/>
      <c r="S37" s="32"/>
      <c r="T37" s="600" t="s">
        <v>701</v>
      </c>
      <c r="U37" s="600" t="s">
        <v>702</v>
      </c>
      <c r="V37" s="601" t="s">
        <v>703</v>
      </c>
      <c r="W37" s="601" t="s">
        <v>704</v>
      </c>
      <c r="X37" s="600" t="s">
        <v>705</v>
      </c>
      <c r="Y37" s="600" t="s">
        <v>706</v>
      </c>
      <c r="Z37" s="600" t="s">
        <v>707</v>
      </c>
      <c r="AA37" s="25"/>
      <c r="AB37" s="25"/>
      <c r="AC37" s="25"/>
      <c r="AD37" s="25"/>
      <c r="AE37" s="25"/>
      <c r="AF37" s="25"/>
      <c r="AG37" s="25"/>
      <c r="AH37" s="25"/>
      <c r="AI37" s="25"/>
      <c r="AJ37" s="25"/>
      <c r="AK37" s="25"/>
      <c r="AL37" s="25"/>
      <c r="AM37" s="25"/>
      <c r="AN37" s="25"/>
      <c r="AO37" s="25"/>
      <c r="AP37" s="25"/>
      <c r="AQ37" s="25"/>
    </row>
    <row r="38" spans="18:43" ht="15" customHeight="1" x14ac:dyDescent="0.25">
      <c r="R38" s="97" t="s">
        <v>708</v>
      </c>
      <c r="S38" s="97"/>
      <c r="T38" s="604">
        <v>0.01</v>
      </c>
      <c r="U38" s="602"/>
      <c r="V38" s="620"/>
      <c r="W38" s="620"/>
      <c r="X38" s="23" cm="1">
        <f t="array" ref="X38">+V38-_xlfn.IFS($Z$33="EBITDA",$X$34,$Z$33="Revenue",$X$35,$Z$33="Gordon",$X$33)</f>
        <v>0</v>
      </c>
      <c r="Y38" s="23" cm="1">
        <f t="array" ref="Y38">+W38-_xlfn.IFS($Z$33="EBITDA",$X$34,$Z$33="Revenue",$X$35,$Z$33="Gordon",$X$33)</f>
        <v>0</v>
      </c>
      <c r="Z38" s="23">
        <f>MAX(ABS(X38),ABS(Y38))</f>
        <v>0</v>
      </c>
      <c r="AA38" s="25"/>
      <c r="AB38" s="25"/>
      <c r="AC38" s="25"/>
      <c r="AD38" s="25"/>
      <c r="AE38" s="25"/>
      <c r="AF38" s="25"/>
      <c r="AG38" s="25"/>
      <c r="AH38" s="25"/>
      <c r="AI38" s="25"/>
      <c r="AJ38" s="25"/>
      <c r="AK38" s="25"/>
      <c r="AL38" s="25"/>
      <c r="AM38" s="25"/>
      <c r="AN38" s="25"/>
      <c r="AO38" s="25"/>
      <c r="AP38" s="25"/>
      <c r="AQ38" s="25"/>
    </row>
    <row r="39" spans="18:43" ht="15" customHeight="1" x14ac:dyDescent="0.25">
      <c r="R39" s="97" t="s">
        <v>709</v>
      </c>
      <c r="S39" s="340"/>
      <c r="T39" s="604">
        <v>0.02</v>
      </c>
      <c r="U39" s="602"/>
      <c r="V39" s="620"/>
      <c r="W39" s="620"/>
      <c r="X39" s="23" cm="1">
        <f t="array" ref="X39">+V39-_xlfn.IFS($Z$33="EBITDA",$X$34,$Z$33="Revenue",$X$35,$Z$33="Gordon",$X$33)</f>
        <v>0</v>
      </c>
      <c r="Y39" s="23" cm="1">
        <f t="array" ref="Y39">+W39-_xlfn.IFS($Z$33="EBITDA",$X$34,$Z$33="Revenue",$X$35,$Z$33="Gordon",$X$33)</f>
        <v>0</v>
      </c>
      <c r="Z39" s="23">
        <f>MAX(ABS(X39),ABS(Y39))</f>
        <v>0</v>
      </c>
      <c r="AA39" s="25"/>
      <c r="AB39" s="25"/>
      <c r="AC39" s="25"/>
      <c r="AD39" s="25"/>
      <c r="AE39" s="25"/>
      <c r="AF39" s="25"/>
      <c r="AG39" s="25"/>
      <c r="AH39" s="25"/>
      <c r="AI39" s="25"/>
      <c r="AJ39" s="25"/>
      <c r="AK39" s="25"/>
      <c r="AL39" s="25"/>
      <c r="AM39" s="25"/>
      <c r="AN39" s="25"/>
      <c r="AO39" s="25"/>
      <c r="AP39" s="25"/>
      <c r="AQ39" s="25"/>
    </row>
    <row r="40" spans="18:43" ht="15" customHeight="1" x14ac:dyDescent="0.25">
      <c r="R40" s="97" t="s">
        <v>710</v>
      </c>
      <c r="S40" s="97"/>
      <c r="T40" s="604">
        <v>0.01</v>
      </c>
      <c r="U40" s="602"/>
      <c r="V40" s="621"/>
      <c r="W40" s="621"/>
      <c r="X40" s="23" cm="1">
        <f t="array" ref="X40">+V40-_xlfn.IFS($Z$33="EBITDA",$X$34,$Z$33="Revenue",$X$35,$Z$33="Gordon",$X$33)</f>
        <v>0</v>
      </c>
      <c r="Y40" s="23" cm="1">
        <f t="array" ref="Y40">+W40-_xlfn.IFS($Z$33="EBITDA",$X$34,$Z$33="Revenue",$X$35,$Z$33="Gordon",$X$33)</f>
        <v>0</v>
      </c>
      <c r="Z40" s="23">
        <f t="shared" ref="Z40:Z44" si="0">MAX(ABS(X40),ABS(Y40))</f>
        <v>0</v>
      </c>
      <c r="AA40" s="25"/>
      <c r="AB40" s="25"/>
      <c r="AC40" s="25"/>
      <c r="AD40" s="25"/>
      <c r="AE40" s="25"/>
      <c r="AF40" s="25"/>
      <c r="AG40" s="25"/>
      <c r="AH40" s="25"/>
      <c r="AI40" s="25"/>
      <c r="AJ40" s="25"/>
      <c r="AK40" s="25"/>
      <c r="AL40" s="25"/>
      <c r="AM40" s="25"/>
      <c r="AN40" s="25"/>
      <c r="AO40" s="25"/>
      <c r="AP40" s="25"/>
      <c r="AQ40" s="25"/>
    </row>
    <row r="41" spans="18:43" ht="15" customHeight="1" x14ac:dyDescent="0.25">
      <c r="R41" s="97" t="s">
        <v>517</v>
      </c>
      <c r="S41" s="97"/>
      <c r="T41" s="604">
        <v>5.0000000000000001E-3</v>
      </c>
      <c r="U41" s="602"/>
      <c r="V41" s="620"/>
      <c r="W41" s="621"/>
      <c r="X41" s="23" cm="1">
        <f t="array" ref="X41">+V41-_xlfn.IFS($Z$33="EBITDA",$X$34,$Z$33="Revenue",$X$35,$Z$33="Gordon",$X$33)</f>
        <v>0</v>
      </c>
      <c r="Y41" s="23" cm="1">
        <f t="array" ref="Y41">+W41-_xlfn.IFS($Z$33="EBITDA",$X$34,$Z$33="Revenue",$X$35,$Z$33="Gordon",$X$33)</f>
        <v>0</v>
      </c>
      <c r="Z41" s="23">
        <f t="shared" si="0"/>
        <v>0</v>
      </c>
      <c r="AA41" s="25"/>
      <c r="AB41" s="25"/>
      <c r="AC41" s="25"/>
      <c r="AD41" s="25"/>
      <c r="AE41" s="25"/>
      <c r="AF41" s="25"/>
      <c r="AG41" s="25"/>
      <c r="AH41" s="25"/>
      <c r="AI41" s="25"/>
      <c r="AJ41" s="25"/>
      <c r="AK41" s="25"/>
      <c r="AL41" s="25"/>
      <c r="AM41" s="25"/>
      <c r="AN41" s="25"/>
      <c r="AO41" s="25"/>
      <c r="AP41" s="25"/>
      <c r="AQ41" s="25"/>
    </row>
    <row r="42" spans="18:43" ht="15" customHeight="1" x14ac:dyDescent="0.25">
      <c r="R42" s="97" t="s">
        <v>711</v>
      </c>
      <c r="S42" s="97"/>
      <c r="T42" s="604">
        <v>5.0000000000000001E-3</v>
      </c>
      <c r="U42" s="602"/>
      <c r="V42" s="620"/>
      <c r="W42" s="621"/>
      <c r="X42" s="23" cm="1">
        <f t="array" ref="X42">+V42-_xlfn.IFS($Z$33="EBITDA",$X$34,$Z$33="Revenue",$X$35,$Z$33="Gordon",$X$33)</f>
        <v>0</v>
      </c>
      <c r="Y42" s="23" cm="1">
        <f t="array" ref="Y42">+W42-_xlfn.IFS($Z$33="EBITDA",$X$34,$Z$33="Revenue",$X$35,$Z$33="Gordon",$X$33)</f>
        <v>0</v>
      </c>
      <c r="Z42" s="23">
        <f t="shared" si="0"/>
        <v>0</v>
      </c>
      <c r="AA42" s="25"/>
      <c r="AB42" s="25"/>
      <c r="AC42" s="25"/>
      <c r="AD42" s="25"/>
      <c r="AE42" s="25"/>
      <c r="AF42" s="25"/>
      <c r="AG42" s="25"/>
      <c r="AH42" s="25"/>
      <c r="AI42" s="25"/>
      <c r="AJ42" s="25"/>
      <c r="AK42" s="25"/>
      <c r="AL42" s="25"/>
      <c r="AM42" s="25"/>
      <c r="AN42" s="25"/>
      <c r="AO42" s="25"/>
      <c r="AP42" s="25"/>
      <c r="AQ42" s="25"/>
    </row>
    <row r="43" spans="18:43" ht="15" customHeight="1" x14ac:dyDescent="0.25">
      <c r="R43" s="97" t="s">
        <v>712</v>
      </c>
      <c r="S43" s="97"/>
      <c r="T43" s="605">
        <v>1.5</v>
      </c>
      <c r="U43" s="603"/>
      <c r="V43" s="621"/>
      <c r="W43" s="621"/>
      <c r="X43" s="23" cm="1">
        <f t="array" ref="X43">+V43-_xlfn.IFS($Z$33="EBITDA",$X$34,$Z$33="Revenue",$X$35,$Z$33="Gordon",$X$33)</f>
        <v>0</v>
      </c>
      <c r="Y43" s="23" cm="1">
        <f t="array" ref="Y43">+W43-_xlfn.IFS($Z$33="EBITDA",$X$34,$Z$33="Revenue",$X$35,$Z$33="Gordon",$X$33)</f>
        <v>0</v>
      </c>
      <c r="Z43" s="23">
        <f t="shared" si="0"/>
        <v>0</v>
      </c>
      <c r="AA43" s="25"/>
      <c r="AB43" s="25"/>
      <c r="AC43" s="25"/>
      <c r="AD43" s="25"/>
      <c r="AE43" s="25"/>
      <c r="AF43" s="25"/>
      <c r="AG43" s="25"/>
      <c r="AH43" s="25"/>
      <c r="AI43" s="25"/>
      <c r="AJ43" s="25"/>
      <c r="AK43" s="25"/>
      <c r="AL43" s="25"/>
      <c r="AM43" s="25"/>
      <c r="AN43" s="25"/>
      <c r="AO43" s="25"/>
      <c r="AP43" s="25"/>
      <c r="AQ43" s="25"/>
    </row>
    <row r="44" spans="18:43" ht="15" customHeight="1" x14ac:dyDescent="0.25">
      <c r="R44" s="97" t="s">
        <v>618</v>
      </c>
      <c r="S44" s="97"/>
      <c r="T44" s="605">
        <v>1</v>
      </c>
      <c r="U44" s="603"/>
      <c r="V44" s="620"/>
      <c r="W44" s="621"/>
      <c r="X44" s="23" cm="1">
        <f t="array" ref="X44">+V44-_xlfn.IFS($Z$33="EBITDA",$X$34,$Z$33="Revenue",$X$35,$Z$33="Gordon",$X$33)</f>
        <v>0</v>
      </c>
      <c r="Y44" s="23" cm="1">
        <f t="array" ref="Y44">+W44-_xlfn.IFS($Z$33="EBITDA",$X$34,$Z$33="Revenue",$X$35,$Z$33="Gordon",$X$33)</f>
        <v>0</v>
      </c>
      <c r="Z44" s="23">
        <f t="shared" si="0"/>
        <v>0</v>
      </c>
      <c r="AA44" s="25"/>
      <c r="AB44" s="25"/>
      <c r="AC44" s="25"/>
      <c r="AD44" s="25"/>
      <c r="AE44" s="25"/>
      <c r="AF44" s="25"/>
      <c r="AG44" s="25"/>
      <c r="AH44" s="25"/>
      <c r="AI44" s="25"/>
      <c r="AJ44" s="25"/>
      <c r="AK44" s="25"/>
      <c r="AL44" s="25"/>
      <c r="AM44" s="25"/>
      <c r="AN44" s="25"/>
      <c r="AO44" s="25"/>
      <c r="AP44" s="25"/>
      <c r="AQ44" s="25"/>
    </row>
    <row r="45" spans="18:43" ht="15" customHeight="1" x14ac:dyDescent="0.25">
      <c r="AA45" s="25"/>
      <c r="AB45" s="25"/>
      <c r="AC45" s="25"/>
      <c r="AD45" s="25"/>
      <c r="AE45" s="25"/>
      <c r="AF45" s="25"/>
      <c r="AG45" s="25"/>
      <c r="AH45" s="25"/>
      <c r="AI45" s="25"/>
      <c r="AJ45" s="25"/>
      <c r="AK45" s="25"/>
      <c r="AL45" s="25"/>
      <c r="AM45" s="25"/>
      <c r="AN45" s="25"/>
      <c r="AO45" s="25"/>
      <c r="AP45" s="25"/>
      <c r="AQ45" s="25"/>
    </row>
    <row r="46" spans="18:43" ht="15" customHeight="1" x14ac:dyDescent="0.25">
      <c r="AA46" s="25"/>
      <c r="AB46" s="25"/>
      <c r="AC46" s="25"/>
      <c r="AD46" s="25"/>
      <c r="AE46" s="25"/>
      <c r="AF46" s="25"/>
      <c r="AG46" s="25"/>
      <c r="AH46" s="25"/>
      <c r="AI46" s="25"/>
      <c r="AJ46" s="25"/>
      <c r="AK46" s="25"/>
      <c r="AL46" s="25"/>
      <c r="AM46" s="25"/>
      <c r="AN46" s="25"/>
      <c r="AO46" s="25"/>
      <c r="AP46" s="25"/>
      <c r="AQ46" s="25"/>
    </row>
    <row r="47" spans="18:43" ht="15" customHeight="1" x14ac:dyDescent="0.25">
      <c r="AA47" s="25"/>
      <c r="AB47" s="25"/>
      <c r="AC47" s="25"/>
      <c r="AD47" s="25"/>
      <c r="AE47" s="25"/>
      <c r="AF47" s="25"/>
      <c r="AG47" s="25"/>
      <c r="AH47" s="25"/>
      <c r="AI47" s="25"/>
      <c r="AJ47" s="25"/>
      <c r="AK47" s="25"/>
      <c r="AL47" s="25"/>
      <c r="AM47" s="25"/>
      <c r="AN47" s="25"/>
      <c r="AO47" s="25"/>
      <c r="AP47" s="25"/>
      <c r="AQ47" s="25"/>
    </row>
    <row r="48" spans="18:43" ht="15" customHeight="1" x14ac:dyDescent="0.25">
      <c r="AA48" s="25"/>
      <c r="AB48" s="25"/>
      <c r="AC48" s="25"/>
      <c r="AD48" s="25"/>
      <c r="AE48" s="25"/>
      <c r="AF48" s="25"/>
      <c r="AG48" s="25"/>
      <c r="AH48" s="25"/>
      <c r="AI48" s="25"/>
      <c r="AJ48" s="25"/>
      <c r="AK48" s="25"/>
      <c r="AL48" s="25"/>
      <c r="AM48" s="25"/>
      <c r="AN48" s="25"/>
      <c r="AO48" s="25"/>
      <c r="AP48" s="25"/>
      <c r="AQ48" s="25"/>
    </row>
    <row r="49" spans="27:43" ht="15" customHeight="1" x14ac:dyDescent="0.25">
      <c r="AA49" s="25"/>
      <c r="AB49" s="25"/>
      <c r="AC49" s="25"/>
      <c r="AD49" s="25"/>
      <c r="AE49" s="25"/>
      <c r="AF49" s="25"/>
      <c r="AG49" s="25"/>
      <c r="AH49" s="25"/>
      <c r="AI49" s="25"/>
      <c r="AJ49" s="25"/>
      <c r="AK49" s="25"/>
      <c r="AL49" s="25"/>
      <c r="AM49" s="25"/>
      <c r="AN49" s="25"/>
      <c r="AO49" s="25"/>
      <c r="AP49" s="25"/>
      <c r="AQ49" s="25"/>
    </row>
    <row r="50" spans="27:43" ht="15" customHeight="1" x14ac:dyDescent="0.25">
      <c r="AA50" s="25"/>
      <c r="AB50" s="25"/>
      <c r="AC50" s="25"/>
      <c r="AD50" s="25"/>
      <c r="AE50" s="25"/>
      <c r="AF50" s="25"/>
      <c r="AG50" s="25"/>
      <c r="AH50" s="25"/>
      <c r="AI50" s="25"/>
      <c r="AJ50" s="25"/>
      <c r="AK50" s="25"/>
      <c r="AL50" s="25"/>
      <c r="AM50" s="25"/>
      <c r="AN50" s="25"/>
      <c r="AO50" s="25"/>
      <c r="AP50" s="25"/>
      <c r="AQ50" s="25"/>
    </row>
    <row r="51" spans="27:43" ht="15" customHeight="1" x14ac:dyDescent="0.25">
      <c r="AA51" s="25"/>
      <c r="AB51" s="25"/>
      <c r="AC51" s="25"/>
      <c r="AD51" s="25"/>
      <c r="AE51" s="25"/>
      <c r="AF51" s="25"/>
      <c r="AG51" s="25"/>
      <c r="AH51" s="25"/>
      <c r="AI51" s="25"/>
      <c r="AJ51" s="25"/>
      <c r="AK51" s="25"/>
      <c r="AL51" s="25"/>
      <c r="AM51" s="25"/>
      <c r="AN51" s="25"/>
      <c r="AO51" s="25"/>
      <c r="AP51" s="25"/>
      <c r="AQ51" s="25"/>
    </row>
    <row r="52" spans="27:43" ht="15" customHeight="1" x14ac:dyDescent="0.25">
      <c r="AA52" s="25"/>
      <c r="AB52" s="25"/>
      <c r="AC52" s="25"/>
      <c r="AD52" s="25"/>
      <c r="AE52" s="25"/>
      <c r="AF52" s="25"/>
      <c r="AG52" s="25"/>
      <c r="AH52" s="25"/>
      <c r="AI52" s="25"/>
      <c r="AJ52" s="25"/>
      <c r="AK52" s="25"/>
      <c r="AL52" s="25"/>
      <c r="AM52" s="25"/>
      <c r="AN52" s="25"/>
      <c r="AO52" s="25"/>
      <c r="AP52" s="25"/>
      <c r="AQ52" s="25"/>
    </row>
    <row r="53" spans="27:43" ht="15" customHeight="1" x14ac:dyDescent="0.25">
      <c r="AA53" s="25"/>
      <c r="AB53" s="25"/>
      <c r="AC53" s="25"/>
      <c r="AD53" s="25"/>
      <c r="AE53" s="25"/>
      <c r="AF53" s="25"/>
      <c r="AG53" s="25"/>
      <c r="AH53" s="25"/>
      <c r="AI53" s="25"/>
      <c r="AJ53" s="25"/>
      <c r="AK53" s="25"/>
      <c r="AL53" s="25"/>
      <c r="AM53" s="25"/>
      <c r="AN53" s="25"/>
      <c r="AO53" s="25"/>
      <c r="AP53" s="25"/>
      <c r="AQ53" s="25"/>
    </row>
    <row r="54" spans="27:43" ht="15" customHeight="1" x14ac:dyDescent="0.25">
      <c r="AA54" s="25"/>
      <c r="AB54" s="25"/>
      <c r="AC54" s="25"/>
      <c r="AD54" s="25"/>
      <c r="AE54" s="25"/>
      <c r="AF54" s="25"/>
      <c r="AG54" s="25"/>
      <c r="AH54" s="25"/>
      <c r="AI54" s="25"/>
      <c r="AJ54" s="25"/>
      <c r="AK54" s="25"/>
      <c r="AL54" s="25"/>
      <c r="AM54" s="25"/>
      <c r="AN54" s="25"/>
      <c r="AO54" s="25"/>
      <c r="AP54" s="25"/>
      <c r="AQ54" s="25"/>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topLeftCell="A34" zoomScale="77" zoomScaleNormal="40" workbookViewId="0">
      <selection activeCell="AF50" sqref="AF50"/>
    </sheetView>
  </sheetViews>
  <sheetFormatPr defaultColWidth="9" defaultRowHeight="14.25" customHeight="1" outlineLevelCol="1" x14ac:dyDescent="0.25"/>
  <cols>
    <col min="1" max="1" width="2.09765625" style="97" customWidth="1"/>
    <col min="2" max="2" width="50.59765625" style="97" customWidth="1"/>
    <col min="3" max="3" width="3.09765625" style="23" customWidth="1"/>
    <col min="4" max="7" width="9.59765625" style="97" customWidth="1" outlineLevel="1"/>
    <col min="8" max="8" width="11.59765625" style="97" customWidth="1"/>
    <col min="9" max="9" width="1.59765625" style="23" customWidth="1"/>
    <col min="10" max="13" width="9.59765625" style="97" customWidth="1" outlineLevel="1"/>
    <col min="14" max="14" width="11.59765625" style="97" customWidth="1"/>
    <col min="15" max="15" width="1.59765625" style="23" customWidth="1"/>
    <col min="16" max="19" width="9.59765625" style="97" customWidth="1" outlineLevel="1"/>
    <col min="20" max="20" width="11.59765625" style="97" customWidth="1"/>
    <col min="21" max="21" width="1.59765625" style="23" customWidth="1"/>
    <col min="22" max="25" width="9.59765625" style="97" customWidth="1" outlineLevel="1"/>
    <col min="26" max="26" width="11.59765625" style="97" customWidth="1"/>
    <col min="27" max="27" width="1.59765625" style="23" customWidth="1"/>
    <col min="28" max="31" width="9.59765625" style="97" customWidth="1" outlineLevel="1"/>
    <col min="32" max="32" width="11.59765625" style="97" customWidth="1"/>
    <col min="33" max="33" width="1.59765625" style="23" customWidth="1"/>
    <col min="34" max="37" width="9.59765625" style="97" customWidth="1" outlineLevel="1"/>
    <col min="38" max="38" width="11.59765625" style="97" customWidth="1"/>
    <col min="39" max="39" width="1.59765625" style="23" customWidth="1"/>
    <col min="40" max="43" width="9.59765625" style="97" customWidth="1" outlineLevel="1"/>
    <col min="44" max="44" width="11.59765625" style="97" customWidth="1"/>
    <col min="45" max="45" width="1.59765625" style="23" customWidth="1"/>
    <col min="46" max="46" width="11.59765625" style="97" customWidth="1"/>
    <col min="47" max="47" width="1.59765625" style="23" customWidth="1"/>
    <col min="48" max="48" width="11.59765625" style="105" customWidth="1"/>
    <col min="49" max="49" width="1.59765625" style="23" customWidth="1"/>
    <col min="50" max="50" width="11.59765625" style="97" customWidth="1"/>
    <col min="51" max="51" width="1.59765625" style="97" customWidth="1"/>
    <col min="52" max="16384" width="9" style="97"/>
  </cols>
  <sheetData>
    <row r="1" spans="2:50" s="581" customFormat="1" ht="15" customHeight="1" x14ac:dyDescent="0.25"/>
    <row r="2" spans="2:50" s="581" customFormat="1" ht="15" customHeight="1" x14ac:dyDescent="0.25"/>
    <row r="3" spans="2:50" s="581" customFormat="1" ht="15" customHeight="1" x14ac:dyDescent="0.25"/>
    <row r="4" spans="2:50" s="581" customFormat="1" ht="15" customHeight="1" x14ac:dyDescent="0.25"/>
    <row r="5" spans="2:50" s="288" customFormat="1" ht="4.3499999999999996" customHeight="1" x14ac:dyDescent="0.25">
      <c r="C5" s="36"/>
      <c r="I5" s="36"/>
      <c r="O5" s="36"/>
      <c r="U5" s="36"/>
      <c r="AA5" s="36"/>
      <c r="AG5" s="36"/>
      <c r="AM5" s="36"/>
      <c r="AS5" s="36"/>
      <c r="AU5" s="36"/>
      <c r="AV5" s="289"/>
      <c r="AW5" s="36"/>
    </row>
    <row r="7" spans="2:50" s="41" customFormat="1" ht="15" customHeight="1" x14ac:dyDescent="0.3">
      <c r="B7" s="161" t="s">
        <v>528</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2:50" s="41" customFormat="1" ht="15" customHeight="1" x14ac:dyDescent="0.3">
      <c r="B8" s="164"/>
      <c r="C8" s="18"/>
      <c r="D8" s="813">
        <v>2020</v>
      </c>
      <c r="E8" s="813"/>
      <c r="F8" s="813"/>
      <c r="G8" s="813"/>
      <c r="H8" s="813"/>
      <c r="I8" s="169"/>
      <c r="J8" s="813">
        <v>2021</v>
      </c>
      <c r="K8" s="813"/>
      <c r="L8" s="813"/>
      <c r="M8" s="813"/>
      <c r="N8" s="813"/>
      <c r="O8" s="169"/>
      <c r="P8" s="813">
        <v>2022</v>
      </c>
      <c r="Q8" s="813"/>
      <c r="R8" s="813"/>
      <c r="S8" s="813"/>
      <c r="T8" s="813"/>
      <c r="U8" s="169"/>
      <c r="V8" s="813">
        <v>2023</v>
      </c>
      <c r="W8" s="813"/>
      <c r="X8" s="813"/>
      <c r="Y8" s="813"/>
      <c r="Z8" s="813"/>
      <c r="AA8" s="169"/>
      <c r="AB8" s="813">
        <v>2024</v>
      </c>
      <c r="AC8" s="813"/>
      <c r="AD8" s="813"/>
      <c r="AE8" s="813"/>
      <c r="AF8" s="813"/>
      <c r="AG8" s="169"/>
      <c r="AH8" s="812">
        <v>2025</v>
      </c>
      <c r="AI8" s="812"/>
      <c r="AJ8" s="812"/>
      <c r="AK8" s="812"/>
      <c r="AL8" s="812"/>
      <c r="AM8" s="169"/>
      <c r="AN8" s="812">
        <v>2026</v>
      </c>
      <c r="AO8" s="812"/>
      <c r="AP8" s="812"/>
      <c r="AQ8" s="812"/>
      <c r="AR8" s="812"/>
      <c r="AS8" s="171"/>
      <c r="AT8" s="166">
        <v>2027</v>
      </c>
      <c r="AU8" s="167"/>
      <c r="AV8" s="166">
        <v>2028</v>
      </c>
      <c r="AW8" s="167"/>
      <c r="AX8" s="166">
        <v>2029</v>
      </c>
    </row>
    <row r="9" spans="2:50" s="41" customFormat="1" ht="14.25" customHeight="1" x14ac:dyDescent="0.3">
      <c r="B9" s="164"/>
      <c r="C9" s="18"/>
      <c r="D9" s="168" t="s">
        <v>36</v>
      </c>
      <c r="E9" s="168" t="s">
        <v>37</v>
      </c>
      <c r="F9" s="168" t="s">
        <v>38</v>
      </c>
      <c r="G9" s="168" t="s">
        <v>39</v>
      </c>
      <c r="H9" s="168" t="s">
        <v>40</v>
      </c>
      <c r="I9" s="18"/>
      <c r="J9" s="168" t="s">
        <v>36</v>
      </c>
      <c r="K9" s="168" t="s">
        <v>37</v>
      </c>
      <c r="L9" s="168" t="s">
        <v>38</v>
      </c>
      <c r="M9" s="168" t="s">
        <v>39</v>
      </c>
      <c r="N9" s="168" t="s">
        <v>40</v>
      </c>
      <c r="O9" s="165"/>
      <c r="P9" s="168" t="s">
        <v>36</v>
      </c>
      <c r="Q9" s="168" t="s">
        <v>37</v>
      </c>
      <c r="R9" s="168" t="s">
        <v>38</v>
      </c>
      <c r="S9" s="168" t="s">
        <v>39</v>
      </c>
      <c r="T9" s="168" t="s">
        <v>40</v>
      </c>
      <c r="U9" s="165"/>
      <c r="V9" s="168" t="s">
        <v>36</v>
      </c>
      <c r="W9" s="168" t="s">
        <v>37</v>
      </c>
      <c r="X9" s="168" t="s">
        <v>38</v>
      </c>
      <c r="Y9" s="168" t="s">
        <v>39</v>
      </c>
      <c r="Z9" s="168" t="s">
        <v>40</v>
      </c>
      <c r="AA9" s="165"/>
      <c r="AB9" s="168" t="s">
        <v>36</v>
      </c>
      <c r="AC9" s="168" t="s">
        <v>37</v>
      </c>
      <c r="AD9" s="168" t="s">
        <v>38</v>
      </c>
      <c r="AE9" s="168" t="s">
        <v>39</v>
      </c>
      <c r="AF9" s="168" t="s">
        <v>40</v>
      </c>
      <c r="AG9" s="165"/>
      <c r="AH9" s="168" t="s">
        <v>36</v>
      </c>
      <c r="AI9" s="168" t="s">
        <v>37</v>
      </c>
      <c r="AJ9" s="168" t="s">
        <v>38</v>
      </c>
      <c r="AK9" s="168" t="s">
        <v>39</v>
      </c>
      <c r="AL9" s="168" t="s">
        <v>40</v>
      </c>
      <c r="AM9" s="165"/>
      <c r="AN9" s="168" t="s">
        <v>36</v>
      </c>
      <c r="AO9" s="168" t="s">
        <v>37</v>
      </c>
      <c r="AP9" s="168" t="s">
        <v>38</v>
      </c>
      <c r="AQ9" s="168" t="s">
        <v>39</v>
      </c>
      <c r="AR9" s="168" t="s">
        <v>40</v>
      </c>
      <c r="AS9" s="165"/>
      <c r="AT9" s="168" t="s">
        <v>40</v>
      </c>
      <c r="AU9" s="165"/>
      <c r="AV9" s="168" t="s">
        <v>40</v>
      </c>
      <c r="AW9" s="165"/>
      <c r="AX9" s="168" t="s">
        <v>40</v>
      </c>
    </row>
    <row r="10" spans="2:50" s="41" customFormat="1" ht="4.3499999999999996" customHeight="1" x14ac:dyDescent="0.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2:50" s="41" customFormat="1" ht="4.3499999999999996" customHeight="1" x14ac:dyDescent="0.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2:50" s="54" customFormat="1" ht="14.25" customHeight="1" x14ac:dyDescent="0.25">
      <c r="B12" s="45" t="s">
        <v>713</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0" s="54" customFormat="1" ht="14.25" customHeight="1" x14ac:dyDescent="0.25">
      <c r="B13" s="56" t="s">
        <v>714</v>
      </c>
      <c r="C13" s="23"/>
      <c r="D13" s="50"/>
      <c r="E13" s="50"/>
      <c r="F13" s="50"/>
      <c r="G13" s="50"/>
      <c r="H13" s="52"/>
      <c r="I13" s="48"/>
      <c r="J13" s="50"/>
      <c r="K13" s="50"/>
      <c r="L13" s="50"/>
      <c r="M13" s="50"/>
      <c r="N13" s="52"/>
      <c r="O13" s="47"/>
      <c r="P13" s="50"/>
      <c r="Q13" s="50"/>
      <c r="R13" s="50"/>
      <c r="S13" s="50"/>
      <c r="T13" s="52"/>
      <c r="U13" s="47"/>
      <c r="V13" s="50"/>
      <c r="W13" s="50"/>
      <c r="X13" s="50"/>
      <c r="Y13" s="50"/>
      <c r="Z13" s="52"/>
      <c r="AA13" s="47"/>
      <c r="AB13" s="50"/>
      <c r="AC13" s="50"/>
      <c r="AD13" s="50"/>
      <c r="AE13" s="50"/>
      <c r="AF13" s="52"/>
      <c r="AG13" s="49"/>
      <c r="AH13" s="50"/>
      <c r="AI13" s="50"/>
      <c r="AJ13" s="50"/>
      <c r="AK13" s="50"/>
      <c r="AL13" s="52"/>
      <c r="AM13" s="51"/>
      <c r="AN13" s="50"/>
      <c r="AO13" s="50"/>
      <c r="AP13" s="50"/>
      <c r="AQ13" s="50"/>
      <c r="AR13" s="52"/>
      <c r="AS13" s="51"/>
      <c r="AT13" s="52"/>
      <c r="AU13" s="53"/>
      <c r="AV13" s="52"/>
      <c r="AW13" s="53"/>
      <c r="AX13" s="52"/>
    </row>
    <row r="14" spans="2:50" s="54" customFormat="1" ht="14.25" customHeight="1" x14ac:dyDescent="0.25">
      <c r="B14" s="56" t="s">
        <v>715</v>
      </c>
      <c r="C14" s="23"/>
      <c r="D14" s="50"/>
      <c r="E14" s="50"/>
      <c r="F14" s="50"/>
      <c r="G14" s="50"/>
      <c r="H14" s="52"/>
      <c r="I14" s="48"/>
      <c r="J14" s="50"/>
      <c r="K14" s="50"/>
      <c r="L14" s="50"/>
      <c r="M14" s="50"/>
      <c r="N14" s="52"/>
      <c r="O14" s="47"/>
      <c r="P14" s="50"/>
      <c r="Q14" s="50"/>
      <c r="R14" s="50"/>
      <c r="S14" s="50"/>
      <c r="T14" s="52"/>
      <c r="U14" s="47"/>
      <c r="V14" s="50"/>
      <c r="W14" s="50"/>
      <c r="X14" s="50"/>
      <c r="Y14" s="50"/>
      <c r="Z14" s="52"/>
      <c r="AA14" s="47"/>
      <c r="AB14" s="50"/>
      <c r="AC14" s="50"/>
      <c r="AD14" s="50"/>
      <c r="AE14" s="50"/>
      <c r="AF14" s="52"/>
      <c r="AG14" s="49"/>
      <c r="AH14" s="50"/>
      <c r="AI14" s="50"/>
      <c r="AJ14" s="50"/>
      <c r="AK14" s="50"/>
      <c r="AL14" s="52"/>
      <c r="AM14" s="51"/>
      <c r="AN14" s="50"/>
      <c r="AO14" s="50"/>
      <c r="AP14" s="50"/>
      <c r="AQ14" s="50"/>
      <c r="AR14" s="52"/>
      <c r="AS14" s="51"/>
      <c r="AT14" s="52"/>
      <c r="AU14" s="53"/>
      <c r="AV14" s="52"/>
      <c r="AW14" s="53"/>
      <c r="AX14" s="52"/>
    </row>
    <row r="15" spans="2:50" s="54" customFormat="1" ht="14.25" customHeight="1" x14ac:dyDescent="0.25">
      <c r="B15" s="56" t="s">
        <v>716</v>
      </c>
      <c r="C15" s="23"/>
      <c r="D15" s="50"/>
      <c r="E15" s="50"/>
      <c r="F15" s="50"/>
      <c r="G15" s="50"/>
      <c r="H15" s="52"/>
      <c r="I15" s="48"/>
      <c r="J15" s="50"/>
      <c r="K15" s="50"/>
      <c r="L15" s="50"/>
      <c r="M15" s="50"/>
      <c r="N15" s="52"/>
      <c r="O15" s="47"/>
      <c r="P15" s="50"/>
      <c r="Q15" s="50"/>
      <c r="R15" s="50"/>
      <c r="S15" s="50"/>
      <c r="T15" s="52"/>
      <c r="U15" s="47"/>
      <c r="V15" s="50"/>
      <c r="W15" s="50"/>
      <c r="X15" s="50"/>
      <c r="Y15" s="50"/>
      <c r="Z15" s="52"/>
      <c r="AA15" s="47"/>
      <c r="AB15" s="50"/>
      <c r="AC15" s="50"/>
      <c r="AD15" s="50"/>
      <c r="AE15" s="50"/>
      <c r="AF15" s="52"/>
      <c r="AG15" s="49"/>
      <c r="AH15" s="50"/>
      <c r="AI15" s="50"/>
      <c r="AJ15" s="50"/>
      <c r="AK15" s="50"/>
      <c r="AL15" s="52"/>
      <c r="AM15" s="51"/>
      <c r="AN15" s="50"/>
      <c r="AO15" s="50"/>
      <c r="AP15" s="50"/>
      <c r="AQ15" s="50"/>
      <c r="AR15" s="52"/>
      <c r="AS15" s="51"/>
      <c r="AT15" s="52"/>
      <c r="AU15" s="53"/>
      <c r="AV15" s="52"/>
      <c r="AW15" s="53"/>
      <c r="AX15" s="52"/>
    </row>
    <row r="16" spans="2:50" s="54" customFormat="1" ht="14.25" customHeight="1" x14ac:dyDescent="0.25">
      <c r="B16" s="56" t="s">
        <v>717</v>
      </c>
      <c r="C16" s="23"/>
      <c r="D16" s="50"/>
      <c r="E16" s="50"/>
      <c r="F16" s="50"/>
      <c r="G16" s="50"/>
      <c r="H16" s="58"/>
      <c r="I16" s="48"/>
      <c r="J16" s="50"/>
      <c r="K16" s="50"/>
      <c r="L16" s="50"/>
      <c r="M16" s="50"/>
      <c r="N16" s="58"/>
      <c r="O16" s="57"/>
      <c r="P16" s="50"/>
      <c r="Q16" s="50"/>
      <c r="R16" s="50"/>
      <c r="S16" s="50"/>
      <c r="T16" s="58"/>
      <c r="U16" s="57"/>
      <c r="V16" s="50"/>
      <c r="W16" s="50"/>
      <c r="X16" s="50"/>
      <c r="Y16" s="50"/>
      <c r="Z16" s="58"/>
      <c r="AA16" s="57"/>
      <c r="AB16" s="50"/>
      <c r="AC16" s="50"/>
      <c r="AD16" s="50"/>
      <c r="AE16" s="50"/>
      <c r="AF16" s="58"/>
      <c r="AG16" s="49"/>
      <c r="AH16" s="50"/>
      <c r="AI16" s="50"/>
      <c r="AJ16" s="50"/>
      <c r="AK16" s="50"/>
      <c r="AL16" s="58"/>
      <c r="AM16" s="51"/>
      <c r="AN16" s="50"/>
      <c r="AO16" s="50"/>
      <c r="AP16" s="50"/>
      <c r="AQ16" s="50"/>
      <c r="AR16" s="58"/>
      <c r="AS16" s="51"/>
      <c r="AT16" s="58"/>
      <c r="AU16" s="53"/>
      <c r="AV16" s="58"/>
      <c r="AW16" s="53"/>
      <c r="AX16" s="58"/>
    </row>
    <row r="17" spans="1:50" s="54" customFormat="1" ht="14.25" customHeight="1" x14ac:dyDescent="0.25">
      <c r="A17" s="55"/>
      <c r="B17" s="56" t="s">
        <v>718</v>
      </c>
      <c r="C17" s="23"/>
      <c r="D17" s="50"/>
      <c r="E17" s="50"/>
      <c r="F17" s="50"/>
      <c r="G17" s="50"/>
      <c r="H17" s="58"/>
      <c r="I17" s="48"/>
      <c r="J17" s="50"/>
      <c r="K17" s="50"/>
      <c r="L17" s="50"/>
      <c r="M17" s="50"/>
      <c r="N17" s="58"/>
      <c r="O17" s="57"/>
      <c r="P17" s="50"/>
      <c r="Q17" s="50"/>
      <c r="R17" s="50"/>
      <c r="S17" s="50"/>
      <c r="T17" s="58"/>
      <c r="U17" s="57"/>
      <c r="V17" s="50"/>
      <c r="W17" s="50"/>
      <c r="X17" s="50"/>
      <c r="Y17" s="50"/>
      <c r="Z17" s="58"/>
      <c r="AA17" s="57"/>
      <c r="AB17" s="50"/>
      <c r="AC17" s="50"/>
      <c r="AD17" s="50"/>
      <c r="AE17" s="50"/>
      <c r="AF17" s="58"/>
      <c r="AG17" s="49"/>
      <c r="AH17" s="50"/>
      <c r="AI17" s="50"/>
      <c r="AJ17" s="50"/>
      <c r="AK17" s="50"/>
      <c r="AL17" s="58"/>
      <c r="AM17" s="51"/>
      <c r="AN17" s="50"/>
      <c r="AO17" s="50"/>
      <c r="AP17" s="50"/>
      <c r="AQ17" s="50"/>
      <c r="AR17" s="58"/>
      <c r="AS17" s="51"/>
      <c r="AT17" s="58"/>
      <c r="AU17" s="53"/>
      <c r="AV17" s="58"/>
      <c r="AW17" s="53"/>
      <c r="AX17" s="58"/>
    </row>
    <row r="18" spans="1:50" s="54" customFormat="1" ht="14.25" customHeight="1" x14ac:dyDescent="0.25">
      <c r="A18" s="55"/>
      <c r="B18" s="59" t="s">
        <v>55</v>
      </c>
      <c r="C18" s="23"/>
      <c r="D18" s="60">
        <v>7631</v>
      </c>
      <c r="E18" s="60">
        <v>9253</v>
      </c>
      <c r="F18" s="60">
        <v>8925</v>
      </c>
      <c r="G18" s="60">
        <v>9731</v>
      </c>
      <c r="H18" s="61">
        <v>35540</v>
      </c>
      <c r="I18" s="48"/>
      <c r="J18" s="60">
        <v>9112</v>
      </c>
      <c r="K18" s="60">
        <v>12058</v>
      </c>
      <c r="L18" s="60">
        <v>11527</v>
      </c>
      <c r="M18" s="60">
        <v>11327</v>
      </c>
      <c r="N18" s="61">
        <v>44024</v>
      </c>
      <c r="O18" s="47"/>
      <c r="P18" s="60">
        <v>9569</v>
      </c>
      <c r="Q18" s="60">
        <v>13370</v>
      </c>
      <c r="R18" s="60">
        <v>14102</v>
      </c>
      <c r="S18" s="60">
        <v>15536</v>
      </c>
      <c r="T18" s="61">
        <v>52577</v>
      </c>
      <c r="U18" s="47"/>
      <c r="V18" s="60">
        <v>12652</v>
      </c>
      <c r="W18" s="60">
        <v>17387</v>
      </c>
      <c r="X18" s="60">
        <v>15801</v>
      </c>
      <c r="Y18" s="60">
        <v>15412</v>
      </c>
      <c r="Z18" s="61">
        <v>61251</v>
      </c>
      <c r="AA18" s="47"/>
      <c r="AB18" s="60">
        <v>12185</v>
      </c>
      <c r="AC18" s="60">
        <v>15235</v>
      </c>
      <c r="AD18" s="60">
        <v>13152</v>
      </c>
      <c r="AE18" s="60">
        <v>11143</v>
      </c>
      <c r="AF18" s="61">
        <v>51716</v>
      </c>
      <c r="AG18" s="49"/>
      <c r="AH18" s="60">
        <v>8508</v>
      </c>
      <c r="AI18" s="60">
        <v>12763</v>
      </c>
      <c r="AJ18" s="62"/>
      <c r="AK18" s="62"/>
      <c r="AL18" s="63"/>
      <c r="AM18" s="51"/>
      <c r="AN18" s="62"/>
      <c r="AO18" s="62"/>
      <c r="AP18" s="62"/>
      <c r="AQ18" s="62"/>
      <c r="AR18" s="63"/>
      <c r="AS18" s="51"/>
      <c r="AT18" s="63"/>
      <c r="AU18" s="53"/>
      <c r="AV18" s="63"/>
      <c r="AW18" s="53"/>
      <c r="AX18" s="63"/>
    </row>
    <row r="19" spans="1:50" s="54" customFormat="1" ht="14.25" customHeight="1" x14ac:dyDescent="0.25">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571"/>
      <c r="AI19" s="46"/>
      <c r="AJ19" s="50"/>
      <c r="AK19" s="50"/>
      <c r="AL19" s="52"/>
      <c r="AM19" s="51"/>
      <c r="AN19" s="50"/>
      <c r="AO19" s="50"/>
      <c r="AP19" s="50"/>
      <c r="AQ19" s="50"/>
      <c r="AR19" s="52"/>
      <c r="AS19" s="51"/>
      <c r="AT19" s="52"/>
      <c r="AU19" s="53"/>
      <c r="AV19" s="52"/>
      <c r="AW19" s="53"/>
      <c r="AX19" s="52"/>
    </row>
    <row r="20" spans="1:50" s="54" customFormat="1" ht="14.25" customHeight="1" x14ac:dyDescent="0.25">
      <c r="A20" s="44" t="s">
        <v>70</v>
      </c>
      <c r="B20" s="65" t="s">
        <v>719</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67"/>
      <c r="AN20" s="50"/>
      <c r="AO20" s="50"/>
      <c r="AP20" s="50"/>
      <c r="AQ20" s="50"/>
      <c r="AR20" s="68"/>
      <c r="AS20" s="67"/>
      <c r="AT20" s="68"/>
      <c r="AU20" s="69"/>
      <c r="AV20" s="68"/>
      <c r="AW20" s="69"/>
      <c r="AX20" s="68"/>
    </row>
    <row r="21" spans="1:50" s="54" customFormat="1" ht="14.25" customHeight="1" x14ac:dyDescent="0.25">
      <c r="A21" s="55"/>
      <c r="B21" s="70" t="s">
        <v>720</v>
      </c>
      <c r="C21" s="24"/>
      <c r="D21" s="60">
        <v>5038</v>
      </c>
      <c r="E21" s="60">
        <v>6294</v>
      </c>
      <c r="F21" s="60">
        <v>5831</v>
      </c>
      <c r="G21" s="60">
        <v>6432</v>
      </c>
      <c r="H21" s="66">
        <v>23677</v>
      </c>
      <c r="I21" s="48"/>
      <c r="J21" s="60">
        <v>5813</v>
      </c>
      <c r="K21" s="60">
        <v>7928</v>
      </c>
      <c r="L21" s="60">
        <v>7574</v>
      </c>
      <c r="M21" s="60">
        <v>7801</v>
      </c>
      <c r="N21" s="66">
        <v>29116</v>
      </c>
      <c r="O21" s="48"/>
      <c r="P21" s="60">
        <v>6695</v>
      </c>
      <c r="Q21" s="60">
        <v>8918</v>
      </c>
      <c r="R21" s="60">
        <v>9511</v>
      </c>
      <c r="S21" s="60">
        <v>10214</v>
      </c>
      <c r="T21" s="66">
        <v>35338</v>
      </c>
      <c r="U21" s="48"/>
      <c r="V21" s="60">
        <v>7934</v>
      </c>
      <c r="W21" s="60">
        <v>10730</v>
      </c>
      <c r="X21" s="60">
        <v>9624</v>
      </c>
      <c r="Y21" s="60">
        <v>9427</v>
      </c>
      <c r="Z21" s="66">
        <v>37715</v>
      </c>
      <c r="AA21" s="51"/>
      <c r="AB21" s="60">
        <v>7200</v>
      </c>
      <c r="AC21" s="60">
        <v>9157</v>
      </c>
      <c r="AD21" s="60">
        <v>7848</v>
      </c>
      <c r="AE21" s="60">
        <v>6571</v>
      </c>
      <c r="AF21" s="66">
        <v>30775</v>
      </c>
      <c r="AG21" s="49"/>
      <c r="AH21" s="60">
        <v>5037</v>
      </c>
      <c r="AI21" s="60">
        <v>7609</v>
      </c>
      <c r="AJ21" s="50"/>
      <c r="AK21" s="50"/>
      <c r="AL21" s="68"/>
      <c r="AM21" s="71"/>
      <c r="AN21" s="50"/>
      <c r="AO21" s="50"/>
      <c r="AP21" s="50"/>
      <c r="AQ21" s="50"/>
      <c r="AR21" s="68"/>
      <c r="AS21" s="71"/>
      <c r="AT21" s="68"/>
      <c r="AU21" s="72"/>
      <c r="AV21" s="68"/>
      <c r="AW21" s="72"/>
      <c r="AX21" s="68"/>
    </row>
    <row r="22" spans="1:50" s="54" customFormat="1" ht="14.25" customHeight="1" x14ac:dyDescent="0.25">
      <c r="A22" s="73"/>
      <c r="B22" s="70" t="s">
        <v>721</v>
      </c>
      <c r="C22" s="21"/>
      <c r="D22" s="60">
        <v>0</v>
      </c>
      <c r="E22" s="60">
        <v>0</v>
      </c>
      <c r="F22" s="60">
        <v>0</v>
      </c>
      <c r="G22" s="60">
        <v>0</v>
      </c>
      <c r="H22" s="74">
        <v>0</v>
      </c>
      <c r="I22" s="48"/>
      <c r="J22" s="60">
        <v>0</v>
      </c>
      <c r="K22" s="60">
        <v>0</v>
      </c>
      <c r="L22" s="60">
        <v>0</v>
      </c>
      <c r="M22" s="60">
        <v>0</v>
      </c>
      <c r="N22" s="74">
        <v>0</v>
      </c>
      <c r="O22" s="48"/>
      <c r="P22" s="60">
        <v>0</v>
      </c>
      <c r="Q22" s="60">
        <v>0</v>
      </c>
      <c r="R22" s="60">
        <v>0</v>
      </c>
      <c r="S22" s="60">
        <v>0</v>
      </c>
      <c r="T22" s="74">
        <v>0</v>
      </c>
      <c r="U22" s="48"/>
      <c r="V22" s="60">
        <v>0</v>
      </c>
      <c r="W22" s="60">
        <v>0</v>
      </c>
      <c r="X22" s="60">
        <v>0</v>
      </c>
      <c r="Y22" s="60">
        <v>0</v>
      </c>
      <c r="Z22" s="74">
        <v>0</v>
      </c>
      <c r="AA22" s="51"/>
      <c r="AB22" s="60">
        <v>0</v>
      </c>
      <c r="AC22" s="60">
        <v>0</v>
      </c>
      <c r="AD22" s="60">
        <v>0</v>
      </c>
      <c r="AE22" s="60">
        <v>0</v>
      </c>
      <c r="AF22" s="74">
        <v>0</v>
      </c>
      <c r="AG22" s="49"/>
      <c r="AH22" s="60">
        <v>0</v>
      </c>
      <c r="AI22" s="60">
        <v>0</v>
      </c>
      <c r="AJ22" s="50"/>
      <c r="AK22" s="50"/>
      <c r="AL22" s="75"/>
      <c r="AM22" s="71"/>
      <c r="AN22" s="50"/>
      <c r="AO22" s="50"/>
      <c r="AP22" s="50"/>
      <c r="AQ22" s="50"/>
      <c r="AR22" s="75"/>
      <c r="AS22" s="71"/>
      <c r="AT22" s="75"/>
      <c r="AU22" s="72"/>
      <c r="AV22" s="75"/>
      <c r="AW22" s="72"/>
      <c r="AX22" s="75"/>
    </row>
    <row r="23" spans="1:50" s="54" customFormat="1" ht="14.25" customHeight="1" x14ac:dyDescent="0.25">
      <c r="A23" s="55"/>
      <c r="B23" s="76" t="s">
        <v>722</v>
      </c>
      <c r="C23" s="23"/>
      <c r="D23" s="46">
        <v>5038</v>
      </c>
      <c r="E23" s="46">
        <v>6294</v>
      </c>
      <c r="F23" s="46">
        <v>5831</v>
      </c>
      <c r="G23" s="46">
        <v>6432</v>
      </c>
      <c r="H23" s="77">
        <v>23677</v>
      </c>
      <c r="I23" s="48"/>
      <c r="J23" s="46">
        <v>5813</v>
      </c>
      <c r="K23" s="46">
        <v>7928</v>
      </c>
      <c r="L23" s="46">
        <v>7574</v>
      </c>
      <c r="M23" s="46">
        <v>7801</v>
      </c>
      <c r="N23" s="77">
        <v>29116</v>
      </c>
      <c r="O23" s="48"/>
      <c r="P23" s="46">
        <v>6695</v>
      </c>
      <c r="Q23" s="46">
        <v>8918</v>
      </c>
      <c r="R23" s="46">
        <v>9511</v>
      </c>
      <c r="S23" s="46">
        <v>10214</v>
      </c>
      <c r="T23" s="77">
        <v>35338</v>
      </c>
      <c r="U23" s="48"/>
      <c r="V23" s="46">
        <v>7934</v>
      </c>
      <c r="W23" s="46">
        <v>10730</v>
      </c>
      <c r="X23" s="46">
        <v>9624</v>
      </c>
      <c r="Y23" s="46">
        <v>9427</v>
      </c>
      <c r="Z23" s="77">
        <v>37715</v>
      </c>
      <c r="AA23" s="51"/>
      <c r="AB23" s="46">
        <v>7200</v>
      </c>
      <c r="AC23" s="46">
        <v>9157</v>
      </c>
      <c r="AD23" s="46">
        <v>7848</v>
      </c>
      <c r="AE23" s="46">
        <v>6571</v>
      </c>
      <c r="AF23" s="77">
        <v>30775</v>
      </c>
      <c r="AG23" s="49"/>
      <c r="AH23" s="46">
        <v>5037</v>
      </c>
      <c r="AI23" s="46">
        <v>7609</v>
      </c>
      <c r="AJ23" s="50"/>
      <c r="AK23" s="50"/>
      <c r="AL23" s="78"/>
      <c r="AM23" s="71"/>
      <c r="AN23" s="50"/>
      <c r="AO23" s="50"/>
      <c r="AP23" s="50"/>
      <c r="AQ23" s="50"/>
      <c r="AR23" s="78"/>
      <c r="AS23" s="71"/>
      <c r="AT23" s="78"/>
      <c r="AU23" s="72"/>
      <c r="AV23" s="78"/>
      <c r="AW23" s="72"/>
      <c r="AX23" s="78"/>
    </row>
    <row r="24" spans="1:50" s="54" customFormat="1" ht="14.25" customHeight="1" x14ac:dyDescent="0.25">
      <c r="A24" s="73"/>
      <c r="B24" s="79" t="s">
        <v>282</v>
      </c>
      <c r="C24" s="21"/>
      <c r="D24" s="46">
        <v>2593</v>
      </c>
      <c r="E24" s="46">
        <v>2959</v>
      </c>
      <c r="F24" s="46">
        <v>3094</v>
      </c>
      <c r="G24" s="46">
        <v>3299</v>
      </c>
      <c r="H24" s="77">
        <v>11863</v>
      </c>
      <c r="I24" s="48"/>
      <c r="J24" s="46">
        <v>3299</v>
      </c>
      <c r="K24" s="46">
        <v>4130</v>
      </c>
      <c r="L24" s="46">
        <v>3953</v>
      </c>
      <c r="M24" s="46">
        <v>3526</v>
      </c>
      <c r="N24" s="77">
        <v>14908</v>
      </c>
      <c r="O24" s="48"/>
      <c r="P24" s="46">
        <v>2874</v>
      </c>
      <c r="Q24" s="46">
        <v>4452</v>
      </c>
      <c r="R24" s="46">
        <v>4591</v>
      </c>
      <c r="S24" s="46">
        <v>5322</v>
      </c>
      <c r="T24" s="77">
        <v>17239</v>
      </c>
      <c r="U24" s="48"/>
      <c r="V24" s="46">
        <v>4718</v>
      </c>
      <c r="W24" s="46">
        <v>6657</v>
      </c>
      <c r="X24" s="46">
        <v>6177</v>
      </c>
      <c r="Y24" s="46">
        <v>5985</v>
      </c>
      <c r="Z24" s="77">
        <v>23536</v>
      </c>
      <c r="AA24" s="51"/>
      <c r="AB24" s="46">
        <v>4985</v>
      </c>
      <c r="AC24" s="46">
        <v>6078</v>
      </c>
      <c r="AD24" s="46">
        <v>5304</v>
      </c>
      <c r="AE24" s="46">
        <v>4572</v>
      </c>
      <c r="AF24" s="77">
        <v>20941</v>
      </c>
      <c r="AG24" s="49"/>
      <c r="AH24" s="46">
        <v>3471</v>
      </c>
      <c r="AI24" s="46">
        <v>5154</v>
      </c>
      <c r="AJ24" s="50"/>
      <c r="AK24" s="50"/>
      <c r="AL24" s="78"/>
      <c r="AM24" s="71"/>
      <c r="AN24" s="50"/>
      <c r="AO24" s="50"/>
      <c r="AP24" s="50"/>
      <c r="AQ24" s="50"/>
      <c r="AR24" s="78"/>
      <c r="AS24" s="71"/>
      <c r="AT24" s="78"/>
      <c r="AU24" s="72"/>
      <c r="AV24" s="78"/>
      <c r="AW24" s="72"/>
      <c r="AX24" s="78"/>
    </row>
    <row r="25" spans="1:50" s="54" customFormat="1" ht="14.25" customHeight="1" x14ac:dyDescent="0.25">
      <c r="A25" s="55"/>
      <c r="B25" s="80"/>
      <c r="C25" s="23"/>
      <c r="D25" s="46"/>
      <c r="E25" s="46"/>
      <c r="F25" s="46"/>
      <c r="G25" s="46"/>
      <c r="H25" s="66"/>
      <c r="I25" s="48"/>
      <c r="J25" s="46"/>
      <c r="K25" s="46"/>
      <c r="L25" s="46"/>
      <c r="M25" s="46"/>
      <c r="N25" s="66"/>
      <c r="O25" s="48"/>
      <c r="P25" s="46"/>
      <c r="Q25" s="46"/>
      <c r="R25" s="46"/>
      <c r="S25" s="46"/>
      <c r="T25" s="66"/>
      <c r="U25" s="48"/>
      <c r="V25" s="46"/>
      <c r="W25" s="46"/>
      <c r="X25" s="46"/>
      <c r="Y25" s="46"/>
      <c r="Z25" s="66"/>
      <c r="AA25" s="51"/>
      <c r="AB25" s="46"/>
      <c r="AC25" s="46"/>
      <c r="AD25" s="46"/>
      <c r="AE25" s="46"/>
      <c r="AF25" s="66"/>
      <c r="AG25" s="49"/>
      <c r="AH25" s="46"/>
      <c r="AI25" s="46"/>
      <c r="AJ25" s="50"/>
      <c r="AK25" s="50"/>
      <c r="AL25" s="68"/>
      <c r="AM25" s="71"/>
      <c r="AN25" s="50"/>
      <c r="AO25" s="50"/>
      <c r="AP25" s="50"/>
      <c r="AQ25" s="50"/>
      <c r="AR25" s="68"/>
      <c r="AS25" s="71"/>
      <c r="AT25" s="68"/>
      <c r="AU25" s="72"/>
      <c r="AV25" s="68"/>
      <c r="AW25" s="72"/>
      <c r="AX25" s="68"/>
    </row>
    <row r="26" spans="1:50" s="54" customFormat="1" ht="14.25" customHeight="1" x14ac:dyDescent="0.25">
      <c r="A26" s="44" t="s">
        <v>70</v>
      </c>
      <c r="B26" s="65" t="s">
        <v>723</v>
      </c>
      <c r="C26" s="21"/>
      <c r="D26" s="46"/>
      <c r="E26" s="46"/>
      <c r="F26" s="46"/>
      <c r="G26" s="46"/>
      <c r="H26" s="66"/>
      <c r="I26" s="48"/>
      <c r="J26" s="46"/>
      <c r="K26" s="46"/>
      <c r="L26" s="46"/>
      <c r="M26" s="46"/>
      <c r="N26" s="66"/>
      <c r="O26" s="48"/>
      <c r="P26" s="46"/>
      <c r="Q26" s="46"/>
      <c r="R26" s="46"/>
      <c r="S26" s="46"/>
      <c r="T26" s="66"/>
      <c r="U26" s="48"/>
      <c r="V26" s="46"/>
      <c r="W26" s="46"/>
      <c r="X26" s="46"/>
      <c r="Y26" s="46"/>
      <c r="Z26" s="66"/>
      <c r="AA26" s="81"/>
      <c r="AB26" s="46"/>
      <c r="AC26" s="46"/>
      <c r="AD26" s="46"/>
      <c r="AE26" s="46"/>
      <c r="AF26" s="66"/>
      <c r="AG26" s="82"/>
      <c r="AH26" s="46"/>
      <c r="AI26" s="46"/>
      <c r="AJ26" s="50"/>
      <c r="AK26" s="50"/>
      <c r="AL26" s="68"/>
      <c r="AM26" s="81"/>
      <c r="AN26" s="50"/>
      <c r="AO26" s="50"/>
      <c r="AP26" s="50"/>
      <c r="AQ26" s="50"/>
      <c r="AR26" s="68"/>
      <c r="AS26" s="81"/>
      <c r="AT26" s="68"/>
      <c r="AU26" s="83"/>
      <c r="AV26" s="68"/>
      <c r="AW26" s="83"/>
      <c r="AX26" s="68"/>
    </row>
    <row r="27" spans="1:50" s="54" customFormat="1" ht="14.25" customHeight="1" x14ac:dyDescent="0.25">
      <c r="A27" s="84"/>
      <c r="B27" s="70" t="s">
        <v>724</v>
      </c>
      <c r="C27" s="26"/>
      <c r="D27" s="46">
        <v>759</v>
      </c>
      <c r="E27" s="46">
        <v>906</v>
      </c>
      <c r="F27" s="46">
        <v>752</v>
      </c>
      <c r="G27" s="46">
        <v>1007</v>
      </c>
      <c r="H27" s="66">
        <v>3477</v>
      </c>
      <c r="I27" s="48"/>
      <c r="J27" s="46">
        <v>769</v>
      </c>
      <c r="K27" s="46">
        <v>838</v>
      </c>
      <c r="L27" s="46">
        <v>841</v>
      </c>
      <c r="M27" s="46">
        <v>935</v>
      </c>
      <c r="N27" s="66">
        <v>3383</v>
      </c>
      <c r="O27" s="48"/>
      <c r="P27" s="46">
        <v>781</v>
      </c>
      <c r="Q27" s="46">
        <v>932</v>
      </c>
      <c r="R27" s="46">
        <v>959</v>
      </c>
      <c r="S27" s="46">
        <v>1191</v>
      </c>
      <c r="T27" s="66">
        <v>3863</v>
      </c>
      <c r="U27" s="48"/>
      <c r="V27" s="46">
        <v>952</v>
      </c>
      <c r="W27" s="46">
        <v>1330</v>
      </c>
      <c r="X27" s="46">
        <v>1110</v>
      </c>
      <c r="Y27" s="46">
        <v>1203</v>
      </c>
      <c r="Z27" s="66">
        <v>4595</v>
      </c>
      <c r="AA27" s="81"/>
      <c r="AB27" s="46">
        <v>1066</v>
      </c>
      <c r="AC27" s="46">
        <v>1265</v>
      </c>
      <c r="AD27" s="46">
        <v>1278</v>
      </c>
      <c r="AE27" s="46">
        <v>1232</v>
      </c>
      <c r="AF27" s="66">
        <v>4840</v>
      </c>
      <c r="AG27" s="82"/>
      <c r="AH27" s="46">
        <v>972</v>
      </c>
      <c r="AI27" s="46">
        <v>1197</v>
      </c>
      <c r="AJ27" s="50"/>
      <c r="AK27" s="50"/>
      <c r="AL27" s="68"/>
      <c r="AM27" s="81"/>
      <c r="AN27" s="50"/>
      <c r="AO27" s="50"/>
      <c r="AP27" s="50"/>
      <c r="AQ27" s="50"/>
      <c r="AR27" s="68"/>
      <c r="AS27" s="81"/>
      <c r="AT27" s="68"/>
      <c r="AU27" s="83"/>
      <c r="AV27" s="68"/>
      <c r="AW27" s="83"/>
      <c r="AX27" s="68"/>
    </row>
    <row r="28" spans="1:50" s="54" customFormat="1" ht="14.25" customHeight="1" x14ac:dyDescent="0.25">
      <c r="A28" s="55"/>
      <c r="B28" s="70" t="s">
        <v>725</v>
      </c>
      <c r="C28" s="23"/>
      <c r="D28" s="46">
        <v>0</v>
      </c>
      <c r="E28" s="46">
        <v>0</v>
      </c>
      <c r="F28" s="46">
        <v>0</v>
      </c>
      <c r="G28" s="46">
        <v>0</v>
      </c>
      <c r="H28" s="66">
        <v>0</v>
      </c>
      <c r="I28" s="48"/>
      <c r="J28" s="46">
        <v>0</v>
      </c>
      <c r="K28" s="46">
        <v>0</v>
      </c>
      <c r="L28" s="46">
        <v>0</v>
      </c>
      <c r="M28" s="46">
        <v>0</v>
      </c>
      <c r="N28" s="66">
        <v>0</v>
      </c>
      <c r="O28" s="48"/>
      <c r="P28" s="46">
        <v>0</v>
      </c>
      <c r="Q28" s="46">
        <v>0</v>
      </c>
      <c r="R28" s="46">
        <v>0</v>
      </c>
      <c r="S28" s="46">
        <v>0</v>
      </c>
      <c r="T28" s="66">
        <v>0</v>
      </c>
      <c r="U28" s="48"/>
      <c r="V28" s="46">
        <v>0</v>
      </c>
      <c r="W28" s="46">
        <v>0</v>
      </c>
      <c r="X28" s="46">
        <v>0</v>
      </c>
      <c r="Y28" s="46">
        <v>0</v>
      </c>
      <c r="Z28" s="66">
        <v>0</v>
      </c>
      <c r="AA28" s="51"/>
      <c r="AB28" s="46">
        <v>0</v>
      </c>
      <c r="AC28" s="46">
        <v>0</v>
      </c>
      <c r="AD28" s="46">
        <v>0</v>
      </c>
      <c r="AE28" s="46">
        <v>0</v>
      </c>
      <c r="AF28" s="66">
        <v>0</v>
      </c>
      <c r="AG28" s="49"/>
      <c r="AH28" s="46">
        <v>0</v>
      </c>
      <c r="AI28" s="46">
        <v>0</v>
      </c>
      <c r="AJ28" s="50"/>
      <c r="AK28" s="50"/>
      <c r="AL28" s="68"/>
      <c r="AM28" s="71"/>
      <c r="AN28" s="50"/>
      <c r="AO28" s="50"/>
      <c r="AP28" s="50"/>
      <c r="AQ28" s="50"/>
      <c r="AR28" s="68"/>
      <c r="AS28" s="71"/>
      <c r="AT28" s="68"/>
      <c r="AU28" s="72"/>
      <c r="AV28" s="68"/>
      <c r="AW28" s="72"/>
      <c r="AX28" s="68"/>
    </row>
    <row r="29" spans="1:50" s="54" customFormat="1" ht="14.25" customHeight="1" x14ac:dyDescent="0.25">
      <c r="A29" s="73"/>
      <c r="B29" s="70" t="s">
        <v>726</v>
      </c>
      <c r="C29" s="21"/>
      <c r="D29" s="46">
        <v>409</v>
      </c>
      <c r="E29" s="46">
        <v>406</v>
      </c>
      <c r="F29" s="46">
        <v>370</v>
      </c>
      <c r="G29" s="46">
        <v>443</v>
      </c>
      <c r="H29" s="66">
        <v>1644</v>
      </c>
      <c r="I29" s="48"/>
      <c r="J29" s="46">
        <v>366</v>
      </c>
      <c r="K29" s="46">
        <v>377</v>
      </c>
      <c r="L29" s="46">
        <v>394</v>
      </c>
      <c r="M29" s="46">
        <v>450</v>
      </c>
      <c r="N29" s="66">
        <v>1587</v>
      </c>
      <c r="O29" s="48"/>
      <c r="P29" s="46">
        <v>402</v>
      </c>
      <c r="Q29" s="46">
        <v>453</v>
      </c>
      <c r="R29" s="46">
        <v>481</v>
      </c>
      <c r="S29" s="46">
        <v>576</v>
      </c>
      <c r="T29" s="66">
        <v>1912</v>
      </c>
      <c r="U29" s="48"/>
      <c r="V29" s="46">
        <v>495</v>
      </c>
      <c r="W29" s="46">
        <v>547</v>
      </c>
      <c r="X29" s="46">
        <v>528</v>
      </c>
      <c r="Y29" s="46">
        <v>606</v>
      </c>
      <c r="Z29" s="66">
        <v>2177</v>
      </c>
      <c r="AA29" s="81"/>
      <c r="AB29" s="46">
        <v>533</v>
      </c>
      <c r="AC29" s="46">
        <v>565</v>
      </c>
      <c r="AD29" s="46">
        <v>567</v>
      </c>
      <c r="AE29" s="46">
        <v>626</v>
      </c>
      <c r="AF29" s="66">
        <v>2290</v>
      </c>
      <c r="AG29" s="82"/>
      <c r="AH29" s="46">
        <v>526</v>
      </c>
      <c r="AI29" s="46">
        <v>549</v>
      </c>
      <c r="AJ29" s="50"/>
      <c r="AK29" s="50"/>
      <c r="AL29" s="68"/>
      <c r="AM29" s="81"/>
      <c r="AN29" s="50"/>
      <c r="AO29" s="50"/>
      <c r="AP29" s="50"/>
      <c r="AQ29" s="50"/>
      <c r="AR29" s="68"/>
      <c r="AS29" s="81"/>
      <c r="AT29" s="68"/>
      <c r="AU29" s="83"/>
      <c r="AV29" s="68"/>
      <c r="AW29" s="83"/>
      <c r="AX29" s="68"/>
    </row>
    <row r="30" spans="1:50" s="54" customFormat="1" ht="14.25" customHeight="1" x14ac:dyDescent="0.25">
      <c r="A30" s="55"/>
      <c r="B30" s="70" t="s">
        <v>727</v>
      </c>
      <c r="C30" s="23"/>
      <c r="D30" s="46">
        <v>393</v>
      </c>
      <c r="E30" s="46">
        <v>171</v>
      </c>
      <c r="F30" s="46">
        <v>399</v>
      </c>
      <c r="G30" s="46">
        <v>108.51900000000001</v>
      </c>
      <c r="H30" s="74">
        <v>1059</v>
      </c>
      <c r="I30" s="48"/>
      <c r="J30" s="46">
        <v>373</v>
      </c>
      <c r="K30" s="46">
        <v>335</v>
      </c>
      <c r="L30" s="46">
        <v>351</v>
      </c>
      <c r="M30" s="46">
        <v>318</v>
      </c>
      <c r="N30" s="74">
        <v>1378</v>
      </c>
      <c r="O30" s="48"/>
      <c r="P30" s="46">
        <v>221</v>
      </c>
      <c r="Q30" s="46">
        <v>259</v>
      </c>
      <c r="R30" s="46">
        <v>276</v>
      </c>
      <c r="S30" s="46">
        <v>555</v>
      </c>
      <c r="T30" s="74">
        <v>1428</v>
      </c>
      <c r="U30" s="48"/>
      <c r="V30" s="46">
        <v>299</v>
      </c>
      <c r="W30" s="46">
        <v>190</v>
      </c>
      <c r="X30" s="46">
        <v>310</v>
      </c>
      <c r="Y30" s="46">
        <v>304</v>
      </c>
      <c r="Z30" s="74">
        <v>1101</v>
      </c>
      <c r="AA30" s="51"/>
      <c r="AB30" s="46">
        <v>369</v>
      </c>
      <c r="AC30" s="46">
        <v>295</v>
      </c>
      <c r="AD30" s="46">
        <v>264</v>
      </c>
      <c r="AE30" s="46">
        <v>279</v>
      </c>
      <c r="AF30" s="74">
        <v>1009</v>
      </c>
      <c r="AG30" s="49"/>
      <c r="AH30" s="46">
        <v>281</v>
      </c>
      <c r="AI30" s="46">
        <v>287</v>
      </c>
      <c r="AJ30" s="50"/>
      <c r="AK30" s="50"/>
      <c r="AL30" s="75"/>
      <c r="AM30" s="71"/>
      <c r="AN30" s="50"/>
      <c r="AO30" s="50"/>
      <c r="AP30" s="50"/>
      <c r="AQ30" s="50"/>
      <c r="AR30" s="75"/>
      <c r="AS30" s="71"/>
      <c r="AT30" s="75"/>
      <c r="AU30" s="72"/>
      <c r="AV30" s="75"/>
      <c r="AW30" s="72"/>
      <c r="AX30" s="75"/>
    </row>
    <row r="31" spans="1:50" s="54" customFormat="1" ht="14.25" customHeight="1" x14ac:dyDescent="0.25">
      <c r="A31" s="73"/>
      <c r="B31" s="76" t="s">
        <v>728</v>
      </c>
      <c r="C31" s="21"/>
      <c r="D31" s="46">
        <v>1561</v>
      </c>
      <c r="E31" s="46">
        <v>1483</v>
      </c>
      <c r="F31" s="46">
        <v>1521</v>
      </c>
      <c r="G31" s="46">
        <v>1558.519</v>
      </c>
      <c r="H31" s="85">
        <v>6180</v>
      </c>
      <c r="I31" s="48"/>
      <c r="J31" s="46">
        <v>1508</v>
      </c>
      <c r="K31" s="46">
        <v>1550</v>
      </c>
      <c r="L31" s="46">
        <v>1586</v>
      </c>
      <c r="M31" s="46">
        <v>1703</v>
      </c>
      <c r="N31" s="85">
        <v>6348</v>
      </c>
      <c r="O31" s="48"/>
      <c r="P31" s="46">
        <v>1404</v>
      </c>
      <c r="Q31" s="46">
        <v>1644</v>
      </c>
      <c r="R31" s="46">
        <v>1716</v>
      </c>
      <c r="S31" s="46">
        <v>2322</v>
      </c>
      <c r="T31" s="85">
        <v>7203</v>
      </c>
      <c r="U31" s="48"/>
      <c r="V31" s="46">
        <v>1746</v>
      </c>
      <c r="W31" s="46">
        <v>2067</v>
      </c>
      <c r="X31" s="46">
        <v>1948</v>
      </c>
      <c r="Y31" s="46">
        <v>2113</v>
      </c>
      <c r="Z31" s="85">
        <v>7873</v>
      </c>
      <c r="AA31" s="81"/>
      <c r="AB31" s="46">
        <v>1968</v>
      </c>
      <c r="AC31" s="46">
        <v>2125</v>
      </c>
      <c r="AD31" s="46">
        <v>2109</v>
      </c>
      <c r="AE31" s="46">
        <v>2137</v>
      </c>
      <c r="AF31" s="85">
        <v>8139</v>
      </c>
      <c r="AG31" s="82"/>
      <c r="AH31" s="46">
        <v>1779</v>
      </c>
      <c r="AI31" s="46">
        <v>2033</v>
      </c>
      <c r="AJ31" s="46"/>
      <c r="AK31" s="46"/>
      <c r="AL31" s="360"/>
      <c r="AM31" s="81"/>
      <c r="AN31" s="46"/>
      <c r="AO31" s="46"/>
      <c r="AP31" s="46"/>
      <c r="AQ31" s="46"/>
      <c r="AR31" s="360"/>
      <c r="AS31" s="81"/>
      <c r="AT31" s="360"/>
      <c r="AU31" s="83"/>
      <c r="AV31" s="360"/>
      <c r="AW31" s="83"/>
      <c r="AX31" s="360"/>
    </row>
    <row r="32" spans="1:50" s="54" customFormat="1" ht="14.25" customHeight="1" x14ac:dyDescent="0.25">
      <c r="A32" s="73"/>
      <c r="B32" s="76" t="s">
        <v>729</v>
      </c>
      <c r="C32" s="21"/>
      <c r="D32" s="46">
        <v>0</v>
      </c>
      <c r="E32" s="46">
        <v>0</v>
      </c>
      <c r="F32" s="46">
        <v>0</v>
      </c>
      <c r="G32" s="46">
        <v>0</v>
      </c>
      <c r="H32" s="74">
        <v>0</v>
      </c>
      <c r="I32" s="48"/>
      <c r="J32" s="46">
        <v>0</v>
      </c>
      <c r="K32" s="46">
        <v>0</v>
      </c>
      <c r="L32" s="46">
        <v>0</v>
      </c>
      <c r="M32" s="46">
        <v>0</v>
      </c>
      <c r="N32" s="74">
        <v>0</v>
      </c>
      <c r="O32" s="48"/>
      <c r="P32" s="46">
        <v>0</v>
      </c>
      <c r="Q32" s="46">
        <v>0</v>
      </c>
      <c r="R32" s="46">
        <v>0</v>
      </c>
      <c r="S32" s="46">
        <v>0</v>
      </c>
      <c r="T32" s="74">
        <v>0</v>
      </c>
      <c r="U32" s="48"/>
      <c r="V32" s="46">
        <v>0</v>
      </c>
      <c r="W32" s="46">
        <v>0</v>
      </c>
      <c r="X32" s="46">
        <v>0</v>
      </c>
      <c r="Y32" s="46">
        <v>0</v>
      </c>
      <c r="Z32" s="74">
        <v>0</v>
      </c>
      <c r="AA32" s="86"/>
      <c r="AB32" s="46">
        <v>0</v>
      </c>
      <c r="AC32" s="46">
        <v>0</v>
      </c>
      <c r="AD32" s="46">
        <v>0</v>
      </c>
      <c r="AE32" s="46">
        <v>0</v>
      </c>
      <c r="AF32" s="74">
        <v>0</v>
      </c>
      <c r="AG32" s="82"/>
      <c r="AH32" s="46">
        <v>0</v>
      </c>
      <c r="AI32" s="46">
        <v>0</v>
      </c>
      <c r="AJ32" s="50"/>
      <c r="AK32" s="50"/>
      <c r="AL32" s="75"/>
      <c r="AM32" s="86"/>
      <c r="AN32" s="50"/>
      <c r="AO32" s="50"/>
      <c r="AP32" s="50"/>
      <c r="AQ32" s="50"/>
      <c r="AR32" s="75"/>
      <c r="AS32" s="86"/>
      <c r="AT32" s="75"/>
      <c r="AU32" s="87"/>
      <c r="AV32" s="75"/>
      <c r="AW32" s="87"/>
      <c r="AX32" s="75"/>
    </row>
    <row r="33" spans="1:50" s="54" customFormat="1" ht="14.25" customHeight="1" x14ac:dyDescent="0.25">
      <c r="A33" s="55"/>
      <c r="B33" s="79" t="s">
        <v>730</v>
      </c>
      <c r="C33" s="23"/>
      <c r="D33" s="46">
        <v>1032</v>
      </c>
      <c r="E33" s="46">
        <v>1476</v>
      </c>
      <c r="F33" s="46">
        <v>1573</v>
      </c>
      <c r="G33" s="46">
        <v>1740.481</v>
      </c>
      <c r="H33" s="74">
        <v>5683</v>
      </c>
      <c r="I33" s="48"/>
      <c r="J33" s="46">
        <v>1791</v>
      </c>
      <c r="K33" s="46">
        <v>2580</v>
      </c>
      <c r="L33" s="46">
        <v>2367</v>
      </c>
      <c r="M33" s="46">
        <v>1823</v>
      </c>
      <c r="N33" s="74">
        <v>8560</v>
      </c>
      <c r="O33" s="48"/>
      <c r="P33" s="46">
        <v>1470</v>
      </c>
      <c r="Q33" s="46">
        <v>2808</v>
      </c>
      <c r="R33" s="46">
        <v>2875</v>
      </c>
      <c r="S33" s="46">
        <v>3000</v>
      </c>
      <c r="T33" s="74">
        <v>10036</v>
      </c>
      <c r="U33" s="48"/>
      <c r="V33" s="46">
        <v>2972</v>
      </c>
      <c r="W33" s="46">
        <v>4590</v>
      </c>
      <c r="X33" s="46">
        <v>4229</v>
      </c>
      <c r="Y33" s="46">
        <v>3872</v>
      </c>
      <c r="Z33" s="74">
        <v>15663</v>
      </c>
      <c r="AA33" s="51"/>
      <c r="AB33" s="46">
        <v>3017</v>
      </c>
      <c r="AC33" s="46">
        <v>3953</v>
      </c>
      <c r="AD33" s="46">
        <v>3195</v>
      </c>
      <c r="AE33" s="46">
        <v>2435</v>
      </c>
      <c r="AF33" s="74">
        <v>12802</v>
      </c>
      <c r="AG33" s="49"/>
      <c r="AH33" s="46">
        <v>1692</v>
      </c>
      <c r="AI33" s="46">
        <v>3121</v>
      </c>
      <c r="AJ33" s="50"/>
      <c r="AK33" s="50"/>
      <c r="AL33" s="75"/>
      <c r="AM33" s="71"/>
      <c r="AN33" s="50"/>
      <c r="AO33" s="50"/>
      <c r="AP33" s="50"/>
      <c r="AQ33" s="50"/>
      <c r="AR33" s="75"/>
      <c r="AS33" s="71"/>
      <c r="AT33" s="75"/>
      <c r="AU33" s="72"/>
      <c r="AV33" s="75"/>
      <c r="AW33" s="72"/>
      <c r="AX33" s="75"/>
    </row>
    <row r="34" spans="1:50" s="54" customFormat="1" ht="14.25" customHeight="1" x14ac:dyDescent="0.25">
      <c r="A34" s="73"/>
      <c r="B34" s="73"/>
      <c r="C34" s="21"/>
      <c r="D34" s="46"/>
      <c r="E34" s="46"/>
      <c r="F34" s="46"/>
      <c r="G34" s="46"/>
      <c r="H34" s="66"/>
      <c r="I34" s="48"/>
      <c r="J34" s="46"/>
      <c r="K34" s="46"/>
      <c r="L34" s="46"/>
      <c r="M34" s="46"/>
      <c r="N34" s="66"/>
      <c r="O34" s="48"/>
      <c r="P34" s="46"/>
      <c r="Q34" s="46"/>
      <c r="R34" s="46"/>
      <c r="S34" s="46"/>
      <c r="T34" s="66"/>
      <c r="U34" s="48"/>
      <c r="V34" s="46"/>
      <c r="W34" s="46"/>
      <c r="X34" s="46"/>
      <c r="Y34" s="46"/>
      <c r="Z34" s="66"/>
      <c r="AA34" s="81"/>
      <c r="AB34" s="46"/>
      <c r="AC34" s="46"/>
      <c r="AD34" s="46"/>
      <c r="AE34" s="46"/>
      <c r="AF34" s="66"/>
      <c r="AG34" s="82"/>
      <c r="AH34" s="46"/>
      <c r="AI34" s="46"/>
      <c r="AJ34" s="50"/>
      <c r="AK34" s="50"/>
      <c r="AL34" s="68"/>
      <c r="AM34" s="88"/>
      <c r="AN34" s="50"/>
      <c r="AO34" s="50"/>
      <c r="AP34" s="50"/>
      <c r="AQ34" s="50"/>
      <c r="AR34" s="68"/>
      <c r="AS34" s="88"/>
      <c r="AT34" s="68"/>
      <c r="AU34" s="89"/>
      <c r="AV34" s="68"/>
      <c r="AW34" s="89"/>
      <c r="AX34" s="68"/>
    </row>
    <row r="35" spans="1:50" s="54" customFormat="1" ht="14.25" customHeight="1" x14ac:dyDescent="0.25">
      <c r="A35" s="44" t="s">
        <v>70</v>
      </c>
      <c r="B35" s="65" t="s">
        <v>731</v>
      </c>
      <c r="C35" s="23"/>
      <c r="D35" s="46"/>
      <c r="E35" s="46"/>
      <c r="F35" s="46"/>
      <c r="G35" s="46"/>
      <c r="H35" s="66"/>
      <c r="I35" s="48"/>
      <c r="J35" s="46"/>
      <c r="K35" s="46"/>
      <c r="L35" s="46"/>
      <c r="M35" s="46"/>
      <c r="N35" s="66"/>
      <c r="O35" s="48"/>
      <c r="P35" s="46"/>
      <c r="Q35" s="46"/>
      <c r="R35" s="46"/>
      <c r="S35" s="46"/>
      <c r="T35" s="66"/>
      <c r="U35" s="48"/>
      <c r="V35" s="46"/>
      <c r="W35" s="46"/>
      <c r="X35" s="46"/>
      <c r="Y35" s="46"/>
      <c r="Z35" s="66"/>
      <c r="AA35" s="51"/>
      <c r="AB35" s="46"/>
      <c r="AC35" s="46"/>
      <c r="AD35" s="46"/>
      <c r="AE35" s="46"/>
      <c r="AF35" s="66"/>
      <c r="AG35" s="49"/>
      <c r="AH35" s="46"/>
      <c r="AI35" s="46"/>
      <c r="AJ35" s="50"/>
      <c r="AK35" s="50"/>
      <c r="AL35" s="68"/>
      <c r="AM35" s="71"/>
      <c r="AN35" s="50"/>
      <c r="AO35" s="50"/>
      <c r="AP35" s="50"/>
      <c r="AQ35" s="50"/>
      <c r="AR35" s="68"/>
      <c r="AS35" s="71"/>
      <c r="AT35" s="68"/>
      <c r="AU35" s="72"/>
      <c r="AV35" s="68"/>
      <c r="AW35" s="72"/>
      <c r="AX35" s="68"/>
    </row>
    <row r="36" spans="1:50" s="54" customFormat="1" ht="14.25" customHeight="1" x14ac:dyDescent="0.25">
      <c r="A36" s="44"/>
      <c r="B36" s="70" t="s">
        <v>732</v>
      </c>
      <c r="C36" s="23"/>
      <c r="D36" s="46">
        <v>336</v>
      </c>
      <c r="E36" s="46">
        <v>342</v>
      </c>
      <c r="F36" s="46">
        <v>290</v>
      </c>
      <c r="G36" s="46">
        <v>278</v>
      </c>
      <c r="H36" s="66">
        <v>1247</v>
      </c>
      <c r="I36" s="48"/>
      <c r="J36" s="46">
        <v>271</v>
      </c>
      <c r="K36" s="46">
        <v>268</v>
      </c>
      <c r="L36" s="46">
        <v>244</v>
      </c>
      <c r="M36" s="46">
        <v>210</v>
      </c>
      <c r="N36" s="66">
        <v>993</v>
      </c>
      <c r="O36" s="48"/>
      <c r="P36" s="46">
        <v>229</v>
      </c>
      <c r="Q36" s="46">
        <v>187</v>
      </c>
      <c r="R36" s="46">
        <v>296</v>
      </c>
      <c r="S36" s="46">
        <v>349</v>
      </c>
      <c r="T36" s="66">
        <v>1062</v>
      </c>
      <c r="U36" s="48"/>
      <c r="V36" s="46">
        <v>479</v>
      </c>
      <c r="W36" s="46">
        <v>569</v>
      </c>
      <c r="X36" s="46">
        <v>623</v>
      </c>
      <c r="Y36" s="46">
        <v>781</v>
      </c>
      <c r="Z36" s="66">
        <v>2453</v>
      </c>
      <c r="AA36" s="51"/>
      <c r="AB36" s="46">
        <v>802</v>
      </c>
      <c r="AC36" s="46">
        <v>836</v>
      </c>
      <c r="AD36" s="46">
        <v>840</v>
      </c>
      <c r="AE36" s="46">
        <v>870</v>
      </c>
      <c r="AF36" s="66">
        <v>3348</v>
      </c>
      <c r="AG36" s="49"/>
      <c r="AH36" s="46">
        <v>829</v>
      </c>
      <c r="AI36" s="46">
        <v>784</v>
      </c>
      <c r="AJ36" s="50"/>
      <c r="AK36" s="50"/>
      <c r="AL36" s="68"/>
      <c r="AM36" s="71"/>
      <c r="AN36" s="50"/>
      <c r="AO36" s="50"/>
      <c r="AP36" s="50"/>
      <c r="AQ36" s="50"/>
      <c r="AR36" s="68"/>
      <c r="AS36" s="71"/>
      <c r="AT36" s="68"/>
      <c r="AU36" s="72"/>
      <c r="AV36" s="68"/>
      <c r="AW36" s="72"/>
      <c r="AX36" s="68"/>
    </row>
    <row r="37" spans="1:50" s="54" customFormat="1" ht="14.25" customHeight="1" x14ac:dyDescent="0.25">
      <c r="A37" s="44"/>
      <c r="B37" s="70" t="s">
        <v>733</v>
      </c>
      <c r="C37" s="23"/>
      <c r="D37" s="46">
        <v>0</v>
      </c>
      <c r="E37" s="46">
        <v>0</v>
      </c>
      <c r="F37" s="46">
        <v>0</v>
      </c>
      <c r="G37" s="46">
        <v>0</v>
      </c>
      <c r="H37" s="66">
        <v>0</v>
      </c>
      <c r="I37" s="48"/>
      <c r="J37" s="46">
        <v>0</v>
      </c>
      <c r="K37" s="46">
        <v>0</v>
      </c>
      <c r="L37" s="46">
        <v>0</v>
      </c>
      <c r="M37" s="46">
        <v>0</v>
      </c>
      <c r="N37" s="66">
        <v>0</v>
      </c>
      <c r="O37" s="48"/>
      <c r="P37" s="46">
        <v>0</v>
      </c>
      <c r="Q37" s="46">
        <v>0</v>
      </c>
      <c r="R37" s="46">
        <v>0</v>
      </c>
      <c r="S37" s="46">
        <v>0</v>
      </c>
      <c r="T37" s="66">
        <v>0</v>
      </c>
      <c r="U37" s="48"/>
      <c r="V37" s="46">
        <v>0</v>
      </c>
      <c r="W37" s="46">
        <v>0</v>
      </c>
      <c r="X37" s="46">
        <v>0</v>
      </c>
      <c r="Y37" s="46">
        <v>0</v>
      </c>
      <c r="Z37" s="66">
        <v>0</v>
      </c>
      <c r="AA37" s="51"/>
      <c r="AB37" s="46">
        <v>0</v>
      </c>
      <c r="AC37" s="46">
        <v>0</v>
      </c>
      <c r="AD37" s="46">
        <v>0</v>
      </c>
      <c r="AE37" s="46">
        <v>0</v>
      </c>
      <c r="AF37" s="66">
        <v>0</v>
      </c>
      <c r="AG37" s="49"/>
      <c r="AH37" s="46">
        <v>0</v>
      </c>
      <c r="AI37" s="46">
        <v>0</v>
      </c>
      <c r="AJ37" s="50"/>
      <c r="AK37" s="50"/>
      <c r="AL37" s="68"/>
      <c r="AM37" s="71"/>
      <c r="AN37" s="50"/>
      <c r="AO37" s="50"/>
      <c r="AP37" s="50"/>
      <c r="AQ37" s="50"/>
      <c r="AR37" s="68"/>
      <c r="AS37" s="71"/>
      <c r="AT37" s="68"/>
      <c r="AU37" s="72"/>
      <c r="AV37" s="68"/>
      <c r="AW37" s="72"/>
      <c r="AX37" s="68"/>
    </row>
    <row r="38" spans="1:50" s="54" customFormat="1" ht="14.25" customHeight="1" x14ac:dyDescent="0.25">
      <c r="A38" s="55" t="s">
        <v>70</v>
      </c>
      <c r="B38" s="76" t="s">
        <v>734</v>
      </c>
      <c r="C38" s="23"/>
      <c r="D38" s="46">
        <v>336</v>
      </c>
      <c r="E38" s="46">
        <v>342</v>
      </c>
      <c r="F38" s="46">
        <v>290</v>
      </c>
      <c r="G38" s="46">
        <v>278</v>
      </c>
      <c r="H38" s="66">
        <v>1247</v>
      </c>
      <c r="I38" s="48"/>
      <c r="J38" s="46">
        <v>271</v>
      </c>
      <c r="K38" s="46">
        <v>268</v>
      </c>
      <c r="L38" s="46">
        <v>244</v>
      </c>
      <c r="M38" s="46">
        <v>210</v>
      </c>
      <c r="N38" s="66">
        <v>993</v>
      </c>
      <c r="O38" s="48"/>
      <c r="P38" s="46">
        <v>229</v>
      </c>
      <c r="Q38" s="46">
        <v>187</v>
      </c>
      <c r="R38" s="46">
        <v>296</v>
      </c>
      <c r="S38" s="46">
        <v>349</v>
      </c>
      <c r="T38" s="66">
        <v>1062</v>
      </c>
      <c r="U38" s="48"/>
      <c r="V38" s="46">
        <v>479</v>
      </c>
      <c r="W38" s="46">
        <v>569</v>
      </c>
      <c r="X38" s="46">
        <v>623</v>
      </c>
      <c r="Y38" s="46">
        <v>781</v>
      </c>
      <c r="Z38" s="66">
        <v>2453</v>
      </c>
      <c r="AA38" s="51"/>
      <c r="AB38" s="46">
        <v>802</v>
      </c>
      <c r="AC38" s="46">
        <v>836</v>
      </c>
      <c r="AD38" s="46">
        <v>840</v>
      </c>
      <c r="AE38" s="46">
        <v>870</v>
      </c>
      <c r="AF38" s="66">
        <v>3348</v>
      </c>
      <c r="AG38" s="49"/>
      <c r="AH38" s="46">
        <v>829</v>
      </c>
      <c r="AI38" s="46">
        <v>784</v>
      </c>
      <c r="AJ38" s="50"/>
      <c r="AK38" s="50"/>
      <c r="AL38" s="68"/>
      <c r="AM38" s="71"/>
      <c r="AN38" s="50"/>
      <c r="AO38" s="50"/>
      <c r="AP38" s="50"/>
      <c r="AQ38" s="50"/>
      <c r="AR38" s="68"/>
      <c r="AS38" s="71"/>
      <c r="AT38" s="68"/>
      <c r="AU38" s="72"/>
      <c r="AV38" s="68"/>
      <c r="AW38" s="72"/>
      <c r="AX38" s="68"/>
    </row>
    <row r="39" spans="1:50" s="54" customFormat="1" ht="14.25" customHeight="1" x14ac:dyDescent="0.25">
      <c r="A39" s="73"/>
      <c r="B39" s="76" t="s">
        <v>735</v>
      </c>
      <c r="C39" s="21"/>
      <c r="D39" s="46">
        <v>0</v>
      </c>
      <c r="E39" s="46">
        <v>0</v>
      </c>
      <c r="F39" s="46">
        <v>0</v>
      </c>
      <c r="G39" s="46">
        <v>0</v>
      </c>
      <c r="H39" s="66">
        <v>0</v>
      </c>
      <c r="I39" s="48"/>
      <c r="J39" s="46">
        <v>0</v>
      </c>
      <c r="K39" s="46">
        <v>0</v>
      </c>
      <c r="L39" s="46">
        <v>0</v>
      </c>
      <c r="M39" s="46">
        <v>0</v>
      </c>
      <c r="N39" s="66">
        <v>0</v>
      </c>
      <c r="O39" s="48"/>
      <c r="P39" s="46">
        <v>0</v>
      </c>
      <c r="Q39" s="46">
        <v>0</v>
      </c>
      <c r="R39" s="46">
        <v>0</v>
      </c>
      <c r="S39" s="46">
        <v>0</v>
      </c>
      <c r="T39" s="66">
        <v>0</v>
      </c>
      <c r="U39" s="48"/>
      <c r="V39" s="46">
        <v>0</v>
      </c>
      <c r="W39" s="46">
        <v>0</v>
      </c>
      <c r="X39" s="46">
        <v>0</v>
      </c>
      <c r="Y39" s="46">
        <v>0</v>
      </c>
      <c r="Z39" s="66">
        <v>0</v>
      </c>
      <c r="AA39" s="81"/>
      <c r="AB39" s="46">
        <v>0</v>
      </c>
      <c r="AC39" s="46">
        <v>0</v>
      </c>
      <c r="AD39" s="46">
        <v>0</v>
      </c>
      <c r="AE39" s="46">
        <v>0</v>
      </c>
      <c r="AF39" s="66">
        <v>0</v>
      </c>
      <c r="AG39" s="82"/>
      <c r="AH39" s="46">
        <v>0</v>
      </c>
      <c r="AI39" s="46">
        <v>0</v>
      </c>
      <c r="AJ39" s="50"/>
      <c r="AK39" s="50"/>
      <c r="AL39" s="68"/>
      <c r="AM39" s="81"/>
      <c r="AN39" s="50"/>
      <c r="AO39" s="50"/>
      <c r="AP39" s="50"/>
      <c r="AQ39" s="50"/>
      <c r="AR39" s="68"/>
      <c r="AS39" s="81"/>
      <c r="AT39" s="68"/>
      <c r="AU39" s="83"/>
      <c r="AV39" s="68"/>
      <c r="AW39" s="83"/>
      <c r="AX39" s="68"/>
    </row>
    <row r="40" spans="1:50" s="54" customFormat="1" ht="14.25" customHeight="1" x14ac:dyDescent="0.25">
      <c r="A40" s="55"/>
      <c r="B40" s="76" t="s">
        <v>736</v>
      </c>
      <c r="C40" s="23"/>
      <c r="D40" s="46">
        <v>0</v>
      </c>
      <c r="E40" s="46">
        <v>0</v>
      </c>
      <c r="F40" s="46">
        <v>0</v>
      </c>
      <c r="G40" s="46">
        <v>0</v>
      </c>
      <c r="H40" s="74">
        <v>0</v>
      </c>
      <c r="I40" s="48"/>
      <c r="J40" s="46">
        <v>0</v>
      </c>
      <c r="K40" s="46">
        <v>0</v>
      </c>
      <c r="L40" s="46">
        <v>0</v>
      </c>
      <c r="M40" s="46">
        <v>0</v>
      </c>
      <c r="N40" s="74">
        <v>0</v>
      </c>
      <c r="O40" s="48"/>
      <c r="P40" s="46">
        <v>0</v>
      </c>
      <c r="Q40" s="46">
        <v>0</v>
      </c>
      <c r="R40" s="46">
        <v>0</v>
      </c>
      <c r="S40" s="46">
        <v>0</v>
      </c>
      <c r="T40" s="74">
        <v>0</v>
      </c>
      <c r="U40" s="48"/>
      <c r="V40" s="46">
        <v>0</v>
      </c>
      <c r="W40" s="46">
        <v>0</v>
      </c>
      <c r="X40" s="46">
        <v>0</v>
      </c>
      <c r="Y40" s="46">
        <v>0</v>
      </c>
      <c r="Z40" s="74">
        <v>0</v>
      </c>
      <c r="AA40" s="51"/>
      <c r="AB40" s="46">
        <v>0</v>
      </c>
      <c r="AC40" s="46">
        <v>0</v>
      </c>
      <c r="AD40" s="46">
        <v>0</v>
      </c>
      <c r="AE40" s="46">
        <v>-1</v>
      </c>
      <c r="AF40" s="74">
        <v>-5</v>
      </c>
      <c r="AG40" s="49"/>
      <c r="AH40" s="46">
        <v>0</v>
      </c>
      <c r="AI40" s="46">
        <v>0</v>
      </c>
      <c r="AJ40" s="50"/>
      <c r="AK40" s="50"/>
      <c r="AL40" s="75"/>
      <c r="AM40" s="51"/>
      <c r="AN40" s="50"/>
      <c r="AO40" s="50"/>
      <c r="AP40" s="50"/>
      <c r="AQ40" s="50"/>
      <c r="AR40" s="75"/>
      <c r="AS40" s="51"/>
      <c r="AT40" s="75"/>
      <c r="AU40" s="53"/>
      <c r="AV40" s="75"/>
      <c r="AW40" s="53"/>
      <c r="AX40" s="75"/>
    </row>
    <row r="41" spans="1:50" s="54" customFormat="1" ht="14.25" customHeight="1" x14ac:dyDescent="0.25">
      <c r="A41" s="73"/>
      <c r="B41" s="79" t="s">
        <v>737</v>
      </c>
      <c r="C41" s="21"/>
      <c r="D41" s="46">
        <v>336</v>
      </c>
      <c r="E41" s="46">
        <v>342</v>
      </c>
      <c r="F41" s="46">
        <v>290</v>
      </c>
      <c r="G41" s="46">
        <v>278</v>
      </c>
      <c r="H41" s="77">
        <v>1247</v>
      </c>
      <c r="I41" s="48"/>
      <c r="J41" s="46">
        <v>271</v>
      </c>
      <c r="K41" s="46">
        <v>268</v>
      </c>
      <c r="L41" s="46">
        <v>244</v>
      </c>
      <c r="M41" s="46">
        <v>210</v>
      </c>
      <c r="N41" s="77">
        <v>993</v>
      </c>
      <c r="O41" s="48"/>
      <c r="P41" s="46">
        <v>229</v>
      </c>
      <c r="Q41" s="46">
        <v>187</v>
      </c>
      <c r="R41" s="46">
        <v>296</v>
      </c>
      <c r="S41" s="46">
        <v>349</v>
      </c>
      <c r="T41" s="77">
        <v>1062</v>
      </c>
      <c r="U41" s="48"/>
      <c r="V41" s="46">
        <v>479</v>
      </c>
      <c r="W41" s="46">
        <v>569</v>
      </c>
      <c r="X41" s="46">
        <v>623</v>
      </c>
      <c r="Y41" s="46">
        <v>781</v>
      </c>
      <c r="Z41" s="77">
        <v>2453</v>
      </c>
      <c r="AA41" s="86"/>
      <c r="AB41" s="46">
        <v>802</v>
      </c>
      <c r="AC41" s="46">
        <v>836</v>
      </c>
      <c r="AD41" s="46">
        <v>840</v>
      </c>
      <c r="AE41" s="46">
        <v>869</v>
      </c>
      <c r="AF41" s="77">
        <v>3343</v>
      </c>
      <c r="AG41" s="82"/>
      <c r="AH41" s="46">
        <v>829</v>
      </c>
      <c r="AI41" s="46">
        <v>784</v>
      </c>
      <c r="AJ41" s="50"/>
      <c r="AK41" s="50"/>
      <c r="AL41" s="78"/>
      <c r="AM41" s="81"/>
      <c r="AN41" s="50"/>
      <c r="AO41" s="50"/>
      <c r="AP41" s="50"/>
      <c r="AQ41" s="50"/>
      <c r="AR41" s="78"/>
      <c r="AS41" s="81"/>
      <c r="AT41" s="78"/>
      <c r="AU41" s="83"/>
      <c r="AV41" s="78"/>
      <c r="AW41" s="83"/>
      <c r="AX41" s="78"/>
    </row>
    <row r="42" spans="1:50" s="54" customFormat="1" ht="14.25" customHeight="1" x14ac:dyDescent="0.25">
      <c r="A42" s="84"/>
      <c r="B42" s="90" t="s">
        <v>669</v>
      </c>
      <c r="C42" s="22"/>
      <c r="D42" s="46">
        <v>696</v>
      </c>
      <c r="E42" s="46">
        <v>1134</v>
      </c>
      <c r="F42" s="46">
        <v>1283</v>
      </c>
      <c r="G42" s="46">
        <v>1462.481</v>
      </c>
      <c r="H42" s="77">
        <v>4436</v>
      </c>
      <c r="I42" s="48"/>
      <c r="J42" s="46">
        <v>1520</v>
      </c>
      <c r="K42" s="46">
        <v>2312</v>
      </c>
      <c r="L42" s="46">
        <v>2123</v>
      </c>
      <c r="M42" s="46">
        <v>1613</v>
      </c>
      <c r="N42" s="77">
        <v>7567</v>
      </c>
      <c r="O42" s="48"/>
      <c r="P42" s="46">
        <v>1241</v>
      </c>
      <c r="Q42" s="46">
        <v>2621</v>
      </c>
      <c r="R42" s="46">
        <v>2579</v>
      </c>
      <c r="S42" s="46">
        <v>2651</v>
      </c>
      <c r="T42" s="77">
        <v>8974</v>
      </c>
      <c r="U42" s="48"/>
      <c r="V42" s="46">
        <v>2493</v>
      </c>
      <c r="W42" s="46">
        <v>4021</v>
      </c>
      <c r="X42" s="46">
        <v>3606</v>
      </c>
      <c r="Y42" s="46">
        <v>3091</v>
      </c>
      <c r="Z42" s="77">
        <v>13210</v>
      </c>
      <c r="AA42" s="51"/>
      <c r="AB42" s="46">
        <v>2215</v>
      </c>
      <c r="AC42" s="46">
        <v>3117</v>
      </c>
      <c r="AD42" s="46">
        <v>2355</v>
      </c>
      <c r="AE42" s="46">
        <v>1566</v>
      </c>
      <c r="AF42" s="77">
        <v>9459</v>
      </c>
      <c r="AG42" s="49"/>
      <c r="AH42" s="46">
        <v>863</v>
      </c>
      <c r="AI42" s="46">
        <v>2337</v>
      </c>
      <c r="AJ42" s="50"/>
      <c r="AK42" s="50"/>
      <c r="AL42" s="78"/>
      <c r="AM42" s="51"/>
      <c r="AN42" s="50"/>
      <c r="AO42" s="50"/>
      <c r="AP42" s="50"/>
      <c r="AQ42" s="50"/>
      <c r="AR42" s="78"/>
      <c r="AS42" s="51"/>
      <c r="AT42" s="78"/>
      <c r="AU42" s="53"/>
      <c r="AV42" s="78"/>
      <c r="AW42" s="53"/>
      <c r="AX42" s="78"/>
    </row>
    <row r="43" spans="1:50" s="54" customFormat="1" ht="14.25" customHeight="1" x14ac:dyDescent="0.25">
      <c r="A43" s="73"/>
      <c r="B43" s="76"/>
      <c r="C43" s="21"/>
      <c r="D43" s="46"/>
      <c r="E43" s="46"/>
      <c r="F43" s="46"/>
      <c r="G43" s="46"/>
      <c r="H43" s="66"/>
      <c r="I43" s="48"/>
      <c r="J43" s="46"/>
      <c r="K43" s="46"/>
      <c r="L43" s="46"/>
      <c r="M43" s="46"/>
      <c r="N43" s="66"/>
      <c r="O43" s="48"/>
      <c r="P43" s="46"/>
      <c r="Q43" s="46"/>
      <c r="R43" s="46"/>
      <c r="S43" s="46"/>
      <c r="T43" s="66"/>
      <c r="U43" s="48"/>
      <c r="V43" s="46"/>
      <c r="W43" s="46"/>
      <c r="X43" s="46"/>
      <c r="Y43" s="46"/>
      <c r="Z43" s="66"/>
      <c r="AA43" s="51"/>
      <c r="AB43" s="46"/>
      <c r="AC43" s="46"/>
      <c r="AD43" s="46"/>
      <c r="AE43" s="46"/>
      <c r="AF43" s="66"/>
      <c r="AG43" s="49"/>
      <c r="AH43" s="46"/>
      <c r="AI43" s="46"/>
      <c r="AJ43" s="50"/>
      <c r="AK43" s="50"/>
      <c r="AL43" s="68"/>
      <c r="AM43" s="51"/>
      <c r="AN43" s="50"/>
      <c r="AO43" s="50"/>
      <c r="AP43" s="50"/>
      <c r="AQ43" s="50"/>
      <c r="AR43" s="68"/>
      <c r="AS43" s="51"/>
      <c r="AT43" s="68"/>
      <c r="AU43" s="53"/>
      <c r="AV43" s="68"/>
      <c r="AW43" s="53"/>
      <c r="AX43" s="68"/>
    </row>
    <row r="44" spans="1:50" s="54" customFormat="1" ht="14.25" customHeight="1" x14ac:dyDescent="0.25">
      <c r="A44" s="44" t="s">
        <v>70</v>
      </c>
      <c r="B44" s="65" t="s">
        <v>738</v>
      </c>
      <c r="C44" s="21"/>
      <c r="D44" s="46"/>
      <c r="E44" s="46"/>
      <c r="F44" s="46"/>
      <c r="G44" s="46"/>
      <c r="H44" s="66"/>
      <c r="I44" s="48"/>
      <c r="J44" s="46"/>
      <c r="K44" s="46"/>
      <c r="L44" s="46"/>
      <c r="M44" s="46"/>
      <c r="N44" s="66"/>
      <c r="O44" s="48"/>
      <c r="P44" s="46"/>
      <c r="Q44" s="46"/>
      <c r="R44" s="46"/>
      <c r="S44" s="46"/>
      <c r="T44" s="66"/>
      <c r="U44" s="48"/>
      <c r="V44" s="46"/>
      <c r="W44" s="46"/>
      <c r="X44" s="46"/>
      <c r="Y44" s="46"/>
      <c r="Z44" s="66"/>
      <c r="AA44" s="51"/>
      <c r="AB44" s="46"/>
      <c r="AC44" s="46"/>
      <c r="AD44" s="46"/>
      <c r="AE44" s="46"/>
      <c r="AF44" s="66"/>
      <c r="AG44" s="49"/>
      <c r="AH44" s="46"/>
      <c r="AI44" s="46"/>
      <c r="AJ44" s="50"/>
      <c r="AK44" s="50"/>
      <c r="AL44" s="68"/>
      <c r="AM44" s="51"/>
      <c r="AN44" s="50"/>
      <c r="AO44" s="50"/>
      <c r="AP44" s="50"/>
      <c r="AQ44" s="50"/>
      <c r="AR44" s="68"/>
      <c r="AS44" s="51"/>
      <c r="AT44" s="68"/>
      <c r="AU44" s="53"/>
      <c r="AV44" s="68"/>
      <c r="AW44" s="53"/>
      <c r="AX44" s="68"/>
    </row>
    <row r="45" spans="1:50" s="54" customFormat="1" ht="14.25" customHeight="1" x14ac:dyDescent="0.25">
      <c r="A45" s="84"/>
      <c r="B45" s="70" t="s">
        <v>670</v>
      </c>
      <c r="C45" s="22"/>
      <c r="D45" s="46">
        <v>76.67</v>
      </c>
      <c r="E45" s="46">
        <v>260.3</v>
      </c>
      <c r="F45" s="46">
        <v>459.73</v>
      </c>
      <c r="G45" s="46">
        <v>408.601</v>
      </c>
      <c r="H45" s="66">
        <v>1198.1300000000001</v>
      </c>
      <c r="I45" s="48"/>
      <c r="J45" s="46">
        <v>298.33999999999997</v>
      </c>
      <c r="K45" s="46">
        <v>530</v>
      </c>
      <c r="L45" s="46">
        <v>485.33</v>
      </c>
      <c r="M45" s="46">
        <v>330</v>
      </c>
      <c r="N45" s="66">
        <v>1650.65</v>
      </c>
      <c r="O45" s="48"/>
      <c r="P45" s="46">
        <v>268.89999999999998</v>
      </c>
      <c r="Q45" s="46">
        <v>475.49</v>
      </c>
      <c r="R45" s="46">
        <v>662.4</v>
      </c>
      <c r="S45" s="46">
        <v>593.86</v>
      </c>
      <c r="T45" s="66">
        <v>1974.87</v>
      </c>
      <c r="U45" s="48"/>
      <c r="V45" s="46">
        <v>537</v>
      </c>
      <c r="W45" s="46">
        <v>1027.33</v>
      </c>
      <c r="X45" s="46">
        <v>879</v>
      </c>
      <c r="Y45" s="46">
        <v>710.78</v>
      </c>
      <c r="Z45" s="66">
        <v>2911.11</v>
      </c>
      <c r="AA45" s="71"/>
      <c r="AB45" s="46">
        <v>469</v>
      </c>
      <c r="AC45" s="46">
        <v>751</v>
      </c>
      <c r="AD45" s="46">
        <v>625</v>
      </c>
      <c r="AE45" s="46">
        <v>242.93</v>
      </c>
      <c r="AF45" s="66">
        <v>2181</v>
      </c>
      <c r="AG45" s="49"/>
      <c r="AH45" s="46">
        <v>20.28</v>
      </c>
      <c r="AI45" s="46">
        <v>539</v>
      </c>
      <c r="AJ45" s="50"/>
      <c r="AK45" s="50"/>
      <c r="AL45" s="68"/>
      <c r="AM45" s="91"/>
      <c r="AN45" s="50"/>
      <c r="AO45" s="50"/>
      <c r="AP45" s="50"/>
      <c r="AQ45" s="50"/>
      <c r="AR45" s="68"/>
      <c r="AS45" s="71"/>
      <c r="AT45" s="68"/>
      <c r="AU45" s="72"/>
      <c r="AV45" s="68"/>
      <c r="AW45" s="72"/>
      <c r="AX45" s="68"/>
    </row>
    <row r="46" spans="1:50" s="54" customFormat="1" ht="14.25" customHeight="1" x14ac:dyDescent="0.25">
      <c r="A46" s="84"/>
      <c r="B46" s="70" t="s">
        <v>739</v>
      </c>
      <c r="C46" s="22"/>
      <c r="D46" s="46">
        <v>1</v>
      </c>
      <c r="E46" s="46">
        <v>17</v>
      </c>
      <c r="F46" s="46">
        <v>2</v>
      </c>
      <c r="G46" s="46">
        <v>28</v>
      </c>
      <c r="H46" s="66">
        <v>48</v>
      </c>
      <c r="I46" s="48"/>
      <c r="J46" s="46">
        <v>-4</v>
      </c>
      <c r="K46" s="46">
        <v>-8</v>
      </c>
      <c r="L46" s="46">
        <v>-8</v>
      </c>
      <c r="M46" s="46">
        <v>0</v>
      </c>
      <c r="N46" s="66">
        <v>-21</v>
      </c>
      <c r="O46" s="48"/>
      <c r="P46" s="46">
        <v>-3</v>
      </c>
      <c r="Q46" s="46">
        <v>-6</v>
      </c>
      <c r="R46" s="46">
        <v>0</v>
      </c>
      <c r="S46" s="46">
        <v>-2</v>
      </c>
      <c r="T46" s="66">
        <v>-10</v>
      </c>
      <c r="U46" s="48"/>
      <c r="V46" s="46">
        <v>-1</v>
      </c>
      <c r="W46" s="46">
        <v>-2</v>
      </c>
      <c r="X46" s="46">
        <v>-2</v>
      </c>
      <c r="Y46" s="46">
        <v>-1.9999999999995453</v>
      </c>
      <c r="Z46" s="66">
        <v>-7</v>
      </c>
      <c r="AA46" s="51"/>
      <c r="AB46" s="46">
        <v>-2</v>
      </c>
      <c r="AC46" s="46">
        <v>-2</v>
      </c>
      <c r="AD46" s="46">
        <v>-1</v>
      </c>
      <c r="AE46" s="46">
        <v>28</v>
      </c>
      <c r="AF46" s="66">
        <v>24</v>
      </c>
      <c r="AG46" s="49"/>
      <c r="AH46" s="46">
        <v>1</v>
      </c>
      <c r="AI46" s="46">
        <v>-3</v>
      </c>
      <c r="AJ46" s="50"/>
      <c r="AK46" s="50"/>
      <c r="AL46" s="68"/>
      <c r="AM46" s="92"/>
      <c r="AN46" s="50"/>
      <c r="AO46" s="50"/>
      <c r="AP46" s="50"/>
      <c r="AQ46" s="50"/>
      <c r="AR46" s="68"/>
      <c r="AS46" s="51"/>
      <c r="AT46" s="68"/>
      <c r="AU46" s="53"/>
      <c r="AV46" s="68"/>
      <c r="AW46" s="53"/>
      <c r="AX46" s="68"/>
    </row>
    <row r="47" spans="1:50" s="54" customFormat="1" ht="14.25" customHeight="1" thickBot="1" x14ac:dyDescent="0.3">
      <c r="A47" s="73"/>
      <c r="B47" s="70" t="s">
        <v>740</v>
      </c>
      <c r="C47" s="21"/>
      <c r="D47" s="46">
        <v>618.33000000000004</v>
      </c>
      <c r="E47" s="46">
        <v>856.7</v>
      </c>
      <c r="F47" s="46">
        <v>821.27</v>
      </c>
      <c r="G47" s="46">
        <v>1025.8800000000001</v>
      </c>
      <c r="H47" s="93">
        <v>3189.87</v>
      </c>
      <c r="I47" s="48"/>
      <c r="J47" s="46">
        <v>1225.6600000000001</v>
      </c>
      <c r="K47" s="46">
        <v>1790</v>
      </c>
      <c r="L47" s="46">
        <v>1645.67</v>
      </c>
      <c r="M47" s="46">
        <v>1283</v>
      </c>
      <c r="N47" s="93">
        <v>5937.35</v>
      </c>
      <c r="O47" s="48"/>
      <c r="P47" s="46">
        <v>975.1</v>
      </c>
      <c r="Q47" s="46">
        <v>2151.5100000000002</v>
      </c>
      <c r="R47" s="46">
        <v>1916.6</v>
      </c>
      <c r="S47" s="46">
        <v>2059.14</v>
      </c>
      <c r="T47" s="93">
        <v>7009.13</v>
      </c>
      <c r="U47" s="48"/>
      <c r="V47" s="46">
        <v>1957</v>
      </c>
      <c r="W47" s="46">
        <v>2995.67</v>
      </c>
      <c r="X47" s="46">
        <v>2729</v>
      </c>
      <c r="Y47" s="46">
        <v>2382.2199999999998</v>
      </c>
      <c r="Z47" s="93">
        <v>10305.89</v>
      </c>
      <c r="AA47" s="51"/>
      <c r="AB47" s="46">
        <v>1748</v>
      </c>
      <c r="AC47" s="46">
        <v>2368</v>
      </c>
      <c r="AD47" s="46">
        <v>1731</v>
      </c>
      <c r="AE47" s="46">
        <v>1295.07</v>
      </c>
      <c r="AF47" s="93">
        <v>7254</v>
      </c>
      <c r="AG47" s="49"/>
      <c r="AH47" s="46">
        <v>841.72</v>
      </c>
      <c r="AI47" s="46">
        <v>1801</v>
      </c>
      <c r="AJ47" s="50"/>
      <c r="AK47" s="50"/>
      <c r="AL47" s="94"/>
      <c r="AM47" s="92"/>
      <c r="AN47" s="50"/>
      <c r="AO47" s="50"/>
      <c r="AP47" s="50"/>
      <c r="AQ47" s="50"/>
      <c r="AR47" s="94"/>
      <c r="AS47" s="51"/>
      <c r="AT47" s="94"/>
      <c r="AU47" s="53"/>
      <c r="AV47" s="94"/>
      <c r="AW47" s="53"/>
      <c r="AX47" s="94"/>
    </row>
    <row r="49" spans="1:50" s="54" customFormat="1" ht="14.25" customHeight="1" x14ac:dyDescent="0.25">
      <c r="A49" s="44" t="s">
        <v>70</v>
      </c>
      <c r="B49" s="65" t="s">
        <v>741</v>
      </c>
      <c r="C49" s="23"/>
      <c r="D49" s="46"/>
      <c r="E49" s="46"/>
      <c r="F49" s="46"/>
      <c r="G49" s="46"/>
      <c r="H49" s="66"/>
      <c r="I49" s="48"/>
      <c r="J49" s="46"/>
      <c r="K49" s="46"/>
      <c r="L49" s="46"/>
      <c r="M49" s="46"/>
      <c r="N49" s="66"/>
      <c r="O49" s="48"/>
      <c r="P49" s="46"/>
      <c r="Q49" s="46"/>
      <c r="R49" s="46"/>
      <c r="S49" s="46"/>
      <c r="T49" s="66"/>
      <c r="U49" s="48"/>
      <c r="V49" s="46"/>
      <c r="W49" s="46"/>
      <c r="X49" s="46"/>
      <c r="Y49" s="46"/>
      <c r="Z49" s="66"/>
      <c r="AA49" s="48"/>
      <c r="AB49" s="46"/>
      <c r="AC49" s="46"/>
      <c r="AD49" s="46"/>
      <c r="AE49" s="46"/>
      <c r="AF49" s="66"/>
      <c r="AG49" s="95"/>
      <c r="AH49" s="46"/>
      <c r="AI49" s="46"/>
      <c r="AJ49" s="50"/>
      <c r="AK49" s="50"/>
      <c r="AL49" s="68"/>
      <c r="AM49" s="48"/>
      <c r="AN49" s="50"/>
      <c r="AO49" s="50"/>
      <c r="AP49" s="50"/>
      <c r="AQ49" s="50"/>
      <c r="AR49" s="68"/>
      <c r="AS49" s="48"/>
      <c r="AT49" s="68"/>
      <c r="AU49" s="96"/>
      <c r="AV49" s="68"/>
      <c r="AW49" s="96"/>
      <c r="AX49" s="68"/>
    </row>
    <row r="50" spans="1:50" s="54" customFormat="1" ht="14.25" customHeight="1" x14ac:dyDescent="0.25">
      <c r="A50" s="73"/>
      <c r="B50" s="70" t="s">
        <v>742</v>
      </c>
      <c r="C50" s="21"/>
      <c r="D50" s="46">
        <v>0</v>
      </c>
      <c r="E50" s="46">
        <v>0</v>
      </c>
      <c r="F50" s="46">
        <v>0</v>
      </c>
      <c r="G50" s="46">
        <v>0</v>
      </c>
      <c r="H50" s="66">
        <v>0</v>
      </c>
      <c r="I50" s="48"/>
      <c r="J50" s="46">
        <v>0</v>
      </c>
      <c r="K50" s="46">
        <v>0</v>
      </c>
      <c r="L50" s="46">
        <v>0</v>
      </c>
      <c r="M50" s="46">
        <v>0</v>
      </c>
      <c r="N50" s="66">
        <v>0</v>
      </c>
      <c r="O50" s="48"/>
      <c r="P50" s="46">
        <v>0</v>
      </c>
      <c r="Q50" s="46">
        <v>0</v>
      </c>
      <c r="R50" s="46">
        <v>0</v>
      </c>
      <c r="S50" s="46">
        <v>0</v>
      </c>
      <c r="T50" s="66">
        <v>0</v>
      </c>
      <c r="U50" s="48"/>
      <c r="V50" s="46">
        <v>0</v>
      </c>
      <c r="W50" s="46">
        <v>0</v>
      </c>
      <c r="X50" s="46">
        <v>0</v>
      </c>
      <c r="Y50" s="46">
        <v>0</v>
      </c>
      <c r="Z50" s="66">
        <v>0</v>
      </c>
      <c r="AA50" s="81"/>
      <c r="AB50" s="46">
        <v>0</v>
      </c>
      <c r="AC50" s="46">
        <v>0</v>
      </c>
      <c r="AD50" s="46">
        <v>0</v>
      </c>
      <c r="AE50" s="46">
        <v>0</v>
      </c>
      <c r="AF50" s="66">
        <v>0</v>
      </c>
      <c r="AG50" s="82"/>
      <c r="AH50" s="46">
        <v>0</v>
      </c>
      <c r="AI50" s="46">
        <v>0</v>
      </c>
      <c r="AJ50" s="50"/>
      <c r="AK50" s="50"/>
      <c r="AL50" s="68"/>
      <c r="AM50" s="81"/>
      <c r="AN50" s="50"/>
      <c r="AO50" s="50"/>
      <c r="AP50" s="50"/>
      <c r="AQ50" s="50"/>
      <c r="AR50" s="68"/>
      <c r="AS50" s="81"/>
      <c r="AT50" s="68"/>
      <c r="AU50" s="83"/>
      <c r="AV50" s="68"/>
      <c r="AW50" s="83"/>
      <c r="AX50" s="68"/>
    </row>
    <row r="51" spans="1:50" s="54" customFormat="1" ht="14.25" customHeight="1" x14ac:dyDescent="0.25">
      <c r="A51" s="55"/>
      <c r="B51" s="70" t="s">
        <v>743</v>
      </c>
      <c r="C51" s="23"/>
      <c r="D51" s="46">
        <v>1</v>
      </c>
      <c r="E51" s="46">
        <v>0</v>
      </c>
      <c r="F51" s="46">
        <v>0</v>
      </c>
      <c r="G51" s="46">
        <v>1</v>
      </c>
      <c r="H51" s="74">
        <v>2</v>
      </c>
      <c r="I51" s="48"/>
      <c r="J51" s="46">
        <v>0</v>
      </c>
      <c r="K51" s="46">
        <v>0</v>
      </c>
      <c r="L51" s="46">
        <v>0</v>
      </c>
      <c r="M51" s="46">
        <v>0</v>
      </c>
      <c r="N51" s="74">
        <v>2</v>
      </c>
      <c r="O51" s="48"/>
      <c r="P51" s="46">
        <v>1</v>
      </c>
      <c r="Q51" s="46">
        <v>-1</v>
      </c>
      <c r="R51" s="46">
        <v>1</v>
      </c>
      <c r="S51" s="46">
        <v>-2</v>
      </c>
      <c r="T51" s="74">
        <v>-1</v>
      </c>
      <c r="U51" s="48"/>
      <c r="V51" s="46">
        <v>-2</v>
      </c>
      <c r="W51" s="46">
        <v>-1</v>
      </c>
      <c r="X51" s="46">
        <v>-6</v>
      </c>
      <c r="Y51" s="46">
        <v>-1</v>
      </c>
      <c r="Z51" s="74">
        <v>-11</v>
      </c>
      <c r="AA51" s="48"/>
      <c r="AB51" s="46">
        <v>-3</v>
      </c>
      <c r="AC51" s="46">
        <v>-2</v>
      </c>
      <c r="AD51" s="46">
        <v>-3</v>
      </c>
      <c r="AE51" s="46">
        <v>-3</v>
      </c>
      <c r="AF51" s="74">
        <v>-12</v>
      </c>
      <c r="AG51" s="95"/>
      <c r="AH51" s="46">
        <v>-2</v>
      </c>
      <c r="AI51" s="46">
        <v>-3</v>
      </c>
      <c r="AJ51" s="50"/>
      <c r="AK51" s="50"/>
      <c r="AL51" s="75"/>
      <c r="AM51" s="48"/>
      <c r="AN51" s="50"/>
      <c r="AO51" s="50"/>
      <c r="AP51" s="50"/>
      <c r="AQ51" s="50"/>
      <c r="AR51" s="75"/>
      <c r="AS51" s="48"/>
      <c r="AT51" s="75"/>
      <c r="AU51" s="96"/>
      <c r="AV51" s="75"/>
      <c r="AW51" s="96"/>
      <c r="AX51" s="75"/>
    </row>
    <row r="52" spans="1:50" s="54" customFormat="1" ht="14.25" customHeight="1" thickBot="1" x14ac:dyDescent="0.3">
      <c r="A52" s="73"/>
      <c r="B52" s="76" t="s">
        <v>744</v>
      </c>
      <c r="C52" s="21"/>
      <c r="D52" s="46">
        <v>617.33000000000004</v>
      </c>
      <c r="E52" s="46">
        <v>856.7</v>
      </c>
      <c r="F52" s="46">
        <v>821.27</v>
      </c>
      <c r="G52" s="46">
        <v>1024.8800000000001</v>
      </c>
      <c r="H52" s="93">
        <v>3187.87</v>
      </c>
      <c r="I52" s="48"/>
      <c r="J52" s="46">
        <v>1225.6600000000001</v>
      </c>
      <c r="K52" s="46">
        <v>1790</v>
      </c>
      <c r="L52" s="46">
        <v>1645.67</v>
      </c>
      <c r="M52" s="46">
        <v>1283</v>
      </c>
      <c r="N52" s="93">
        <v>5935.35</v>
      </c>
      <c r="O52" s="48"/>
      <c r="P52" s="46">
        <v>974.1</v>
      </c>
      <c r="Q52" s="46">
        <v>2152.5100000000002</v>
      </c>
      <c r="R52" s="46">
        <v>1915.6</v>
      </c>
      <c r="S52" s="46">
        <v>2061.14</v>
      </c>
      <c r="T52" s="93">
        <v>7010.13</v>
      </c>
      <c r="U52" s="48"/>
      <c r="V52" s="46">
        <v>1959</v>
      </c>
      <c r="W52" s="46">
        <v>2996.67</v>
      </c>
      <c r="X52" s="46">
        <v>2735</v>
      </c>
      <c r="Y52" s="46">
        <v>2383.2199999999998</v>
      </c>
      <c r="Z52" s="93">
        <v>10316.89</v>
      </c>
      <c r="AA52" s="48"/>
      <c r="AB52" s="46">
        <v>1751</v>
      </c>
      <c r="AC52" s="46">
        <v>2370</v>
      </c>
      <c r="AD52" s="46">
        <v>1734</v>
      </c>
      <c r="AE52" s="46">
        <v>1298.07</v>
      </c>
      <c r="AF52" s="93">
        <v>7266</v>
      </c>
      <c r="AG52" s="95"/>
      <c r="AH52" s="46">
        <v>843.72</v>
      </c>
      <c r="AI52" s="46">
        <v>1804</v>
      </c>
      <c r="AJ52" s="50"/>
      <c r="AK52" s="50"/>
      <c r="AL52" s="94"/>
      <c r="AM52" s="48"/>
      <c r="AN52" s="50"/>
      <c r="AO52" s="50"/>
      <c r="AP52" s="50"/>
      <c r="AQ52" s="50"/>
      <c r="AR52" s="94"/>
      <c r="AS52" s="48"/>
      <c r="AT52" s="94"/>
      <c r="AU52" s="96"/>
      <c r="AV52" s="94"/>
      <c r="AW52" s="96"/>
      <c r="AX52" s="94"/>
    </row>
    <row r="53" spans="1:50" s="54" customFormat="1" ht="14.25" customHeight="1" thickTop="1" x14ac:dyDescent="0.25">
      <c r="A53" s="55"/>
      <c r="B53" s="97"/>
      <c r="C53" s="23"/>
      <c r="D53" s="46"/>
      <c r="E53" s="46"/>
      <c r="F53" s="46"/>
      <c r="G53" s="46"/>
      <c r="H53" s="66"/>
      <c r="I53" s="48"/>
      <c r="J53" s="46"/>
      <c r="K53" s="46"/>
      <c r="L53" s="46"/>
      <c r="M53" s="46"/>
      <c r="N53" s="66"/>
      <c r="O53" s="48"/>
      <c r="P53" s="46"/>
      <c r="Q53" s="46"/>
      <c r="R53" s="46"/>
      <c r="S53" s="46"/>
      <c r="T53" s="66"/>
      <c r="U53" s="48"/>
      <c r="V53" s="46"/>
      <c r="W53" s="46"/>
      <c r="X53" s="46"/>
      <c r="Y53" s="46"/>
      <c r="Z53" s="66"/>
      <c r="AA53" s="48"/>
      <c r="AB53" s="46"/>
      <c r="AC53" s="46"/>
      <c r="AD53" s="46"/>
      <c r="AE53" s="46"/>
      <c r="AF53" s="66"/>
      <c r="AG53" s="95"/>
      <c r="AH53" s="46"/>
      <c r="AI53" s="46"/>
      <c r="AJ53" s="50"/>
      <c r="AK53" s="50"/>
      <c r="AL53" s="68"/>
      <c r="AM53" s="48"/>
      <c r="AN53" s="50"/>
      <c r="AO53" s="50"/>
      <c r="AP53" s="50"/>
      <c r="AQ53" s="50"/>
      <c r="AR53" s="68"/>
      <c r="AS53" s="48"/>
      <c r="AT53" s="68"/>
      <c r="AU53" s="96"/>
      <c r="AV53" s="68"/>
      <c r="AW53" s="96"/>
      <c r="AX53" s="68"/>
    </row>
    <row r="54" spans="1:50" s="54" customFormat="1" ht="14.25" customHeight="1" x14ac:dyDescent="0.25">
      <c r="A54" s="44" t="s">
        <v>70</v>
      </c>
      <c r="B54" s="65" t="s">
        <v>745</v>
      </c>
      <c r="C54" s="21"/>
      <c r="D54" s="46"/>
      <c r="E54" s="46"/>
      <c r="F54" s="46"/>
      <c r="G54" s="46"/>
      <c r="H54" s="66"/>
      <c r="I54" s="48"/>
      <c r="J54" s="46"/>
      <c r="K54" s="46"/>
      <c r="L54" s="46"/>
      <c r="M54" s="46"/>
      <c r="N54" s="66"/>
      <c r="O54" s="48"/>
      <c r="P54" s="46"/>
      <c r="Q54" s="46"/>
      <c r="R54" s="46"/>
      <c r="S54" s="46"/>
      <c r="T54" s="66"/>
      <c r="U54" s="48"/>
      <c r="V54" s="46"/>
      <c r="W54" s="46"/>
      <c r="X54" s="46"/>
      <c r="Y54" s="46"/>
      <c r="Z54" s="66"/>
      <c r="AA54" s="48"/>
      <c r="AB54" s="46"/>
      <c r="AC54" s="46"/>
      <c r="AD54" s="46"/>
      <c r="AE54" s="46"/>
      <c r="AF54" s="66"/>
      <c r="AG54" s="95"/>
      <c r="AH54" s="46"/>
      <c r="AI54" s="46"/>
      <c r="AJ54" s="50"/>
      <c r="AK54" s="50"/>
      <c r="AL54" s="68"/>
      <c r="AM54" s="48"/>
      <c r="AN54" s="50"/>
      <c r="AO54" s="50"/>
      <c r="AP54" s="50"/>
      <c r="AQ54" s="50"/>
      <c r="AR54" s="68"/>
      <c r="AS54" s="48"/>
      <c r="AT54" s="68"/>
      <c r="AU54" s="96"/>
      <c r="AV54" s="68"/>
      <c r="AW54" s="96"/>
      <c r="AX54" s="68"/>
    </row>
    <row r="55" spans="1:50" s="54" customFormat="1" ht="14.25" customHeight="1" x14ac:dyDescent="0.25">
      <c r="A55" s="55"/>
      <c r="B55" s="76" t="s">
        <v>746</v>
      </c>
      <c r="C55" s="23"/>
      <c r="D55" s="98">
        <v>1.9692000000000001</v>
      </c>
      <c r="E55" s="98">
        <v>2.7353000000000001</v>
      </c>
      <c r="F55" s="98">
        <v>2.6238999999999999</v>
      </c>
      <c r="G55" s="98">
        <v>3.2629000000000001</v>
      </c>
      <c r="H55" s="99">
        <v>10.1686</v>
      </c>
      <c r="I55" s="100"/>
      <c r="J55" s="98">
        <v>3.9096000000000002</v>
      </c>
      <c r="K55" s="98">
        <v>5.72</v>
      </c>
      <c r="L55" s="98">
        <v>5.2915000000000001</v>
      </c>
      <c r="M55" s="98">
        <v>4.1494</v>
      </c>
      <c r="N55" s="99">
        <v>19.047999999999998</v>
      </c>
      <c r="O55" s="100"/>
      <c r="P55" s="98">
        <v>3.1688000000000001</v>
      </c>
      <c r="Q55" s="98">
        <v>7.0297999999999998</v>
      </c>
      <c r="R55" s="98">
        <v>6.2991999999999999</v>
      </c>
      <c r="S55" s="98">
        <v>6.8567999999999998</v>
      </c>
      <c r="T55" s="99">
        <v>23.021799999999999</v>
      </c>
      <c r="U55" s="100"/>
      <c r="V55" s="98">
        <v>6.58</v>
      </c>
      <c r="W55" s="98">
        <v>10.1548</v>
      </c>
      <c r="X55" s="98">
        <v>9.4050999999999991</v>
      </c>
      <c r="Y55" s="98">
        <v>8.3475000000000001</v>
      </c>
      <c r="Z55" s="99">
        <v>35.307600000000001</v>
      </c>
      <c r="AA55" s="100"/>
      <c r="AB55" s="98">
        <v>6.25</v>
      </c>
      <c r="AC55" s="98">
        <v>8.56</v>
      </c>
      <c r="AD55" s="98">
        <v>6.32</v>
      </c>
      <c r="AE55" s="98">
        <v>4.7618</v>
      </c>
      <c r="AF55" s="99">
        <v>26.3261</v>
      </c>
      <c r="AG55" s="101"/>
      <c r="AH55" s="98">
        <v>3.1065</v>
      </c>
      <c r="AI55" s="98">
        <v>6.65</v>
      </c>
      <c r="AJ55" s="102"/>
      <c r="AK55" s="102"/>
      <c r="AL55" s="103"/>
      <c r="AM55" s="100"/>
      <c r="AN55" s="102"/>
      <c r="AO55" s="102"/>
      <c r="AP55" s="102"/>
      <c r="AQ55" s="102"/>
      <c r="AR55" s="103"/>
      <c r="AS55" s="100"/>
      <c r="AT55" s="103"/>
      <c r="AU55" s="104"/>
      <c r="AV55" s="103"/>
      <c r="AW55" s="104"/>
      <c r="AX55" s="103"/>
    </row>
    <row r="56" spans="1:50" s="54" customFormat="1" ht="14.25" customHeight="1" x14ac:dyDescent="0.25">
      <c r="A56" s="73"/>
      <c r="B56" s="76" t="s">
        <v>747</v>
      </c>
      <c r="C56" s="21"/>
      <c r="D56" s="98">
        <v>1.9462999999999999</v>
      </c>
      <c r="E56" s="98">
        <v>2.7130999999999998</v>
      </c>
      <c r="F56" s="98">
        <v>2.6025</v>
      </c>
      <c r="G56" s="98">
        <v>3.2347999999999999</v>
      </c>
      <c r="H56" s="99">
        <v>10.069900000000001</v>
      </c>
      <c r="I56" s="100"/>
      <c r="J56" s="98">
        <v>3.8753000000000002</v>
      </c>
      <c r="K56" s="98">
        <v>5.68</v>
      </c>
      <c r="L56" s="98">
        <v>5.2519</v>
      </c>
      <c r="M56" s="98">
        <v>4.1214000000000004</v>
      </c>
      <c r="N56" s="99">
        <v>18.901900000000001</v>
      </c>
      <c r="O56" s="100"/>
      <c r="P56" s="98">
        <v>3.1497999999999999</v>
      </c>
      <c r="Q56" s="98">
        <v>6.9869000000000003</v>
      </c>
      <c r="R56" s="98">
        <v>6.2633999999999999</v>
      </c>
      <c r="S56" s="98">
        <v>6.8227000000000002</v>
      </c>
      <c r="T56" s="99">
        <v>22.885400000000001</v>
      </c>
      <c r="U56" s="100"/>
      <c r="V56" s="98">
        <v>6.55</v>
      </c>
      <c r="W56" s="98">
        <v>10.110900000000001</v>
      </c>
      <c r="X56" s="98">
        <v>9.3681000000000001</v>
      </c>
      <c r="Y56" s="98">
        <v>8.3095999999999997</v>
      </c>
      <c r="Z56" s="99">
        <v>35.143900000000002</v>
      </c>
      <c r="AA56" s="100"/>
      <c r="AB56" s="98">
        <v>6.23</v>
      </c>
      <c r="AC56" s="98">
        <v>8.5299999999999994</v>
      </c>
      <c r="AD56" s="98">
        <v>6.29</v>
      </c>
      <c r="AE56" s="98">
        <v>4.7439999999999998</v>
      </c>
      <c r="AF56" s="99">
        <v>26.219100000000001</v>
      </c>
      <c r="AG56" s="101"/>
      <c r="AH56" s="98">
        <v>3.0972</v>
      </c>
      <c r="AI56" s="98">
        <v>6.64</v>
      </c>
      <c r="AJ56" s="102"/>
      <c r="AK56" s="102"/>
      <c r="AL56" s="103"/>
      <c r="AM56" s="100"/>
      <c r="AN56" s="102"/>
      <c r="AO56" s="102"/>
      <c r="AP56" s="102"/>
      <c r="AQ56" s="102"/>
      <c r="AR56" s="103"/>
      <c r="AS56" s="100"/>
      <c r="AT56" s="103"/>
      <c r="AU56" s="104"/>
      <c r="AV56" s="103"/>
      <c r="AW56" s="104"/>
      <c r="AX56" s="103"/>
    </row>
    <row r="57" spans="1:50" s="54" customFormat="1" ht="14.25" customHeight="1" x14ac:dyDescent="0.25">
      <c r="A57" s="55"/>
      <c r="B57" s="97"/>
      <c r="C57" s="23"/>
      <c r="D57" s="46"/>
      <c r="E57" s="46"/>
      <c r="F57" s="46"/>
      <c r="G57" s="46"/>
      <c r="H57" s="66"/>
      <c r="I57" s="48"/>
      <c r="J57" s="46"/>
      <c r="K57" s="46"/>
      <c r="L57" s="46"/>
      <c r="M57" s="46"/>
      <c r="N57" s="66"/>
      <c r="O57" s="48"/>
      <c r="P57" s="46"/>
      <c r="Q57" s="46"/>
      <c r="R57" s="46"/>
      <c r="S57" s="46"/>
      <c r="T57" s="66"/>
      <c r="U57" s="48"/>
      <c r="V57" s="46"/>
      <c r="W57" s="46"/>
      <c r="X57" s="46"/>
      <c r="Y57" s="46"/>
      <c r="Z57" s="66"/>
      <c r="AA57" s="48"/>
      <c r="AB57" s="46"/>
      <c r="AC57" s="46"/>
      <c r="AD57" s="46"/>
      <c r="AE57" s="46"/>
      <c r="AF57" s="66"/>
      <c r="AG57" s="95"/>
      <c r="AH57" s="46"/>
      <c r="AI57" s="46"/>
      <c r="AJ57" s="50"/>
      <c r="AK57" s="50"/>
      <c r="AL57" s="68"/>
      <c r="AM57" s="48"/>
      <c r="AN57" s="50"/>
      <c r="AO57" s="50"/>
      <c r="AP57" s="50"/>
      <c r="AQ57" s="50"/>
      <c r="AR57" s="68"/>
      <c r="AS57" s="48"/>
      <c r="AT57" s="68"/>
      <c r="AU57" s="96"/>
      <c r="AV57" s="68"/>
      <c r="AW57" s="96"/>
      <c r="AX57" s="68"/>
    </row>
    <row r="58" spans="1:50" s="54" customFormat="1" ht="14.25" customHeight="1" x14ac:dyDescent="0.25">
      <c r="A58" s="44" t="s">
        <v>70</v>
      </c>
      <c r="B58" s="65" t="s">
        <v>748</v>
      </c>
      <c r="C58" s="21"/>
      <c r="D58" s="46"/>
      <c r="E58" s="46"/>
      <c r="F58" s="46"/>
      <c r="G58" s="46"/>
      <c r="H58" s="66"/>
      <c r="I58" s="48"/>
      <c r="J58" s="46"/>
      <c r="K58" s="46"/>
      <c r="L58" s="46"/>
      <c r="M58" s="46"/>
      <c r="N58" s="66"/>
      <c r="O58" s="48"/>
      <c r="P58" s="46"/>
      <c r="Q58" s="46"/>
      <c r="R58" s="46"/>
      <c r="S58" s="46"/>
      <c r="T58" s="66"/>
      <c r="U58" s="48"/>
      <c r="V58" s="46"/>
      <c r="W58" s="46"/>
      <c r="X58" s="46"/>
      <c r="Y58" s="46"/>
      <c r="Z58" s="66"/>
      <c r="AA58" s="48"/>
      <c r="AB58" s="46"/>
      <c r="AC58" s="46"/>
      <c r="AD58" s="46"/>
      <c r="AE58" s="46"/>
      <c r="AF58" s="66"/>
      <c r="AG58" s="95"/>
      <c r="AH58" s="46"/>
      <c r="AI58" s="46"/>
      <c r="AJ58" s="50"/>
      <c r="AK58" s="50"/>
      <c r="AL58" s="68"/>
      <c r="AM58" s="48"/>
      <c r="AN58" s="50"/>
      <c r="AO58" s="50"/>
      <c r="AP58" s="50"/>
      <c r="AQ58" s="50"/>
      <c r="AR58" s="68"/>
      <c r="AS58" s="48"/>
      <c r="AT58" s="68"/>
      <c r="AU58" s="96"/>
      <c r="AV58" s="68"/>
      <c r="AW58" s="96"/>
      <c r="AX58" s="68"/>
    </row>
    <row r="59" spans="1:50" s="54" customFormat="1" ht="14.25" customHeight="1" x14ac:dyDescent="0.25">
      <c r="A59" s="97"/>
      <c r="B59" s="70" t="s">
        <v>749</v>
      </c>
      <c r="C59" s="23"/>
      <c r="D59" s="320">
        <v>313.5</v>
      </c>
      <c r="E59" s="320">
        <v>313.2</v>
      </c>
      <c r="F59" s="320">
        <v>313</v>
      </c>
      <c r="G59" s="320">
        <v>314.10000000000002</v>
      </c>
      <c r="H59" s="330">
        <v>313.5</v>
      </c>
      <c r="I59" s="331"/>
      <c r="J59" s="320">
        <v>313.5</v>
      </c>
      <c r="K59" s="320">
        <v>312.8</v>
      </c>
      <c r="L59" s="320">
        <v>311</v>
      </c>
      <c r="M59" s="320">
        <v>309.2</v>
      </c>
      <c r="N59" s="330">
        <v>311.60000000000002</v>
      </c>
      <c r="O59" s="331"/>
      <c r="P59" s="320">
        <v>307.39999999999998</v>
      </c>
      <c r="Q59" s="320">
        <v>306.2</v>
      </c>
      <c r="R59" s="320">
        <v>304.10000000000002</v>
      </c>
      <c r="S59" s="320">
        <v>300.60000000000002</v>
      </c>
      <c r="T59" s="330">
        <v>304.5</v>
      </c>
      <c r="U59" s="331"/>
      <c r="V59" s="320">
        <v>297.60000000000002</v>
      </c>
      <c r="W59" s="320">
        <v>295.10000000000002</v>
      </c>
      <c r="X59" s="320">
        <v>290.8</v>
      </c>
      <c r="Y59" s="320">
        <v>285.5</v>
      </c>
      <c r="Z59" s="330">
        <v>292.2</v>
      </c>
      <c r="AA59" s="331"/>
      <c r="AB59" s="320">
        <v>279.89999999999998</v>
      </c>
      <c r="AC59" s="320">
        <v>276.8</v>
      </c>
      <c r="AD59" s="320">
        <v>274.5</v>
      </c>
      <c r="AE59" s="320">
        <v>272.60000000000002</v>
      </c>
      <c r="AF59" s="330">
        <v>276</v>
      </c>
      <c r="AG59" s="332"/>
      <c r="AH59" s="320">
        <v>271.60000000000002</v>
      </c>
      <c r="AI59" s="320">
        <v>271.10000000000002</v>
      </c>
      <c r="AJ59" s="333"/>
      <c r="AK59" s="333"/>
      <c r="AL59" s="359"/>
      <c r="AM59" s="331"/>
      <c r="AN59" s="333"/>
      <c r="AO59" s="333"/>
      <c r="AP59" s="333"/>
      <c r="AQ59" s="333"/>
      <c r="AR59" s="359"/>
      <c r="AS59" s="48"/>
      <c r="AT59" s="359"/>
      <c r="AU59" s="96"/>
      <c r="AV59" s="359"/>
      <c r="AW59" s="96"/>
      <c r="AX59" s="359"/>
    </row>
    <row r="60" spans="1:50" s="54" customFormat="1" ht="14.25" customHeight="1" x14ac:dyDescent="0.25">
      <c r="A60" s="97"/>
      <c r="B60" s="70" t="s">
        <v>750</v>
      </c>
      <c r="C60" s="23"/>
      <c r="D60" s="320">
        <v>317.2</v>
      </c>
      <c r="E60" s="320">
        <v>316.2</v>
      </c>
      <c r="F60" s="320">
        <v>315.8</v>
      </c>
      <c r="G60" s="320">
        <v>317.10000000000002</v>
      </c>
      <c r="H60" s="330">
        <v>316.60000000000002</v>
      </c>
      <c r="I60" s="331"/>
      <c r="J60" s="320">
        <v>316.10000000000002</v>
      </c>
      <c r="K60" s="320">
        <v>315.2</v>
      </c>
      <c r="L60" s="320">
        <v>313.39999999999998</v>
      </c>
      <c r="M60" s="320">
        <v>311.3</v>
      </c>
      <c r="N60" s="330">
        <v>314</v>
      </c>
      <c r="O60" s="331"/>
      <c r="P60" s="320">
        <v>309.39999999999998</v>
      </c>
      <c r="Q60" s="320">
        <v>308.10000000000002</v>
      </c>
      <c r="R60" s="320">
        <v>305.7</v>
      </c>
      <c r="S60" s="320">
        <v>302.10000000000002</v>
      </c>
      <c r="T60" s="330">
        <v>306.3</v>
      </c>
      <c r="U60" s="331"/>
      <c r="V60" s="320">
        <v>299.10000000000002</v>
      </c>
      <c r="W60" s="320">
        <v>296.5</v>
      </c>
      <c r="X60" s="320">
        <v>292.10000000000002</v>
      </c>
      <c r="Y60" s="320">
        <v>286.89999999999998</v>
      </c>
      <c r="Z60" s="330">
        <v>293.60000000000002</v>
      </c>
      <c r="AA60" s="331"/>
      <c r="AB60" s="320">
        <v>281.10000000000002</v>
      </c>
      <c r="AC60" s="320">
        <v>277.89999999999998</v>
      </c>
      <c r="AD60" s="320">
        <v>275.60000000000002</v>
      </c>
      <c r="AE60" s="320">
        <v>273.60000000000002</v>
      </c>
      <c r="AF60" s="330">
        <v>277.10000000000002</v>
      </c>
      <c r="AG60" s="332"/>
      <c r="AH60" s="320">
        <v>272.3</v>
      </c>
      <c r="AI60" s="320">
        <v>271.8</v>
      </c>
      <c r="AJ60" s="333"/>
      <c r="AK60" s="333"/>
      <c r="AL60" s="359"/>
      <c r="AM60" s="331"/>
      <c r="AN60" s="333"/>
      <c r="AO60" s="333"/>
      <c r="AP60" s="333"/>
      <c r="AQ60" s="333"/>
      <c r="AR60" s="359"/>
      <c r="AS60" s="48"/>
      <c r="AT60" s="359"/>
      <c r="AU60" s="96"/>
      <c r="AV60" s="359"/>
      <c r="AW60" s="96"/>
      <c r="AX60" s="359"/>
    </row>
    <row r="61" spans="1:50" ht="14.25" customHeight="1" x14ac:dyDescent="0.25">
      <c r="AG61" s="205"/>
    </row>
    <row r="62" spans="1:50" ht="14.25" customHeight="1" x14ac:dyDescent="0.25">
      <c r="B62" s="64" t="s">
        <v>751</v>
      </c>
      <c r="C62" s="115"/>
      <c r="D62" s="113"/>
      <c r="E62" s="113"/>
      <c r="F62" s="113"/>
      <c r="G62" s="113"/>
      <c r="H62" s="113"/>
      <c r="I62" s="115"/>
      <c r="J62" s="113"/>
      <c r="K62" s="113"/>
      <c r="L62" s="113"/>
      <c r="M62" s="113"/>
      <c r="N62" s="113"/>
      <c r="O62" s="115"/>
      <c r="P62" s="113"/>
      <c r="Q62" s="113"/>
      <c r="R62" s="113"/>
      <c r="S62" s="113"/>
      <c r="T62" s="113"/>
      <c r="U62" s="115"/>
      <c r="V62" s="113"/>
      <c r="W62" s="113"/>
      <c r="X62" s="113"/>
      <c r="Y62" s="113"/>
      <c r="Z62" s="113"/>
      <c r="AA62" s="115"/>
      <c r="AB62" s="113"/>
      <c r="AC62" s="113"/>
      <c r="AD62" s="113"/>
      <c r="AE62" s="113"/>
      <c r="AF62" s="113"/>
      <c r="AG62" s="361"/>
      <c r="AH62" s="113"/>
      <c r="AI62" s="113"/>
      <c r="AJ62" s="113"/>
      <c r="AK62" s="113"/>
      <c r="AL62" s="113"/>
      <c r="AM62" s="115"/>
      <c r="AN62" s="113"/>
      <c r="AO62" s="113"/>
      <c r="AP62" s="113"/>
      <c r="AQ62" s="113"/>
    </row>
    <row r="63" spans="1:50" ht="14.25" customHeight="1" x14ac:dyDescent="0.25">
      <c r="B63" s="64"/>
      <c r="C63" s="115"/>
      <c r="D63" s="113"/>
      <c r="E63" s="113"/>
      <c r="F63" s="113"/>
      <c r="G63" s="113"/>
      <c r="H63" s="113"/>
      <c r="I63" s="115"/>
      <c r="J63" s="113"/>
      <c r="K63" s="113"/>
      <c r="L63" s="113"/>
      <c r="M63" s="113"/>
      <c r="N63" s="113"/>
      <c r="O63" s="115"/>
      <c r="P63" s="113"/>
      <c r="Q63" s="113"/>
      <c r="R63" s="113"/>
      <c r="S63" s="113"/>
      <c r="T63" s="113"/>
      <c r="U63" s="115"/>
      <c r="V63" s="113"/>
      <c r="W63" s="113"/>
      <c r="X63" s="113"/>
      <c r="Y63" s="113"/>
      <c r="Z63" s="113"/>
      <c r="AA63" s="115"/>
      <c r="AB63" s="113"/>
      <c r="AC63" s="113"/>
      <c r="AD63" s="113"/>
      <c r="AE63" s="113"/>
      <c r="AF63" s="113"/>
      <c r="AG63" s="361"/>
      <c r="AH63" s="113"/>
      <c r="AI63" s="113"/>
      <c r="AJ63" s="113"/>
      <c r="AK63" s="113"/>
      <c r="AL63" s="113"/>
      <c r="AM63" s="115"/>
      <c r="AN63" s="113"/>
      <c r="AO63" s="113"/>
      <c r="AP63" s="113"/>
      <c r="AQ63" s="113"/>
    </row>
    <row r="64" spans="1:50" ht="14.25" customHeight="1" x14ac:dyDescent="0.3">
      <c r="B64" s="114" t="s">
        <v>752</v>
      </c>
      <c r="C64" s="17"/>
      <c r="D64" s="60"/>
      <c r="E64" s="60"/>
      <c r="F64" s="60"/>
      <c r="G64" s="60"/>
      <c r="H64" s="66"/>
      <c r="I64" s="20"/>
      <c r="J64" s="60"/>
      <c r="K64" s="60"/>
      <c r="L64" s="60"/>
      <c r="M64" s="60"/>
      <c r="N64" s="66"/>
      <c r="O64" s="20"/>
      <c r="P64" s="60"/>
      <c r="Q64" s="60"/>
      <c r="R64" s="60"/>
      <c r="S64" s="60"/>
      <c r="T64" s="66"/>
      <c r="U64" s="20"/>
      <c r="V64" s="60"/>
      <c r="W64" s="60"/>
      <c r="X64" s="60"/>
      <c r="Y64" s="60"/>
      <c r="Z64" s="66"/>
      <c r="AA64" s="20"/>
      <c r="AB64" s="60"/>
      <c r="AC64" s="60"/>
      <c r="AD64" s="60"/>
      <c r="AE64" s="60"/>
      <c r="AF64" s="66"/>
      <c r="AG64" s="150"/>
      <c r="AH64" s="60"/>
      <c r="AI64" s="60"/>
      <c r="AJ64" s="46"/>
      <c r="AK64" s="46"/>
      <c r="AL64" s="66"/>
      <c r="AM64" s="20"/>
      <c r="AN64" s="46"/>
      <c r="AO64" s="46"/>
      <c r="AP64" s="46"/>
      <c r="AQ64" s="46"/>
    </row>
    <row r="65" spans="2:2" ht="14.25" customHeight="1" x14ac:dyDescent="0.25">
      <c r="B65" s="114" t="s">
        <v>753</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66"/>
  <sheetViews>
    <sheetView showGridLines="0" topLeftCell="N2" zoomScale="67" zoomScaleNormal="25" workbookViewId="0">
      <selection activeCell="AH66" sqref="AH66"/>
    </sheetView>
  </sheetViews>
  <sheetFormatPr defaultColWidth="9" defaultRowHeight="15" customHeight="1" outlineLevelCol="1" x14ac:dyDescent="0.3"/>
  <cols>
    <col min="1" max="1" width="2.09765625" style="41" customWidth="1"/>
    <col min="2" max="2" width="50.59765625" style="41" customWidth="1"/>
    <col min="3" max="3" width="3.09765625" style="17" customWidth="1"/>
    <col min="4" max="5" width="9.59765625" style="41" customWidth="1" outlineLevel="1"/>
    <col min="6" max="6" width="13.09765625" style="41" customWidth="1" outlineLevel="1"/>
    <col min="7" max="7" width="12.09765625" style="41" customWidth="1" outlineLevel="1"/>
    <col min="8" max="8" width="11.59765625" style="41" customWidth="1"/>
    <col min="9" max="9" width="1.59765625" style="17" customWidth="1"/>
    <col min="10" max="13" width="9.59765625" style="41" customWidth="1" outlineLevel="1"/>
    <col min="14" max="14" width="11.59765625" style="41" customWidth="1"/>
    <col min="15" max="15" width="1.59765625" style="17" customWidth="1"/>
    <col min="16" max="19" width="9.59765625" style="41" customWidth="1" outlineLevel="1"/>
    <col min="20" max="20" width="11.59765625" style="41" customWidth="1"/>
    <col min="21" max="21" width="1.59765625" style="17" customWidth="1"/>
    <col min="22" max="25" width="9.59765625" style="41" customWidth="1" outlineLevel="1"/>
    <col min="26" max="26" width="11.59765625" style="41" customWidth="1"/>
    <col min="27" max="27" width="1.59765625" style="17" customWidth="1"/>
    <col min="28" max="31" width="9.59765625" style="41" customWidth="1" outlineLevel="1"/>
    <col min="32" max="32" width="11.59765625" style="41" customWidth="1"/>
    <col min="33" max="33" width="1.59765625" style="17" customWidth="1"/>
    <col min="34" max="37" width="9.59765625" style="41" customWidth="1" outlineLevel="1"/>
    <col min="38" max="38" width="11.59765625" style="41" customWidth="1"/>
    <col min="39" max="39" width="1.59765625" style="17" customWidth="1"/>
    <col min="40" max="43" width="9.59765625" style="41" customWidth="1" outlineLevel="1"/>
    <col min="44" max="44" width="11.59765625" style="41" customWidth="1"/>
    <col min="45" max="45" width="1.59765625" style="17" customWidth="1"/>
    <col min="46" max="46" width="11.59765625" style="41" customWidth="1"/>
    <col min="47" max="47" width="1.59765625" style="17" customWidth="1"/>
    <col min="48" max="48" width="11.59765625" style="42" customWidth="1"/>
    <col min="49" max="49" width="1.59765625" style="41" customWidth="1"/>
    <col min="50" max="50" width="11.59765625" style="41" customWidth="1"/>
    <col min="51" max="16384" width="9" style="41"/>
  </cols>
  <sheetData>
    <row r="1" spans="1:50" s="581" customFormat="1" ht="15" customHeight="1" x14ac:dyDescent="0.25">
      <c r="AH1" s="581">
        <v>0</v>
      </c>
    </row>
    <row r="2" spans="1:50" s="581" customFormat="1" ht="15" customHeight="1" x14ac:dyDescent="0.25"/>
    <row r="3" spans="1:50" s="581" customFormat="1" ht="15" customHeight="1" x14ac:dyDescent="0.25"/>
    <row r="4" spans="1:50" s="581" customFormat="1" ht="15" customHeight="1" x14ac:dyDescent="0.25"/>
    <row r="5" spans="1:50" s="577" customFormat="1" ht="4.3499999999999996" customHeight="1" x14ac:dyDescent="0.3">
      <c r="C5" s="578"/>
      <c r="I5" s="578"/>
      <c r="O5" s="578"/>
      <c r="U5" s="578"/>
      <c r="AA5" s="578"/>
      <c r="AG5" s="578"/>
      <c r="AM5" s="578"/>
      <c r="AS5" s="578"/>
      <c r="AU5" s="578"/>
      <c r="AV5" s="579"/>
    </row>
    <row r="7" spans="1:50" ht="15" customHeight="1" x14ac:dyDescent="0.3">
      <c r="B7" s="161" t="s">
        <v>548</v>
      </c>
      <c r="C7" s="18"/>
      <c r="D7" s="202">
        <v>2020</v>
      </c>
      <c r="E7" s="202">
        <v>2020</v>
      </c>
      <c r="F7" s="168">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x14ac:dyDescent="0.3">
      <c r="B8" s="164"/>
      <c r="C8" s="18"/>
      <c r="D8" s="813">
        <v>2020</v>
      </c>
      <c r="E8" s="813"/>
      <c r="F8" s="813"/>
      <c r="G8" s="813"/>
      <c r="H8" s="813"/>
      <c r="I8" s="169"/>
      <c r="J8" s="813">
        <v>2021</v>
      </c>
      <c r="K8" s="813"/>
      <c r="L8" s="813"/>
      <c r="M8" s="813"/>
      <c r="N8" s="813"/>
      <c r="O8" s="169"/>
      <c r="P8" s="813">
        <v>2022</v>
      </c>
      <c r="Q8" s="813"/>
      <c r="R8" s="813"/>
      <c r="S8" s="813"/>
      <c r="T8" s="813"/>
      <c r="U8" s="169"/>
      <c r="V8" s="813">
        <v>2023</v>
      </c>
      <c r="W8" s="813"/>
      <c r="X8" s="813"/>
      <c r="Y8" s="813"/>
      <c r="Z8" s="813"/>
      <c r="AA8" s="169"/>
      <c r="AB8" s="813">
        <v>2024</v>
      </c>
      <c r="AC8" s="813"/>
      <c r="AD8" s="813"/>
      <c r="AE8" s="813"/>
      <c r="AF8" s="813"/>
      <c r="AG8" s="169"/>
      <c r="AH8" s="812">
        <v>2025</v>
      </c>
      <c r="AI8" s="812"/>
      <c r="AJ8" s="812"/>
      <c r="AK8" s="812"/>
      <c r="AL8" s="812"/>
      <c r="AM8" s="169"/>
      <c r="AN8" s="812">
        <v>2026</v>
      </c>
      <c r="AO8" s="812"/>
      <c r="AP8" s="812"/>
      <c r="AQ8" s="812"/>
      <c r="AR8" s="812"/>
      <c r="AS8" s="171"/>
      <c r="AT8" s="166">
        <v>2027</v>
      </c>
      <c r="AU8" s="167"/>
      <c r="AV8" s="166">
        <v>2028</v>
      </c>
      <c r="AW8" s="167"/>
      <c r="AX8" s="166">
        <v>2029</v>
      </c>
    </row>
    <row r="9" spans="1:50" ht="15" customHeight="1" x14ac:dyDescent="0.3">
      <c r="B9" s="164"/>
      <c r="C9" s="18"/>
      <c r="D9" s="168" t="s">
        <v>36</v>
      </c>
      <c r="E9" s="168" t="s">
        <v>37</v>
      </c>
      <c r="F9" s="168" t="s">
        <v>38</v>
      </c>
      <c r="G9" s="168" t="s">
        <v>39</v>
      </c>
      <c r="H9" s="168" t="s">
        <v>40</v>
      </c>
      <c r="I9" s="18"/>
      <c r="J9" s="168" t="s">
        <v>36</v>
      </c>
      <c r="K9" s="168" t="s">
        <v>37</v>
      </c>
      <c r="L9" s="168" t="s">
        <v>38</v>
      </c>
      <c r="M9" s="168" t="s">
        <v>39</v>
      </c>
      <c r="N9" s="168" t="s">
        <v>40</v>
      </c>
      <c r="O9" s="165"/>
      <c r="P9" s="168" t="s">
        <v>36</v>
      </c>
      <c r="Q9" s="168" t="s">
        <v>37</v>
      </c>
      <c r="R9" s="168" t="s">
        <v>38</v>
      </c>
      <c r="S9" s="168" t="s">
        <v>39</v>
      </c>
      <c r="T9" s="168" t="s">
        <v>40</v>
      </c>
      <c r="U9" s="165"/>
      <c r="V9" s="168" t="s">
        <v>36</v>
      </c>
      <c r="W9" s="168" t="s">
        <v>37</v>
      </c>
      <c r="X9" s="168" t="s">
        <v>38</v>
      </c>
      <c r="Y9" s="168" t="s">
        <v>39</v>
      </c>
      <c r="Z9" s="168" t="s">
        <v>40</v>
      </c>
      <c r="AA9" s="165"/>
      <c r="AB9" s="168" t="s">
        <v>36</v>
      </c>
      <c r="AC9" s="168" t="s">
        <v>37</v>
      </c>
      <c r="AD9" s="168" t="s">
        <v>38</v>
      </c>
      <c r="AE9" s="168" t="s">
        <v>39</v>
      </c>
      <c r="AF9" s="168" t="s">
        <v>40</v>
      </c>
      <c r="AG9" s="165"/>
      <c r="AH9" s="168" t="s">
        <v>36</v>
      </c>
      <c r="AI9" s="168" t="s">
        <v>37</v>
      </c>
      <c r="AJ9" s="168" t="s">
        <v>38</v>
      </c>
      <c r="AK9" s="168" t="s">
        <v>39</v>
      </c>
      <c r="AL9" s="168" t="s">
        <v>40</v>
      </c>
      <c r="AM9" s="165"/>
      <c r="AN9" s="168" t="s">
        <v>36</v>
      </c>
      <c r="AO9" s="168" t="s">
        <v>37</v>
      </c>
      <c r="AP9" s="168" t="s">
        <v>38</v>
      </c>
      <c r="AQ9" s="168" t="s">
        <v>39</v>
      </c>
      <c r="AR9" s="168" t="s">
        <v>40</v>
      </c>
      <c r="AS9" s="165"/>
      <c r="AT9" s="168" t="s">
        <v>40</v>
      </c>
      <c r="AU9" s="165"/>
      <c r="AV9" s="168" t="s">
        <v>40</v>
      </c>
      <c r="AW9" s="165"/>
      <c r="AX9" s="168" t="s">
        <v>40</v>
      </c>
    </row>
    <row r="10" spans="1:50" ht="4.3499999999999996" customHeight="1" x14ac:dyDescent="0.3">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4.3499999999999996" customHeight="1" x14ac:dyDescent="0.3">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5" customHeight="1" x14ac:dyDescent="0.3">
      <c r="A12" s="44"/>
      <c r="B12" s="106" t="s">
        <v>754</v>
      </c>
      <c r="D12" s="46"/>
      <c r="E12" s="46"/>
      <c r="F12" s="46"/>
      <c r="G12" s="46"/>
      <c r="H12" s="57"/>
      <c r="I12" s="20"/>
      <c r="J12" s="107"/>
      <c r="K12" s="107"/>
      <c r="L12" s="107"/>
      <c r="M12" s="107"/>
      <c r="N12" s="108"/>
      <c r="O12" s="108"/>
      <c r="P12" s="107"/>
      <c r="Q12" s="107"/>
      <c r="R12" s="107"/>
      <c r="S12" s="107"/>
      <c r="T12" s="108"/>
      <c r="U12" s="108"/>
      <c r="V12" s="107"/>
      <c r="W12" s="107"/>
      <c r="X12" s="107"/>
      <c r="Y12" s="107"/>
      <c r="Z12" s="108"/>
      <c r="AA12" s="108"/>
      <c r="AB12" s="109"/>
      <c r="AC12" s="109"/>
      <c r="AD12" s="109"/>
      <c r="AE12" s="109"/>
      <c r="AF12" s="108"/>
      <c r="AG12" s="110"/>
      <c r="AH12" s="111"/>
      <c r="AI12" s="111"/>
      <c r="AJ12" s="111"/>
      <c r="AK12" s="111"/>
      <c r="AL12" s="108"/>
      <c r="AM12" s="112"/>
      <c r="AN12" s="111"/>
      <c r="AO12" s="111"/>
      <c r="AP12" s="111"/>
      <c r="AQ12" s="111"/>
      <c r="AR12" s="108"/>
      <c r="AS12" s="112"/>
      <c r="AT12" s="108"/>
      <c r="AU12" s="112"/>
      <c r="AV12" s="108"/>
    </row>
    <row r="13" spans="1:50" s="113" customFormat="1" ht="15" customHeight="1" x14ac:dyDescent="0.3">
      <c r="B13" s="114"/>
      <c r="C13" s="115"/>
      <c r="D13" s="46"/>
      <c r="E13" s="46"/>
      <c r="F13" s="46"/>
      <c r="G13" s="46"/>
      <c r="H13" s="57"/>
      <c r="I13" s="116"/>
      <c r="J13" s="107"/>
      <c r="K13" s="107"/>
      <c r="L13" s="107"/>
      <c r="M13" s="107"/>
      <c r="N13" s="108"/>
      <c r="O13" s="116"/>
      <c r="P13" s="107"/>
      <c r="Q13" s="107"/>
      <c r="R13" s="107"/>
      <c r="S13" s="107"/>
      <c r="T13" s="108"/>
      <c r="U13" s="116"/>
      <c r="V13" s="107"/>
      <c r="W13" s="107"/>
      <c r="X13" s="107"/>
      <c r="Y13" s="107"/>
      <c r="Z13" s="108"/>
      <c r="AA13" s="117"/>
      <c r="AB13" s="109"/>
      <c r="AC13" s="109"/>
      <c r="AD13" s="109"/>
      <c r="AE13" s="109"/>
      <c r="AF13" s="108"/>
      <c r="AG13" s="118"/>
      <c r="AH13" s="119"/>
      <c r="AI13" s="119"/>
      <c r="AJ13" s="119"/>
      <c r="AK13" s="119"/>
      <c r="AL13" s="108"/>
      <c r="AM13" s="120"/>
      <c r="AN13" s="119"/>
      <c r="AO13" s="119"/>
      <c r="AP13" s="119"/>
      <c r="AQ13" s="119"/>
      <c r="AR13" s="108"/>
      <c r="AS13" s="120"/>
      <c r="AT13" s="108"/>
      <c r="AU13" s="120"/>
      <c r="AV13" s="108"/>
    </row>
    <row r="14" spans="1:50" ht="15" customHeight="1" x14ac:dyDescent="0.3">
      <c r="A14" s="44" t="s">
        <v>70</v>
      </c>
      <c r="B14" s="114" t="s">
        <v>755</v>
      </c>
      <c r="D14" s="46"/>
      <c r="E14" s="46"/>
      <c r="F14" s="46"/>
      <c r="G14" s="46"/>
      <c r="H14" s="66"/>
      <c r="I14" s="20"/>
      <c r="J14" s="121"/>
      <c r="K14" s="121"/>
      <c r="L14" s="121"/>
      <c r="M14" s="121"/>
      <c r="N14" s="108"/>
      <c r="O14" s="20"/>
      <c r="P14" s="121"/>
      <c r="Q14" s="121"/>
      <c r="R14" s="121"/>
      <c r="S14" s="121"/>
      <c r="T14" s="108"/>
      <c r="U14" s="20"/>
      <c r="V14" s="121"/>
      <c r="W14" s="121"/>
      <c r="X14" s="121"/>
      <c r="Y14" s="121"/>
      <c r="Z14" s="108"/>
      <c r="AA14" s="122"/>
      <c r="AB14" s="123"/>
      <c r="AC14" s="123"/>
      <c r="AD14" s="123"/>
      <c r="AE14" s="123"/>
      <c r="AF14" s="108"/>
      <c r="AG14" s="124"/>
      <c r="AH14" s="125"/>
      <c r="AI14" s="125"/>
      <c r="AJ14" s="125"/>
      <c r="AK14" s="125"/>
      <c r="AL14" s="108"/>
      <c r="AM14" s="126"/>
      <c r="AN14" s="125"/>
      <c r="AO14" s="125"/>
      <c r="AP14" s="125"/>
      <c r="AQ14" s="125"/>
      <c r="AR14" s="108"/>
      <c r="AS14" s="126"/>
      <c r="AT14" s="108"/>
      <c r="AU14" s="126"/>
      <c r="AV14" s="108"/>
    </row>
    <row r="15" spans="1:50" ht="15" customHeight="1" x14ac:dyDescent="0.3">
      <c r="A15" s="44"/>
      <c r="B15" s="127" t="s">
        <v>756</v>
      </c>
      <c r="D15" s="60">
        <v>4211</v>
      </c>
      <c r="E15" s="60">
        <v>9526</v>
      </c>
      <c r="F15" s="60">
        <v>8830</v>
      </c>
      <c r="G15" s="60">
        <v>7707</v>
      </c>
      <c r="H15" s="57">
        <v>7707</v>
      </c>
      <c r="I15" s="116"/>
      <c r="J15" s="60">
        <v>7629</v>
      </c>
      <c r="K15" s="60">
        <v>7850</v>
      </c>
      <c r="L15" s="60">
        <v>8207</v>
      </c>
      <c r="M15" s="60">
        <v>8745</v>
      </c>
      <c r="N15" s="57">
        <v>8745</v>
      </c>
      <c r="O15" s="116"/>
      <c r="P15" s="60">
        <v>5207</v>
      </c>
      <c r="Q15" s="60">
        <v>4560</v>
      </c>
      <c r="R15" s="60">
        <v>5078</v>
      </c>
      <c r="S15" s="60">
        <v>5508</v>
      </c>
      <c r="T15" s="57">
        <v>5508</v>
      </c>
      <c r="U15" s="116"/>
      <c r="V15" s="60">
        <v>4828</v>
      </c>
      <c r="W15" s="60">
        <v>6123</v>
      </c>
      <c r="X15" s="60">
        <v>7417</v>
      </c>
      <c r="Y15" s="60">
        <v>8404</v>
      </c>
      <c r="Z15" s="57">
        <v>8404</v>
      </c>
      <c r="AA15" s="117"/>
      <c r="AB15" s="60">
        <v>6273</v>
      </c>
      <c r="AC15" s="60">
        <v>6647</v>
      </c>
      <c r="AD15" s="60">
        <v>8144</v>
      </c>
      <c r="AE15" s="60">
        <v>8478</v>
      </c>
      <c r="AF15" s="57">
        <v>8478</v>
      </c>
      <c r="AG15" s="118"/>
      <c r="AH15" s="60">
        <v>7815</v>
      </c>
      <c r="AI15" s="60">
        <v>9263</v>
      </c>
      <c r="AJ15" s="125"/>
      <c r="AK15" s="125"/>
      <c r="AL15" s="108"/>
      <c r="AM15" s="126"/>
      <c r="AN15" s="125"/>
      <c r="AO15" s="125"/>
      <c r="AP15" s="125"/>
      <c r="AQ15" s="125"/>
      <c r="AR15" s="108"/>
      <c r="AS15" s="126"/>
      <c r="AT15" s="108"/>
      <c r="AU15" s="126"/>
      <c r="AV15" s="108"/>
    </row>
    <row r="16" spans="1:50" ht="15" customHeight="1" x14ac:dyDescent="0.3">
      <c r="A16" s="44"/>
      <c r="B16" s="138" t="s">
        <v>757</v>
      </c>
      <c r="D16" s="60">
        <v>609</v>
      </c>
      <c r="E16" s="60">
        <v>626</v>
      </c>
      <c r="F16" s="60">
        <v>640</v>
      </c>
      <c r="G16" s="60">
        <v>641</v>
      </c>
      <c r="H16" s="57">
        <v>641</v>
      </c>
      <c r="I16" s="20"/>
      <c r="J16" s="60">
        <v>667</v>
      </c>
      <c r="K16" s="60">
        <v>668</v>
      </c>
      <c r="L16" s="60">
        <v>688</v>
      </c>
      <c r="M16" s="60">
        <v>728</v>
      </c>
      <c r="N16" s="57">
        <v>728</v>
      </c>
      <c r="O16" s="20"/>
      <c r="P16" s="60">
        <v>735</v>
      </c>
      <c r="Q16" s="60">
        <v>682</v>
      </c>
      <c r="R16" s="60">
        <v>719</v>
      </c>
      <c r="S16" s="60">
        <v>734</v>
      </c>
      <c r="T16" s="57">
        <v>734</v>
      </c>
      <c r="U16" s="20"/>
      <c r="V16" s="60">
        <v>852</v>
      </c>
      <c r="W16" s="60">
        <v>856</v>
      </c>
      <c r="X16" s="60">
        <v>841</v>
      </c>
      <c r="Y16" s="60">
        <v>946</v>
      </c>
      <c r="Z16" s="57">
        <v>946</v>
      </c>
      <c r="AA16" s="122"/>
      <c r="AB16" s="60">
        <v>1136</v>
      </c>
      <c r="AC16" s="60">
        <v>1094</v>
      </c>
      <c r="AD16" s="60">
        <v>1140</v>
      </c>
      <c r="AE16" s="60">
        <v>1154</v>
      </c>
      <c r="AF16" s="57">
        <v>1154</v>
      </c>
      <c r="AG16" s="124"/>
      <c r="AH16" s="60">
        <v>1214</v>
      </c>
      <c r="AI16" s="60">
        <v>1272</v>
      </c>
      <c r="AJ16" s="125"/>
      <c r="AK16" s="125"/>
      <c r="AL16" s="108"/>
      <c r="AM16" s="126"/>
      <c r="AN16" s="125"/>
      <c r="AO16" s="125"/>
      <c r="AP16" s="125"/>
      <c r="AQ16" s="125"/>
      <c r="AR16" s="108"/>
      <c r="AS16" s="126"/>
      <c r="AT16" s="108"/>
      <c r="AU16" s="126"/>
      <c r="AV16" s="108"/>
    </row>
    <row r="17" spans="1:48" s="113" customFormat="1" ht="15" customHeight="1" x14ac:dyDescent="0.3">
      <c r="B17" s="138" t="s">
        <v>758</v>
      </c>
      <c r="C17" s="115"/>
      <c r="D17" s="60">
        <v>3602</v>
      </c>
      <c r="E17" s="60">
        <v>8900</v>
      </c>
      <c r="F17" s="60">
        <v>8190</v>
      </c>
      <c r="G17" s="60">
        <v>7066</v>
      </c>
      <c r="H17" s="57">
        <v>7066</v>
      </c>
      <c r="I17" s="20"/>
      <c r="J17" s="60">
        <v>6962</v>
      </c>
      <c r="K17" s="60">
        <v>7182</v>
      </c>
      <c r="L17" s="60">
        <v>7519</v>
      </c>
      <c r="M17" s="60">
        <v>8017</v>
      </c>
      <c r="N17" s="57">
        <v>8017</v>
      </c>
      <c r="O17" s="20"/>
      <c r="P17" s="60">
        <v>4472</v>
      </c>
      <c r="Q17" s="60">
        <v>3878</v>
      </c>
      <c r="R17" s="60">
        <v>4359</v>
      </c>
      <c r="S17" s="60">
        <v>4774</v>
      </c>
      <c r="T17" s="57">
        <v>4774</v>
      </c>
      <c r="U17" s="20"/>
      <c r="V17" s="60">
        <v>3976</v>
      </c>
      <c r="W17" s="60">
        <v>5267</v>
      </c>
      <c r="X17" s="60">
        <v>6576</v>
      </c>
      <c r="Y17" s="60">
        <v>7458</v>
      </c>
      <c r="Z17" s="57">
        <v>7458</v>
      </c>
      <c r="AA17" s="122"/>
      <c r="AB17" s="60">
        <v>5137</v>
      </c>
      <c r="AC17" s="60">
        <v>5553</v>
      </c>
      <c r="AD17" s="60">
        <v>7004</v>
      </c>
      <c r="AE17" s="60">
        <v>7324</v>
      </c>
      <c r="AF17" s="57">
        <v>7324</v>
      </c>
      <c r="AG17" s="124"/>
      <c r="AH17" s="60">
        <v>6601</v>
      </c>
      <c r="AI17" s="60">
        <v>7991</v>
      </c>
      <c r="AJ17" s="125"/>
      <c r="AK17" s="125"/>
      <c r="AL17" s="57"/>
      <c r="AM17" s="128"/>
      <c r="AN17" s="46"/>
      <c r="AO17" s="46"/>
      <c r="AP17" s="46"/>
      <c r="AQ17" s="46"/>
      <c r="AR17" s="57"/>
      <c r="AS17" s="128"/>
      <c r="AT17" s="57"/>
      <c r="AU17" s="128"/>
      <c r="AV17" s="57"/>
    </row>
    <row r="18" spans="1:48" s="113" customFormat="1" ht="15" customHeight="1" x14ac:dyDescent="0.25">
      <c r="B18" s="127" t="s">
        <v>759</v>
      </c>
      <c r="C18" s="115"/>
      <c r="D18" s="60">
        <v>5360</v>
      </c>
      <c r="E18" s="60">
        <v>5986</v>
      </c>
      <c r="F18" s="60">
        <v>5473</v>
      </c>
      <c r="G18" s="60">
        <v>4171</v>
      </c>
      <c r="H18" s="57">
        <v>4171</v>
      </c>
      <c r="I18" s="116"/>
      <c r="J18" s="60">
        <v>5037</v>
      </c>
      <c r="K18" s="60">
        <v>6158</v>
      </c>
      <c r="L18" s="60">
        <v>5268</v>
      </c>
      <c r="M18" s="60">
        <v>4208</v>
      </c>
      <c r="N18" s="57">
        <v>4208</v>
      </c>
      <c r="O18" s="116"/>
      <c r="P18" s="60">
        <v>4855</v>
      </c>
      <c r="Q18" s="60">
        <v>6258</v>
      </c>
      <c r="R18" s="60">
        <v>6696</v>
      </c>
      <c r="S18" s="60">
        <v>6410</v>
      </c>
      <c r="T18" s="57">
        <v>6410</v>
      </c>
      <c r="U18" s="116"/>
      <c r="V18" s="60">
        <v>7609</v>
      </c>
      <c r="W18" s="60">
        <v>9971</v>
      </c>
      <c r="X18" s="60">
        <v>9297</v>
      </c>
      <c r="Y18" s="60">
        <v>7739</v>
      </c>
      <c r="Z18" s="57">
        <v>7739</v>
      </c>
      <c r="AA18" s="117"/>
      <c r="AB18" s="60">
        <v>7795</v>
      </c>
      <c r="AC18" s="60">
        <v>8880</v>
      </c>
      <c r="AD18" s="60">
        <v>7469</v>
      </c>
      <c r="AE18" s="60">
        <v>5326</v>
      </c>
      <c r="AF18" s="57">
        <v>5326</v>
      </c>
      <c r="AG18" s="118"/>
      <c r="AH18" s="60">
        <v>4931</v>
      </c>
      <c r="AI18" s="60">
        <v>6748</v>
      </c>
      <c r="AJ18" s="50"/>
      <c r="AK18" s="50"/>
      <c r="AL18" s="58"/>
      <c r="AM18" s="128"/>
      <c r="AN18" s="50"/>
      <c r="AO18" s="50"/>
      <c r="AP18" s="50"/>
      <c r="AQ18" s="50"/>
      <c r="AR18" s="58"/>
      <c r="AS18" s="128"/>
      <c r="AT18" s="58"/>
      <c r="AU18" s="128"/>
      <c r="AV18" s="58"/>
    </row>
    <row r="19" spans="1:48" ht="15" customHeight="1" x14ac:dyDescent="0.3">
      <c r="A19" s="43"/>
      <c r="B19" s="127" t="s">
        <v>579</v>
      </c>
      <c r="D19" s="60">
        <v>6482</v>
      </c>
      <c r="E19" s="60">
        <v>6171</v>
      </c>
      <c r="F19" s="60">
        <v>5650</v>
      </c>
      <c r="G19" s="60">
        <v>4999</v>
      </c>
      <c r="H19" s="57">
        <v>4999</v>
      </c>
      <c r="I19" s="20"/>
      <c r="J19" s="60">
        <v>5956</v>
      </c>
      <c r="K19" s="60">
        <v>6042</v>
      </c>
      <c r="L19" s="60">
        <v>6410</v>
      </c>
      <c r="M19" s="60">
        <v>6781</v>
      </c>
      <c r="N19" s="57">
        <v>6781</v>
      </c>
      <c r="O19" s="20"/>
      <c r="P19" s="60">
        <v>7935</v>
      </c>
      <c r="Q19" s="60">
        <v>9030</v>
      </c>
      <c r="R19" s="60">
        <v>9121</v>
      </c>
      <c r="S19" s="60">
        <v>8495</v>
      </c>
      <c r="T19" s="57">
        <v>8495</v>
      </c>
      <c r="U19" s="20"/>
      <c r="V19" s="60">
        <v>10056</v>
      </c>
      <c r="W19" s="60">
        <v>9713</v>
      </c>
      <c r="X19" s="60">
        <v>9350</v>
      </c>
      <c r="Y19" s="60">
        <v>8160</v>
      </c>
      <c r="Z19" s="57">
        <v>8160</v>
      </c>
      <c r="AA19" s="122"/>
      <c r="AB19" s="60">
        <v>8937</v>
      </c>
      <c r="AC19" s="60">
        <v>8443</v>
      </c>
      <c r="AD19" s="60">
        <v>7696</v>
      </c>
      <c r="AE19" s="60">
        <v>7093</v>
      </c>
      <c r="AF19" s="57">
        <v>7093</v>
      </c>
      <c r="AG19" s="124"/>
      <c r="AH19" s="60">
        <v>7744</v>
      </c>
      <c r="AI19" s="60">
        <v>7870</v>
      </c>
      <c r="AJ19" s="50"/>
      <c r="AK19" s="50"/>
      <c r="AL19" s="58"/>
      <c r="AM19" s="126"/>
      <c r="AN19" s="50"/>
      <c r="AO19" s="50"/>
      <c r="AP19" s="50"/>
      <c r="AQ19" s="50"/>
      <c r="AR19" s="58"/>
      <c r="AS19" s="126"/>
      <c r="AT19" s="58"/>
      <c r="AU19" s="126"/>
      <c r="AV19" s="58"/>
    </row>
    <row r="20" spans="1:48" s="113" customFormat="1" ht="15" customHeight="1" x14ac:dyDescent="0.25">
      <c r="B20" s="127" t="s">
        <v>760</v>
      </c>
      <c r="C20" s="115"/>
      <c r="D20" s="46">
        <v>1405</v>
      </c>
      <c r="E20" s="46">
        <v>1244</v>
      </c>
      <c r="F20" s="46">
        <v>1243</v>
      </c>
      <c r="G20" s="46">
        <v>1251</v>
      </c>
      <c r="H20" s="74">
        <v>1251</v>
      </c>
      <c r="I20" s="116"/>
      <c r="J20" s="46">
        <v>1169</v>
      </c>
      <c r="K20" s="46">
        <v>1504</v>
      </c>
      <c r="L20" s="46">
        <v>1702</v>
      </c>
      <c r="M20" s="46">
        <v>1765</v>
      </c>
      <c r="N20" s="74">
        <v>1765</v>
      </c>
      <c r="O20" s="116"/>
      <c r="P20" s="46">
        <v>1936</v>
      </c>
      <c r="Q20" s="46">
        <v>2306</v>
      </c>
      <c r="R20" s="46">
        <v>1999</v>
      </c>
      <c r="S20" s="46">
        <v>2492</v>
      </c>
      <c r="T20" s="74">
        <v>2492</v>
      </c>
      <c r="U20" s="116"/>
      <c r="V20" s="46">
        <v>1992</v>
      </c>
      <c r="W20" s="46">
        <v>2593</v>
      </c>
      <c r="X20" s="46">
        <v>3118</v>
      </c>
      <c r="Y20" s="46">
        <v>2623</v>
      </c>
      <c r="Z20" s="74">
        <v>2623</v>
      </c>
      <c r="AA20" s="129"/>
      <c r="AB20" s="46">
        <v>2017</v>
      </c>
      <c r="AC20" s="46">
        <v>2535</v>
      </c>
      <c r="AD20" s="46">
        <v>5235</v>
      </c>
      <c r="AE20" s="46">
        <v>5489</v>
      </c>
      <c r="AF20" s="74">
        <v>5489</v>
      </c>
      <c r="AG20" s="130"/>
      <c r="AH20" s="46">
        <v>5908</v>
      </c>
      <c r="AI20" s="46">
        <v>2975</v>
      </c>
      <c r="AJ20" s="50"/>
      <c r="AK20" s="50"/>
      <c r="AL20" s="75"/>
      <c r="AM20" s="129"/>
      <c r="AN20" s="50"/>
      <c r="AO20" s="50"/>
      <c r="AP20" s="50"/>
      <c r="AQ20" s="50"/>
      <c r="AR20" s="75"/>
      <c r="AS20" s="129"/>
      <c r="AT20" s="75"/>
      <c r="AU20" s="129"/>
      <c r="AV20" s="75"/>
    </row>
    <row r="21" spans="1:48" s="135" customFormat="1" ht="15" customHeight="1" x14ac:dyDescent="0.25">
      <c r="A21" s="84"/>
      <c r="B21" s="59" t="s">
        <v>761</v>
      </c>
      <c r="C21" s="26"/>
      <c r="D21" s="60">
        <v>17458</v>
      </c>
      <c r="E21" s="60">
        <v>22927</v>
      </c>
      <c r="F21" s="60">
        <v>21196</v>
      </c>
      <c r="G21" s="60">
        <v>18128</v>
      </c>
      <c r="H21" s="77">
        <v>18128</v>
      </c>
      <c r="I21" s="131"/>
      <c r="J21" s="60">
        <v>19791</v>
      </c>
      <c r="K21" s="60">
        <v>21554</v>
      </c>
      <c r="L21" s="60">
        <v>21587</v>
      </c>
      <c r="M21" s="60">
        <v>21499</v>
      </c>
      <c r="N21" s="77">
        <v>21499</v>
      </c>
      <c r="O21" s="131"/>
      <c r="P21" s="60">
        <v>19933</v>
      </c>
      <c r="Q21" s="60">
        <v>22154</v>
      </c>
      <c r="R21" s="60">
        <v>22894</v>
      </c>
      <c r="S21" s="60">
        <v>22905</v>
      </c>
      <c r="T21" s="77">
        <v>22905</v>
      </c>
      <c r="U21" s="131"/>
      <c r="V21" s="60">
        <v>24485</v>
      </c>
      <c r="W21" s="60">
        <v>28400</v>
      </c>
      <c r="X21" s="60">
        <v>29182</v>
      </c>
      <c r="Y21" s="60">
        <v>26926</v>
      </c>
      <c r="Z21" s="77">
        <v>26926</v>
      </c>
      <c r="AA21" s="132"/>
      <c r="AB21" s="60">
        <v>25022</v>
      </c>
      <c r="AC21" s="60">
        <v>26505</v>
      </c>
      <c r="AD21" s="60">
        <v>28544</v>
      </c>
      <c r="AE21" s="60">
        <v>26386</v>
      </c>
      <c r="AF21" s="77">
        <v>26386</v>
      </c>
      <c r="AG21" s="133"/>
      <c r="AH21" s="60">
        <v>26398</v>
      </c>
      <c r="AI21" s="60">
        <v>26856</v>
      </c>
      <c r="AJ21" s="50"/>
      <c r="AK21" s="50"/>
      <c r="AL21" s="78"/>
      <c r="AM21" s="134"/>
      <c r="AN21" s="50"/>
      <c r="AO21" s="50"/>
      <c r="AP21" s="50"/>
      <c r="AQ21" s="50"/>
      <c r="AR21" s="78"/>
      <c r="AS21" s="134"/>
      <c r="AT21" s="78"/>
      <c r="AU21" s="134"/>
      <c r="AV21" s="78"/>
    </row>
    <row r="22" spans="1:48" ht="15" customHeight="1" x14ac:dyDescent="0.3">
      <c r="A22" s="43"/>
      <c r="B22" s="136"/>
      <c r="D22" s="46"/>
      <c r="E22" s="46"/>
      <c r="F22" s="46"/>
      <c r="G22" s="46"/>
      <c r="H22" s="66"/>
      <c r="I22" s="20"/>
      <c r="J22" s="46"/>
      <c r="K22" s="46"/>
      <c r="L22" s="46"/>
      <c r="M22" s="46"/>
      <c r="N22" s="66"/>
      <c r="O22" s="20"/>
      <c r="P22" s="46"/>
      <c r="Q22" s="46"/>
      <c r="R22" s="46"/>
      <c r="S22" s="46"/>
      <c r="T22" s="66"/>
      <c r="U22" s="20"/>
      <c r="V22" s="46"/>
      <c r="W22" s="46"/>
      <c r="X22" s="46"/>
      <c r="Y22" s="46"/>
      <c r="Z22" s="66"/>
      <c r="AA22" s="122"/>
      <c r="AB22" s="46"/>
      <c r="AC22" s="46"/>
      <c r="AD22" s="46"/>
      <c r="AE22" s="46"/>
      <c r="AF22" s="66"/>
      <c r="AG22" s="124"/>
      <c r="AH22" s="46"/>
      <c r="AI22" s="46"/>
      <c r="AJ22" s="50"/>
      <c r="AK22" s="50"/>
      <c r="AL22" s="68"/>
      <c r="AM22" s="126"/>
      <c r="AN22" s="50"/>
      <c r="AO22" s="50"/>
      <c r="AP22" s="50"/>
      <c r="AQ22" s="50"/>
      <c r="AR22" s="68"/>
      <c r="AS22" s="126"/>
      <c r="AT22" s="68"/>
      <c r="AU22" s="126"/>
      <c r="AV22" s="68"/>
    </row>
    <row r="23" spans="1:48" s="113" customFormat="1" ht="15" customHeight="1" x14ac:dyDescent="0.25">
      <c r="A23" s="44" t="s">
        <v>70</v>
      </c>
      <c r="B23" s="45" t="s">
        <v>762</v>
      </c>
      <c r="C23" s="115"/>
      <c r="D23" s="46"/>
      <c r="E23" s="46"/>
      <c r="F23" s="46"/>
      <c r="G23" s="46"/>
      <c r="H23" s="66"/>
      <c r="I23" s="116"/>
      <c r="J23" s="46"/>
      <c r="K23" s="46"/>
      <c r="L23" s="46"/>
      <c r="M23" s="46"/>
      <c r="N23" s="66"/>
      <c r="O23" s="116"/>
      <c r="P23" s="46"/>
      <c r="Q23" s="46"/>
      <c r="R23" s="46"/>
      <c r="S23" s="46"/>
      <c r="T23" s="66"/>
      <c r="U23" s="116"/>
      <c r="V23" s="46"/>
      <c r="W23" s="46"/>
      <c r="X23" s="46"/>
      <c r="Y23" s="46"/>
      <c r="Z23" s="66"/>
      <c r="AA23" s="129"/>
      <c r="AB23" s="46"/>
      <c r="AC23" s="46"/>
      <c r="AD23" s="46"/>
      <c r="AE23" s="46"/>
      <c r="AF23" s="66"/>
      <c r="AG23" s="130"/>
      <c r="AH23" s="46"/>
      <c r="AI23" s="46"/>
      <c r="AJ23" s="50"/>
      <c r="AK23" s="50"/>
      <c r="AL23" s="68"/>
      <c r="AM23" s="129"/>
      <c r="AN23" s="50"/>
      <c r="AO23" s="50"/>
      <c r="AP23" s="50"/>
      <c r="AQ23" s="50"/>
      <c r="AR23" s="68"/>
      <c r="AS23" s="129"/>
      <c r="AT23" s="68"/>
      <c r="AU23" s="129"/>
      <c r="AV23" s="68"/>
    </row>
    <row r="24" spans="1:48" ht="15" customHeight="1" x14ac:dyDescent="0.3">
      <c r="A24" s="43"/>
      <c r="B24" s="127" t="s">
        <v>582</v>
      </c>
      <c r="D24" s="60">
        <v>13404</v>
      </c>
      <c r="E24" s="60">
        <v>12930</v>
      </c>
      <c r="F24" s="60">
        <v>12912</v>
      </c>
      <c r="G24" s="60">
        <v>13115</v>
      </c>
      <c r="H24" s="57">
        <v>13115</v>
      </c>
      <c r="I24" s="20"/>
      <c r="J24" s="60">
        <v>12771</v>
      </c>
      <c r="K24" s="60">
        <v>12812</v>
      </c>
      <c r="L24" s="60">
        <v>12631</v>
      </c>
      <c r="M24" s="60">
        <v>12808</v>
      </c>
      <c r="N24" s="57">
        <v>12808</v>
      </c>
      <c r="O24" s="20"/>
      <c r="P24" s="60">
        <v>12289</v>
      </c>
      <c r="Q24" s="60">
        <v>12180</v>
      </c>
      <c r="R24" s="60">
        <v>12220</v>
      </c>
      <c r="S24" s="60">
        <v>12679</v>
      </c>
      <c r="T24" s="57">
        <v>12679</v>
      </c>
      <c r="U24" s="20"/>
      <c r="V24" s="60">
        <v>12714</v>
      </c>
      <c r="W24" s="60">
        <v>12812</v>
      </c>
      <c r="X24" s="60">
        <v>13127</v>
      </c>
      <c r="Y24" s="60">
        <v>13796</v>
      </c>
      <c r="Z24" s="57">
        <v>13796</v>
      </c>
      <c r="AA24" s="122"/>
      <c r="AB24" s="60">
        <v>13665</v>
      </c>
      <c r="AC24" s="60">
        <v>13999</v>
      </c>
      <c r="AD24" s="60">
        <v>14210</v>
      </c>
      <c r="AE24" s="60">
        <v>15031</v>
      </c>
      <c r="AF24" s="57">
        <v>15031</v>
      </c>
      <c r="AG24" s="124"/>
      <c r="AH24" s="60">
        <v>14582</v>
      </c>
      <c r="AI24" s="60">
        <v>14891</v>
      </c>
      <c r="AJ24" s="50"/>
      <c r="AK24" s="50"/>
      <c r="AL24" s="58"/>
      <c r="AM24" s="126"/>
      <c r="AN24" s="50"/>
      <c r="AO24" s="50"/>
      <c r="AP24" s="50"/>
      <c r="AQ24" s="50"/>
      <c r="AR24" s="58"/>
      <c r="AS24" s="126"/>
      <c r="AT24" s="58"/>
      <c r="AU24" s="126"/>
      <c r="AV24" s="58"/>
    </row>
    <row r="25" spans="1:48" s="113" customFormat="1" ht="15" customHeight="1" x14ac:dyDescent="0.25">
      <c r="B25" s="138" t="s">
        <v>763</v>
      </c>
      <c r="C25" s="115"/>
      <c r="D25" s="60">
        <v>0</v>
      </c>
      <c r="E25" s="60">
        <v>0</v>
      </c>
      <c r="F25" s="60">
        <v>0</v>
      </c>
      <c r="G25" s="60">
        <v>22939</v>
      </c>
      <c r="H25" s="57">
        <v>22939</v>
      </c>
      <c r="I25" s="116"/>
      <c r="J25" s="60">
        <v>0</v>
      </c>
      <c r="K25" s="60">
        <v>0</v>
      </c>
      <c r="L25" s="60">
        <v>0</v>
      </c>
      <c r="M25" s="60">
        <v>23108</v>
      </c>
      <c r="N25" s="57">
        <v>23108</v>
      </c>
      <c r="O25" s="116"/>
      <c r="P25" s="60">
        <v>0</v>
      </c>
      <c r="Q25" s="60">
        <v>0</v>
      </c>
      <c r="R25" s="60">
        <v>0</v>
      </c>
      <c r="S25" s="60">
        <v>22703</v>
      </c>
      <c r="T25" s="57">
        <v>22703</v>
      </c>
      <c r="U25" s="116"/>
      <c r="V25" s="60">
        <v>0</v>
      </c>
      <c r="W25" s="60">
        <v>0</v>
      </c>
      <c r="X25" s="60">
        <v>0</v>
      </c>
      <c r="Y25" s="60">
        <v>22850</v>
      </c>
      <c r="Z25" s="57">
        <v>22850</v>
      </c>
      <c r="AA25" s="129"/>
      <c r="AB25" s="60">
        <v>0</v>
      </c>
      <c r="AC25" s="60">
        <v>0</v>
      </c>
      <c r="AD25" s="60">
        <v>0</v>
      </c>
      <c r="AE25" s="60">
        <v>24626</v>
      </c>
      <c r="AF25" s="57">
        <v>24626</v>
      </c>
      <c r="AG25" s="130"/>
      <c r="AH25" s="60">
        <v>0</v>
      </c>
      <c r="AI25" s="60">
        <v>0</v>
      </c>
      <c r="AJ25" s="50"/>
      <c r="AK25" s="50"/>
      <c r="AL25" s="58"/>
      <c r="AM25" s="129"/>
      <c r="AN25" s="50"/>
      <c r="AO25" s="50"/>
      <c r="AP25" s="50"/>
      <c r="AQ25" s="50"/>
      <c r="AR25" s="58"/>
      <c r="AS25" s="129"/>
      <c r="AT25" s="58"/>
      <c r="AU25" s="129"/>
      <c r="AV25" s="58"/>
    </row>
    <row r="26" spans="1:48" ht="15" customHeight="1" x14ac:dyDescent="0.3">
      <c r="A26" s="43"/>
      <c r="B26" s="138" t="s">
        <v>764</v>
      </c>
      <c r="D26" s="60">
        <v>0</v>
      </c>
      <c r="E26" s="60">
        <v>0</v>
      </c>
      <c r="F26" s="60">
        <v>0</v>
      </c>
      <c r="G26" s="60">
        <v>9824</v>
      </c>
      <c r="H26" s="57">
        <v>9824</v>
      </c>
      <c r="I26" s="20"/>
      <c r="J26" s="60">
        <v>0</v>
      </c>
      <c r="K26" s="60">
        <v>0</v>
      </c>
      <c r="L26" s="60">
        <v>0</v>
      </c>
      <c r="M26" s="60">
        <v>10300</v>
      </c>
      <c r="N26" s="57">
        <v>10300</v>
      </c>
      <c r="O26" s="20"/>
      <c r="P26" s="60">
        <v>0</v>
      </c>
      <c r="Q26" s="60">
        <v>0</v>
      </c>
      <c r="R26" s="60">
        <v>0</v>
      </c>
      <c r="S26" s="60">
        <v>10024</v>
      </c>
      <c r="T26" s="57">
        <v>10024</v>
      </c>
      <c r="U26" s="20"/>
      <c r="V26" s="60">
        <v>0</v>
      </c>
      <c r="W26" s="60">
        <v>0</v>
      </c>
      <c r="X26" s="60">
        <v>0</v>
      </c>
      <c r="Y26" s="60">
        <v>9054</v>
      </c>
      <c r="Z26" s="57">
        <v>9054</v>
      </c>
      <c r="AA26" s="122"/>
      <c r="AB26" s="60">
        <v>0</v>
      </c>
      <c r="AC26" s="60">
        <v>0</v>
      </c>
      <c r="AD26" s="60">
        <v>0</v>
      </c>
      <c r="AE26" s="60">
        <v>9595</v>
      </c>
      <c r="AF26" s="57">
        <v>9595</v>
      </c>
      <c r="AG26" s="124"/>
      <c r="AH26" s="60">
        <v>0</v>
      </c>
      <c r="AI26" s="60">
        <v>0</v>
      </c>
      <c r="AJ26" s="50"/>
      <c r="AK26" s="50"/>
      <c r="AL26" s="58"/>
      <c r="AM26" s="126"/>
      <c r="AN26" s="50"/>
      <c r="AO26" s="50"/>
      <c r="AP26" s="50"/>
      <c r="AQ26" s="50"/>
      <c r="AR26" s="58"/>
      <c r="AS26" s="126"/>
      <c r="AT26" s="58"/>
      <c r="AU26" s="126"/>
      <c r="AV26" s="58"/>
    </row>
    <row r="27" spans="1:48" ht="15" customHeight="1" x14ac:dyDescent="0.3">
      <c r="A27" s="43"/>
      <c r="B27" s="127" t="s">
        <v>584</v>
      </c>
      <c r="D27" s="60">
        <v>4294</v>
      </c>
      <c r="E27" s="60">
        <v>4228</v>
      </c>
      <c r="F27" s="60">
        <v>4285</v>
      </c>
      <c r="G27" s="60">
        <v>4408</v>
      </c>
      <c r="H27" s="57">
        <v>4408</v>
      </c>
      <c r="I27" s="20"/>
      <c r="J27" s="60">
        <v>4536</v>
      </c>
      <c r="K27" s="60">
        <v>4500</v>
      </c>
      <c r="L27" s="60">
        <v>4415</v>
      </c>
      <c r="M27" s="60">
        <v>4566</v>
      </c>
      <c r="N27" s="57">
        <v>4566</v>
      </c>
      <c r="O27" s="20"/>
      <c r="P27" s="60">
        <v>4401</v>
      </c>
      <c r="Q27" s="60">
        <v>5164</v>
      </c>
      <c r="R27" s="60">
        <v>5035</v>
      </c>
      <c r="S27" s="60">
        <v>4905</v>
      </c>
      <c r="T27" s="57">
        <v>4905</v>
      </c>
      <c r="U27" s="20"/>
      <c r="V27" s="60">
        <v>5146</v>
      </c>
      <c r="W27" s="60">
        <v>5185</v>
      </c>
      <c r="X27" s="60">
        <v>5193</v>
      </c>
      <c r="Y27" s="60">
        <v>5033</v>
      </c>
      <c r="Z27" s="57">
        <v>5033</v>
      </c>
      <c r="AA27" s="122"/>
      <c r="AB27" s="60">
        <v>5078</v>
      </c>
      <c r="AC27" s="60">
        <v>5000</v>
      </c>
      <c r="AD27" s="60">
        <v>4990</v>
      </c>
      <c r="AE27" s="60">
        <v>4958</v>
      </c>
      <c r="AF27" s="57">
        <v>4958</v>
      </c>
      <c r="AG27" s="124"/>
      <c r="AH27" s="60">
        <v>4809</v>
      </c>
      <c r="AI27" s="60">
        <v>5058</v>
      </c>
      <c r="AJ27" s="50"/>
      <c r="AK27" s="50"/>
      <c r="AL27" s="58"/>
      <c r="AM27" s="126"/>
      <c r="AN27" s="50"/>
      <c r="AO27" s="50"/>
      <c r="AP27" s="50"/>
      <c r="AQ27" s="50"/>
      <c r="AR27" s="58"/>
      <c r="AS27" s="126"/>
      <c r="AT27" s="58"/>
      <c r="AU27" s="126"/>
      <c r="AV27" s="58"/>
    </row>
    <row r="28" spans="1:48" ht="15" customHeight="1" x14ac:dyDescent="0.3">
      <c r="A28" s="43"/>
      <c r="B28" s="127" t="s">
        <v>765</v>
      </c>
      <c r="D28" s="60">
        <v>2945</v>
      </c>
      <c r="E28" s="60">
        <v>2917</v>
      </c>
      <c r="F28" s="60">
        <v>2984</v>
      </c>
      <c r="G28" s="60">
        <v>3081</v>
      </c>
      <c r="H28" s="57">
        <v>3081</v>
      </c>
      <c r="I28" s="20"/>
      <c r="J28" s="60">
        <v>3194</v>
      </c>
      <c r="K28" s="60">
        <v>3190</v>
      </c>
      <c r="L28" s="60">
        <v>3148</v>
      </c>
      <c r="M28" s="60">
        <v>3291</v>
      </c>
      <c r="N28" s="57">
        <v>3291</v>
      </c>
      <c r="O28" s="20"/>
      <c r="P28" s="60">
        <v>3192</v>
      </c>
      <c r="Q28" s="60">
        <v>3812</v>
      </c>
      <c r="R28" s="60">
        <v>3754</v>
      </c>
      <c r="S28" s="60">
        <v>3687</v>
      </c>
      <c r="T28" s="57">
        <v>3687</v>
      </c>
      <c r="U28" s="20"/>
      <c r="V28" s="60">
        <v>3891</v>
      </c>
      <c r="W28" s="60">
        <v>3963</v>
      </c>
      <c r="X28" s="60">
        <v>3994</v>
      </c>
      <c r="Y28" s="60">
        <v>3900</v>
      </c>
      <c r="Z28" s="57">
        <v>3900</v>
      </c>
      <c r="AA28" s="122"/>
      <c r="AB28" s="60">
        <v>3966</v>
      </c>
      <c r="AC28" s="60">
        <v>3936</v>
      </c>
      <c r="AD28" s="60">
        <v>3960</v>
      </c>
      <c r="AE28" s="60">
        <v>3959</v>
      </c>
      <c r="AF28" s="57">
        <v>3959</v>
      </c>
      <c r="AG28" s="124"/>
      <c r="AH28" s="60">
        <v>3872</v>
      </c>
      <c r="AI28" s="60">
        <v>4094</v>
      </c>
      <c r="AJ28" s="50"/>
      <c r="AK28" s="50"/>
      <c r="AL28" s="58"/>
      <c r="AM28" s="137"/>
      <c r="AN28" s="50"/>
      <c r="AO28" s="50"/>
      <c r="AP28" s="50"/>
      <c r="AQ28" s="50"/>
      <c r="AR28" s="58"/>
      <c r="AS28" s="137"/>
      <c r="AT28" s="58"/>
      <c r="AU28" s="137"/>
      <c r="AV28" s="58"/>
    </row>
    <row r="29" spans="1:48" ht="15" customHeight="1" x14ac:dyDescent="0.3">
      <c r="A29" s="43"/>
      <c r="B29" s="127" t="s">
        <v>673</v>
      </c>
      <c r="D29" s="60">
        <v>0</v>
      </c>
      <c r="E29" s="60">
        <v>0</v>
      </c>
      <c r="F29" s="60">
        <v>0</v>
      </c>
      <c r="G29" s="60">
        <v>0</v>
      </c>
      <c r="H29" s="57">
        <v>0</v>
      </c>
      <c r="I29" s="20"/>
      <c r="J29" s="60">
        <v>0</v>
      </c>
      <c r="K29" s="60">
        <v>0</v>
      </c>
      <c r="L29" s="60">
        <v>0</v>
      </c>
      <c r="M29" s="60">
        <v>0</v>
      </c>
      <c r="N29" s="57">
        <v>0</v>
      </c>
      <c r="O29" s="20"/>
      <c r="P29" s="60">
        <v>0</v>
      </c>
      <c r="Q29" s="60">
        <v>0</v>
      </c>
      <c r="R29" s="60">
        <v>0</v>
      </c>
      <c r="S29" s="60">
        <v>0</v>
      </c>
      <c r="T29" s="57">
        <v>0</v>
      </c>
      <c r="U29" s="20"/>
      <c r="V29" s="60">
        <v>0</v>
      </c>
      <c r="W29" s="60">
        <v>0</v>
      </c>
      <c r="X29" s="60">
        <v>0</v>
      </c>
      <c r="Y29" s="60">
        <v>0</v>
      </c>
      <c r="Z29" s="57">
        <v>0</v>
      </c>
      <c r="AA29" s="122"/>
      <c r="AB29" s="60">
        <v>0</v>
      </c>
      <c r="AC29" s="60">
        <v>0</v>
      </c>
      <c r="AD29" s="60">
        <v>0</v>
      </c>
      <c r="AE29" s="60">
        <v>0</v>
      </c>
      <c r="AF29" s="57">
        <v>0</v>
      </c>
      <c r="AG29" s="124"/>
      <c r="AH29" s="60">
        <v>0</v>
      </c>
      <c r="AI29" s="60">
        <v>0</v>
      </c>
      <c r="AJ29" s="50"/>
      <c r="AK29" s="50"/>
      <c r="AL29" s="58"/>
      <c r="AM29" s="126"/>
      <c r="AN29" s="50"/>
      <c r="AO29" s="50"/>
      <c r="AP29" s="50"/>
      <c r="AQ29" s="50"/>
      <c r="AR29" s="58"/>
      <c r="AS29" s="126"/>
      <c r="AT29" s="58"/>
      <c r="AU29" s="126"/>
      <c r="AV29" s="58"/>
    </row>
    <row r="30" spans="1:48" s="113" customFormat="1" ht="15" customHeight="1" x14ac:dyDescent="0.25">
      <c r="B30" s="127" t="s">
        <v>766</v>
      </c>
      <c r="C30" s="115"/>
      <c r="D30" s="60">
        <v>36665</v>
      </c>
      <c r="E30" s="60">
        <v>37241</v>
      </c>
      <c r="F30" s="60">
        <v>38871</v>
      </c>
      <c r="G30" s="60">
        <v>39440</v>
      </c>
      <c r="H30" s="74">
        <v>39440</v>
      </c>
      <c r="I30" s="116"/>
      <c r="J30" s="60">
        <v>38382</v>
      </c>
      <c r="K30" s="60">
        <v>40113</v>
      </c>
      <c r="L30" s="60">
        <v>42055</v>
      </c>
      <c r="M30" s="60">
        <v>45241</v>
      </c>
      <c r="N30" s="74">
        <v>45241</v>
      </c>
      <c r="O30" s="116"/>
      <c r="P30" s="60">
        <v>42991</v>
      </c>
      <c r="Q30" s="60">
        <v>44601</v>
      </c>
      <c r="R30" s="60">
        <v>46668</v>
      </c>
      <c r="S30" s="60">
        <v>49541</v>
      </c>
      <c r="T30" s="74">
        <v>49541</v>
      </c>
      <c r="U30" s="116"/>
      <c r="V30" s="60">
        <v>49275</v>
      </c>
      <c r="W30" s="60">
        <v>51950</v>
      </c>
      <c r="X30" s="60">
        <v>55895</v>
      </c>
      <c r="Y30" s="60">
        <v>58332</v>
      </c>
      <c r="Z30" s="74">
        <v>58332</v>
      </c>
      <c r="AA30" s="129"/>
      <c r="AB30" s="60">
        <v>57606</v>
      </c>
      <c r="AC30" s="60">
        <v>60124</v>
      </c>
      <c r="AD30" s="60">
        <v>60097</v>
      </c>
      <c r="AE30" s="60">
        <v>60945</v>
      </c>
      <c r="AF30" s="74">
        <v>60945</v>
      </c>
      <c r="AG30" s="130"/>
      <c r="AH30" s="60">
        <v>57330</v>
      </c>
      <c r="AI30" s="60">
        <v>59498</v>
      </c>
      <c r="AJ30" s="50"/>
      <c r="AK30" s="50"/>
      <c r="AL30" s="75"/>
      <c r="AM30" s="129"/>
      <c r="AN30" s="50"/>
      <c r="AO30" s="50"/>
      <c r="AP30" s="50"/>
      <c r="AQ30" s="50"/>
      <c r="AR30" s="75"/>
      <c r="AS30" s="129"/>
      <c r="AT30" s="75"/>
      <c r="AU30" s="129"/>
      <c r="AV30" s="75"/>
    </row>
    <row r="31" spans="1:48" ht="15" customHeight="1" x14ac:dyDescent="0.3">
      <c r="A31" s="43"/>
      <c r="B31" s="138" t="s">
        <v>767</v>
      </c>
      <c r="D31" s="60">
        <v>54363</v>
      </c>
      <c r="E31" s="60">
        <v>54399</v>
      </c>
      <c r="F31" s="60">
        <v>56068</v>
      </c>
      <c r="G31" s="60">
        <v>56963</v>
      </c>
      <c r="H31" s="74">
        <v>56963</v>
      </c>
      <c r="I31" s="20"/>
      <c r="J31" s="60">
        <v>55689</v>
      </c>
      <c r="K31" s="60">
        <v>57425</v>
      </c>
      <c r="L31" s="60">
        <v>59101</v>
      </c>
      <c r="M31" s="60">
        <v>62615</v>
      </c>
      <c r="N31" s="74">
        <v>62615</v>
      </c>
      <c r="O31" s="20"/>
      <c r="P31" s="60">
        <v>59681</v>
      </c>
      <c r="Q31" s="60">
        <v>61945</v>
      </c>
      <c r="R31" s="60">
        <v>63923</v>
      </c>
      <c r="S31" s="60">
        <v>67125</v>
      </c>
      <c r="T31" s="74">
        <v>67125</v>
      </c>
      <c r="U31" s="20"/>
      <c r="V31" s="60">
        <v>67135</v>
      </c>
      <c r="W31" s="60">
        <v>69947</v>
      </c>
      <c r="X31" s="60">
        <v>74215</v>
      </c>
      <c r="Y31" s="60">
        <v>77161</v>
      </c>
      <c r="Z31" s="74">
        <v>77161</v>
      </c>
      <c r="AA31" s="122"/>
      <c r="AB31" s="60">
        <v>76349</v>
      </c>
      <c r="AC31" s="60">
        <v>79123</v>
      </c>
      <c r="AD31" s="60">
        <v>79297</v>
      </c>
      <c r="AE31" s="60">
        <v>80934</v>
      </c>
      <c r="AF31" s="74">
        <v>80934</v>
      </c>
      <c r="AG31" s="124"/>
      <c r="AH31" s="60">
        <v>76721</v>
      </c>
      <c r="AI31" s="60">
        <v>79447</v>
      </c>
      <c r="AJ31" s="50"/>
      <c r="AK31" s="50"/>
      <c r="AL31" s="75"/>
      <c r="AM31" s="139"/>
      <c r="AN31" s="50"/>
      <c r="AO31" s="50"/>
      <c r="AP31" s="50"/>
      <c r="AQ31" s="50"/>
      <c r="AR31" s="75"/>
      <c r="AS31" s="139"/>
      <c r="AT31" s="75"/>
      <c r="AU31" s="139"/>
      <c r="AV31" s="75"/>
    </row>
    <row r="32" spans="1:48" s="113" customFormat="1" ht="15" customHeight="1" thickBot="1" x14ac:dyDescent="0.3">
      <c r="B32" s="140" t="s">
        <v>768</v>
      </c>
      <c r="C32" s="115"/>
      <c r="D32" s="60">
        <v>71821</v>
      </c>
      <c r="E32" s="60">
        <v>77326</v>
      </c>
      <c r="F32" s="60">
        <v>77264</v>
      </c>
      <c r="G32" s="60">
        <v>75091</v>
      </c>
      <c r="H32" s="93">
        <v>75091</v>
      </c>
      <c r="I32" s="116"/>
      <c r="J32" s="60">
        <v>75480</v>
      </c>
      <c r="K32" s="60">
        <v>78979</v>
      </c>
      <c r="L32" s="60">
        <v>80688</v>
      </c>
      <c r="M32" s="60">
        <v>84114</v>
      </c>
      <c r="N32" s="93">
        <v>84114</v>
      </c>
      <c r="O32" s="116"/>
      <c r="P32" s="60">
        <v>79614</v>
      </c>
      <c r="Q32" s="60">
        <v>84099</v>
      </c>
      <c r="R32" s="60">
        <v>86817</v>
      </c>
      <c r="S32" s="60">
        <v>90030</v>
      </c>
      <c r="T32" s="93">
        <v>90030</v>
      </c>
      <c r="U32" s="116"/>
      <c r="V32" s="60">
        <v>91620</v>
      </c>
      <c r="W32" s="60">
        <v>98347</v>
      </c>
      <c r="X32" s="60">
        <v>103397</v>
      </c>
      <c r="Y32" s="60">
        <v>104087</v>
      </c>
      <c r="Z32" s="93">
        <v>104087</v>
      </c>
      <c r="AA32" s="141"/>
      <c r="AB32" s="60">
        <v>101371</v>
      </c>
      <c r="AC32" s="60">
        <v>105628</v>
      </c>
      <c r="AD32" s="60">
        <v>107841</v>
      </c>
      <c r="AE32" s="60">
        <v>107320</v>
      </c>
      <c r="AF32" s="93">
        <v>107320</v>
      </c>
      <c r="AG32" s="130"/>
      <c r="AH32" s="60">
        <v>103119</v>
      </c>
      <c r="AI32" s="60">
        <v>106303</v>
      </c>
      <c r="AJ32" s="50"/>
      <c r="AK32" s="50"/>
      <c r="AL32" s="94"/>
      <c r="AM32" s="129"/>
      <c r="AN32" s="50"/>
      <c r="AO32" s="50"/>
      <c r="AP32" s="50"/>
      <c r="AQ32" s="50"/>
      <c r="AR32" s="94"/>
      <c r="AS32" s="129"/>
      <c r="AT32" s="94"/>
      <c r="AU32" s="129"/>
      <c r="AV32" s="94"/>
    </row>
    <row r="34" spans="1:48" s="113" customFormat="1" ht="15" customHeight="1" x14ac:dyDescent="0.25">
      <c r="A34" s="44"/>
      <c r="B34" s="64" t="s">
        <v>769</v>
      </c>
      <c r="C34" s="115"/>
      <c r="D34" s="46"/>
      <c r="E34" s="46"/>
      <c r="F34" s="46"/>
      <c r="G34" s="46"/>
      <c r="H34" s="66"/>
      <c r="I34" s="116"/>
      <c r="J34" s="46"/>
      <c r="K34" s="46"/>
      <c r="L34" s="46"/>
      <c r="M34" s="46"/>
      <c r="N34" s="66"/>
      <c r="O34" s="116"/>
      <c r="P34" s="46"/>
      <c r="Q34" s="46"/>
      <c r="R34" s="46"/>
      <c r="S34" s="46"/>
      <c r="T34" s="66"/>
      <c r="U34" s="116"/>
      <c r="V34" s="46"/>
      <c r="W34" s="46"/>
      <c r="X34" s="46"/>
      <c r="Y34" s="46"/>
      <c r="Z34" s="66"/>
      <c r="AA34" s="117"/>
      <c r="AB34" s="46"/>
      <c r="AC34" s="46"/>
      <c r="AD34" s="46"/>
      <c r="AE34" s="46"/>
      <c r="AF34" s="66"/>
      <c r="AG34" s="118"/>
      <c r="AH34" s="46"/>
      <c r="AI34" s="46"/>
      <c r="AJ34" s="50"/>
      <c r="AK34" s="50"/>
      <c r="AL34" s="68"/>
      <c r="AM34" s="117"/>
      <c r="AN34" s="50"/>
      <c r="AO34" s="50"/>
      <c r="AP34" s="50"/>
      <c r="AQ34" s="50"/>
      <c r="AR34" s="68"/>
      <c r="AS34" s="117"/>
      <c r="AT34" s="68"/>
      <c r="AU34" s="117"/>
      <c r="AV34" s="68"/>
    </row>
    <row r="35" spans="1:48" s="147" customFormat="1" ht="15" customHeight="1" x14ac:dyDescent="0.3">
      <c r="A35" s="142"/>
      <c r="B35" s="143"/>
      <c r="C35" s="27"/>
      <c r="D35" s="46"/>
      <c r="E35" s="46"/>
      <c r="F35" s="46"/>
      <c r="G35" s="46"/>
      <c r="H35" s="66"/>
      <c r="I35" s="144"/>
      <c r="J35" s="46"/>
      <c r="K35" s="46"/>
      <c r="L35" s="46"/>
      <c r="M35" s="46"/>
      <c r="N35" s="66"/>
      <c r="O35" s="144"/>
      <c r="P35" s="46"/>
      <c r="Q35" s="46"/>
      <c r="R35" s="46"/>
      <c r="S35" s="46"/>
      <c r="T35" s="66"/>
      <c r="U35" s="144"/>
      <c r="V35" s="46"/>
      <c r="W35" s="46"/>
      <c r="X35" s="46"/>
      <c r="Y35" s="46"/>
      <c r="Z35" s="66"/>
      <c r="AA35" s="145"/>
      <c r="AB35" s="46"/>
      <c r="AC35" s="46"/>
      <c r="AD35" s="46"/>
      <c r="AE35" s="46"/>
      <c r="AF35" s="66"/>
      <c r="AG35" s="146"/>
      <c r="AH35" s="46"/>
      <c r="AI35" s="46"/>
      <c r="AJ35" s="50"/>
      <c r="AK35" s="50"/>
      <c r="AL35" s="68"/>
      <c r="AM35" s="148"/>
      <c r="AN35" s="50"/>
      <c r="AO35" s="50"/>
      <c r="AP35" s="50"/>
      <c r="AQ35" s="50"/>
      <c r="AR35" s="68"/>
      <c r="AS35" s="139"/>
      <c r="AT35" s="68"/>
      <c r="AU35" s="139"/>
      <c r="AV35" s="68"/>
    </row>
    <row r="36" spans="1:48" s="113" customFormat="1" ht="15" customHeight="1" x14ac:dyDescent="0.25">
      <c r="A36" s="44" t="s">
        <v>70</v>
      </c>
      <c r="B36" s="114" t="s">
        <v>770</v>
      </c>
      <c r="C36" s="115"/>
      <c r="D36" s="46"/>
      <c r="E36" s="46"/>
      <c r="F36" s="46"/>
      <c r="G36" s="46"/>
      <c r="H36" s="66"/>
      <c r="I36" s="116"/>
      <c r="J36" s="46"/>
      <c r="K36" s="46"/>
      <c r="L36" s="46"/>
      <c r="M36" s="46"/>
      <c r="N36" s="66"/>
      <c r="O36" s="116"/>
      <c r="P36" s="46"/>
      <c r="Q36" s="46"/>
      <c r="R36" s="46"/>
      <c r="S36" s="46"/>
      <c r="T36" s="66"/>
      <c r="U36" s="116"/>
      <c r="V36" s="46"/>
      <c r="W36" s="46"/>
      <c r="X36" s="46"/>
      <c r="Y36" s="46"/>
      <c r="Z36" s="66"/>
      <c r="AA36" s="117"/>
      <c r="AB36" s="46"/>
      <c r="AC36" s="46"/>
      <c r="AD36" s="46"/>
      <c r="AE36" s="46"/>
      <c r="AF36" s="66"/>
      <c r="AG36" s="118"/>
      <c r="AH36" s="46"/>
      <c r="AI36" s="46"/>
      <c r="AJ36" s="50"/>
      <c r="AK36" s="50"/>
      <c r="AL36" s="68"/>
      <c r="AM36" s="149"/>
      <c r="AN36" s="50"/>
      <c r="AO36" s="50"/>
      <c r="AP36" s="50"/>
      <c r="AQ36" s="50"/>
      <c r="AR36" s="68"/>
      <c r="AS36" s="117"/>
      <c r="AT36" s="68"/>
      <c r="AU36" s="117"/>
      <c r="AV36" s="68"/>
    </row>
    <row r="37" spans="1:48" ht="15" customHeight="1" x14ac:dyDescent="0.3">
      <c r="A37" s="43"/>
      <c r="B37" s="127" t="s">
        <v>771</v>
      </c>
      <c r="D37" s="60">
        <v>8172</v>
      </c>
      <c r="E37" s="60">
        <v>8554</v>
      </c>
      <c r="F37" s="60">
        <v>9077</v>
      </c>
      <c r="G37" s="60">
        <v>8053</v>
      </c>
      <c r="H37" s="57">
        <v>8053</v>
      </c>
      <c r="I37" s="20"/>
      <c r="J37" s="60">
        <v>8916</v>
      </c>
      <c r="K37" s="60">
        <v>10131</v>
      </c>
      <c r="L37" s="60">
        <v>11055</v>
      </c>
      <c r="M37" s="60">
        <v>10823</v>
      </c>
      <c r="N37" s="57">
        <v>10823</v>
      </c>
      <c r="O37" s="20"/>
      <c r="P37" s="60">
        <v>10108</v>
      </c>
      <c r="Q37" s="60">
        <v>11899</v>
      </c>
      <c r="R37" s="60">
        <v>12319</v>
      </c>
      <c r="S37" s="60">
        <v>12333</v>
      </c>
      <c r="T37" s="57">
        <v>12333</v>
      </c>
      <c r="U37" s="20"/>
      <c r="V37" s="60">
        <v>12217</v>
      </c>
      <c r="W37" s="60">
        <v>12844</v>
      </c>
      <c r="X37" s="60">
        <v>13210</v>
      </c>
      <c r="Y37" s="60">
        <v>13592</v>
      </c>
      <c r="Z37" s="57">
        <v>13592</v>
      </c>
      <c r="AA37" s="20"/>
      <c r="AB37" s="60">
        <v>12621</v>
      </c>
      <c r="AC37" s="60">
        <v>12320</v>
      </c>
      <c r="AD37" s="60">
        <v>12569</v>
      </c>
      <c r="AE37" s="60">
        <v>12452</v>
      </c>
      <c r="AF37" s="57">
        <v>12452</v>
      </c>
      <c r="AG37" s="150"/>
      <c r="AH37" s="60">
        <v>11946</v>
      </c>
      <c r="AI37" s="60">
        <v>11312</v>
      </c>
      <c r="AJ37" s="50"/>
      <c r="AK37" s="50"/>
      <c r="AL37" s="58"/>
      <c r="AM37" s="20"/>
      <c r="AN37" s="50"/>
      <c r="AO37" s="50"/>
      <c r="AP37" s="50"/>
      <c r="AQ37" s="50"/>
      <c r="AR37" s="58"/>
      <c r="AS37" s="20"/>
      <c r="AT37" s="58"/>
      <c r="AU37" s="20"/>
      <c r="AV37" s="58"/>
    </row>
    <row r="38" spans="1:48" ht="15" customHeight="1" x14ac:dyDescent="0.3">
      <c r="A38" s="43"/>
      <c r="B38" s="127" t="s">
        <v>772</v>
      </c>
      <c r="D38" s="60">
        <v>14412</v>
      </c>
      <c r="E38" s="60">
        <v>15806</v>
      </c>
      <c r="F38" s="60">
        <v>14418</v>
      </c>
      <c r="G38" s="60">
        <v>13243</v>
      </c>
      <c r="H38" s="57">
        <v>13243</v>
      </c>
      <c r="I38" s="20"/>
      <c r="J38" s="60">
        <v>13173</v>
      </c>
      <c r="K38" s="60">
        <v>13993</v>
      </c>
      <c r="L38" s="60">
        <v>15658</v>
      </c>
      <c r="M38" s="60">
        <v>15501</v>
      </c>
      <c r="N38" s="57">
        <v>15501</v>
      </c>
      <c r="O38" s="20"/>
      <c r="P38" s="60">
        <v>14449</v>
      </c>
      <c r="Q38" s="60">
        <v>16419</v>
      </c>
      <c r="R38" s="60">
        <v>19096</v>
      </c>
      <c r="S38" s="60">
        <v>18282</v>
      </c>
      <c r="T38" s="57">
        <v>18282</v>
      </c>
      <c r="U38" s="20"/>
      <c r="V38" s="60">
        <v>18970</v>
      </c>
      <c r="W38" s="60">
        <v>22488</v>
      </c>
      <c r="X38" s="60">
        <v>23751</v>
      </c>
      <c r="Y38" s="60">
        <v>24909</v>
      </c>
      <c r="Z38" s="57">
        <v>24909</v>
      </c>
      <c r="AA38" s="122"/>
      <c r="AB38" s="60">
        <v>23206</v>
      </c>
      <c r="AC38" s="60">
        <v>23611</v>
      </c>
      <c r="AD38" s="60">
        <v>23163</v>
      </c>
      <c r="AE38" s="60">
        <v>21931</v>
      </c>
      <c r="AF38" s="57">
        <v>21931</v>
      </c>
      <c r="AG38" s="124"/>
      <c r="AH38" s="60">
        <v>20791</v>
      </c>
      <c r="AI38" s="60">
        <v>23471</v>
      </c>
      <c r="AJ38" s="50"/>
      <c r="AK38" s="50"/>
      <c r="AL38" s="58"/>
      <c r="AM38" s="151"/>
      <c r="AN38" s="50"/>
      <c r="AO38" s="50"/>
      <c r="AP38" s="50"/>
      <c r="AQ38" s="50"/>
      <c r="AR38" s="58"/>
      <c r="AS38" s="151"/>
      <c r="AT38" s="58"/>
      <c r="AU38" s="151"/>
      <c r="AV38" s="58"/>
    </row>
    <row r="39" spans="1:48" s="113" customFormat="1" ht="15" customHeight="1" x14ac:dyDescent="0.25">
      <c r="B39" s="127" t="s">
        <v>773</v>
      </c>
      <c r="C39" s="115"/>
      <c r="D39" s="60">
        <v>373</v>
      </c>
      <c r="E39" s="60">
        <v>332</v>
      </c>
      <c r="F39" s="60">
        <v>336</v>
      </c>
      <c r="G39" s="60">
        <v>318</v>
      </c>
      <c r="H39" s="57">
        <v>318</v>
      </c>
      <c r="I39" s="116"/>
      <c r="J39" s="60">
        <v>335</v>
      </c>
      <c r="K39" s="60">
        <v>352</v>
      </c>
      <c r="L39" s="60">
        <v>23</v>
      </c>
      <c r="M39" s="60">
        <v>302</v>
      </c>
      <c r="N39" s="57">
        <v>302</v>
      </c>
      <c r="O39" s="116"/>
      <c r="P39" s="60">
        <v>290</v>
      </c>
      <c r="Q39" s="60">
        <v>0</v>
      </c>
      <c r="R39" s="60">
        <v>0</v>
      </c>
      <c r="S39" s="60">
        <v>323</v>
      </c>
      <c r="T39" s="57">
        <v>323</v>
      </c>
      <c r="U39" s="116"/>
      <c r="V39" s="60">
        <v>23</v>
      </c>
      <c r="W39" s="60">
        <v>0</v>
      </c>
      <c r="X39" s="60">
        <v>0</v>
      </c>
      <c r="Y39" s="60">
        <v>306</v>
      </c>
      <c r="Z39" s="57">
        <v>306</v>
      </c>
      <c r="AA39" s="129"/>
      <c r="AB39" s="60">
        <v>27</v>
      </c>
      <c r="AC39" s="60">
        <v>1064</v>
      </c>
      <c r="AD39" s="60">
        <v>0</v>
      </c>
      <c r="AE39" s="60">
        <v>303</v>
      </c>
      <c r="AF39" s="57">
        <v>303</v>
      </c>
      <c r="AG39" s="130"/>
      <c r="AH39" s="60">
        <v>34</v>
      </c>
      <c r="AI39" s="60">
        <v>39</v>
      </c>
      <c r="AJ39" s="50"/>
      <c r="AK39" s="50"/>
      <c r="AL39" s="58"/>
      <c r="AM39" s="129"/>
      <c r="AN39" s="50"/>
      <c r="AO39" s="50"/>
      <c r="AP39" s="50"/>
      <c r="AQ39" s="50"/>
      <c r="AR39" s="58"/>
      <c r="AS39" s="129"/>
      <c r="AT39" s="58"/>
      <c r="AU39" s="129"/>
      <c r="AV39" s="58"/>
    </row>
    <row r="40" spans="1:48" ht="15" customHeight="1" x14ac:dyDescent="0.3">
      <c r="A40" s="43"/>
      <c r="B40" s="127" t="s">
        <v>774</v>
      </c>
      <c r="D40" s="60">
        <v>244</v>
      </c>
      <c r="E40" s="60">
        <v>290</v>
      </c>
      <c r="F40" s="60">
        <v>250</v>
      </c>
      <c r="G40" s="60">
        <v>1867</v>
      </c>
      <c r="H40" s="57">
        <v>1867</v>
      </c>
      <c r="I40" s="20"/>
      <c r="J40" s="60">
        <v>292</v>
      </c>
      <c r="K40" s="60">
        <v>223</v>
      </c>
      <c r="L40" s="60">
        <v>152</v>
      </c>
      <c r="M40" s="60">
        <v>1246</v>
      </c>
      <c r="N40" s="57">
        <v>1246</v>
      </c>
      <c r="O40" s="20"/>
      <c r="P40" s="60">
        <v>276</v>
      </c>
      <c r="Q40" s="60">
        <v>780</v>
      </c>
      <c r="R40" s="60">
        <v>667</v>
      </c>
      <c r="S40" s="60">
        <v>2187</v>
      </c>
      <c r="T40" s="57">
        <v>2187</v>
      </c>
      <c r="U40" s="20"/>
      <c r="V40" s="60">
        <v>891</v>
      </c>
      <c r="W40" s="60">
        <v>1872</v>
      </c>
      <c r="X40" s="60">
        <v>2130</v>
      </c>
      <c r="Y40" s="60">
        <v>2257</v>
      </c>
      <c r="Z40" s="57">
        <v>2257</v>
      </c>
      <c r="AA40" s="20"/>
      <c r="AB40" s="60">
        <v>740</v>
      </c>
      <c r="AC40" s="60">
        <v>2289</v>
      </c>
      <c r="AD40" s="60">
        <v>3631</v>
      </c>
      <c r="AE40" s="60">
        <v>1821</v>
      </c>
      <c r="AF40" s="57">
        <v>1821</v>
      </c>
      <c r="AG40" s="150"/>
      <c r="AH40" s="60">
        <v>216</v>
      </c>
      <c r="AI40" s="60">
        <v>2033</v>
      </c>
      <c r="AJ40" s="50"/>
      <c r="AK40" s="50"/>
      <c r="AL40" s="58"/>
      <c r="AM40" s="20"/>
      <c r="AN40" s="50"/>
      <c r="AO40" s="50"/>
      <c r="AP40" s="50"/>
      <c r="AQ40" s="50"/>
      <c r="AR40" s="58"/>
      <c r="AS40" s="20"/>
      <c r="AT40" s="58"/>
      <c r="AU40" s="20"/>
      <c r="AV40" s="58"/>
    </row>
    <row r="41" spans="1:48" s="113" customFormat="1" ht="15" customHeight="1" x14ac:dyDescent="0.25">
      <c r="B41" s="138" t="s">
        <v>775</v>
      </c>
      <c r="C41" s="115"/>
      <c r="D41" s="60">
        <v>23201</v>
      </c>
      <c r="E41" s="60">
        <v>24982</v>
      </c>
      <c r="F41" s="60">
        <v>24081</v>
      </c>
      <c r="G41" s="60">
        <v>23481</v>
      </c>
      <c r="H41" s="77">
        <v>23481</v>
      </c>
      <c r="I41" s="116"/>
      <c r="J41" s="60">
        <v>22716</v>
      </c>
      <c r="K41" s="60">
        <v>24699</v>
      </c>
      <c r="L41" s="60">
        <v>26888</v>
      </c>
      <c r="M41" s="60">
        <v>27872</v>
      </c>
      <c r="N41" s="77">
        <v>27872</v>
      </c>
      <c r="O41" s="116"/>
      <c r="P41" s="60">
        <v>25123</v>
      </c>
      <c r="Q41" s="60">
        <v>29098</v>
      </c>
      <c r="R41" s="60">
        <v>32082</v>
      </c>
      <c r="S41" s="60">
        <v>33125</v>
      </c>
      <c r="T41" s="77">
        <v>33125</v>
      </c>
      <c r="U41" s="116"/>
      <c r="V41" s="60">
        <v>32101</v>
      </c>
      <c r="W41" s="60">
        <v>37204</v>
      </c>
      <c r="X41" s="60">
        <v>39091</v>
      </c>
      <c r="Y41" s="60">
        <v>41064</v>
      </c>
      <c r="Z41" s="77">
        <v>41064</v>
      </c>
      <c r="AA41" s="129"/>
      <c r="AB41" s="60">
        <v>36594</v>
      </c>
      <c r="AC41" s="60">
        <v>39284</v>
      </c>
      <c r="AD41" s="60">
        <v>39363</v>
      </c>
      <c r="AE41" s="60">
        <v>36507</v>
      </c>
      <c r="AF41" s="77">
        <v>36507</v>
      </c>
      <c r="AG41" s="130"/>
      <c r="AH41" s="60">
        <v>32987</v>
      </c>
      <c r="AI41" s="60">
        <v>36855</v>
      </c>
      <c r="AJ41" s="46"/>
      <c r="AK41" s="46"/>
      <c r="AL41" s="77"/>
      <c r="AM41" s="129"/>
      <c r="AN41" s="46"/>
      <c r="AO41" s="46"/>
      <c r="AP41" s="46"/>
      <c r="AQ41" s="46"/>
      <c r="AR41" s="77"/>
      <c r="AS41" s="129"/>
      <c r="AT41" s="77"/>
      <c r="AU41" s="129"/>
      <c r="AV41" s="77"/>
    </row>
    <row r="42" spans="1:48" ht="15" customHeight="1" x14ac:dyDescent="0.3">
      <c r="A42" s="43"/>
      <c r="B42" s="152"/>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50"/>
      <c r="AH42" s="46"/>
      <c r="AI42" s="46"/>
      <c r="AJ42" s="46"/>
      <c r="AK42" s="46"/>
      <c r="AL42" s="66"/>
      <c r="AM42" s="20"/>
      <c r="AN42" s="46"/>
      <c r="AO42" s="46"/>
      <c r="AP42" s="46"/>
      <c r="AQ42" s="46"/>
      <c r="AR42" s="66"/>
      <c r="AS42" s="20"/>
      <c r="AT42" s="66"/>
      <c r="AU42" s="20"/>
      <c r="AV42" s="66"/>
    </row>
    <row r="43" spans="1:48" s="113" customFormat="1" ht="15" customHeight="1" x14ac:dyDescent="0.25">
      <c r="A43" s="44" t="s">
        <v>70</v>
      </c>
      <c r="B43" s="114" t="s">
        <v>776</v>
      </c>
      <c r="C43" s="115"/>
      <c r="D43" s="46"/>
      <c r="E43" s="46"/>
      <c r="F43" s="46"/>
      <c r="G43" s="46"/>
      <c r="H43" s="66"/>
      <c r="I43" s="116"/>
      <c r="J43" s="46"/>
      <c r="K43" s="46"/>
      <c r="L43" s="46"/>
      <c r="M43" s="46"/>
      <c r="N43" s="66"/>
      <c r="O43" s="116"/>
      <c r="P43" s="46"/>
      <c r="Q43" s="46"/>
      <c r="R43" s="46"/>
      <c r="S43" s="46"/>
      <c r="T43" s="66"/>
      <c r="U43" s="116"/>
      <c r="V43" s="46"/>
      <c r="W43" s="46"/>
      <c r="X43" s="46"/>
      <c r="Y43" s="46"/>
      <c r="Z43" s="66"/>
      <c r="AA43" s="116"/>
      <c r="AB43" s="46"/>
      <c r="AC43" s="46"/>
      <c r="AD43" s="46"/>
      <c r="AE43" s="46"/>
      <c r="AF43" s="66"/>
      <c r="AG43" s="153"/>
      <c r="AH43" s="46"/>
      <c r="AI43" s="46"/>
      <c r="AJ43" s="46"/>
      <c r="AK43" s="46"/>
      <c r="AL43" s="66"/>
      <c r="AM43" s="116"/>
      <c r="AN43" s="46"/>
      <c r="AO43" s="46"/>
      <c r="AP43" s="46"/>
      <c r="AQ43" s="46"/>
      <c r="AR43" s="66"/>
      <c r="AS43" s="116"/>
      <c r="AT43" s="66"/>
      <c r="AU43" s="116"/>
      <c r="AV43" s="66"/>
    </row>
    <row r="44" spans="1:48" ht="15" customHeight="1" x14ac:dyDescent="0.3">
      <c r="A44" s="43"/>
      <c r="B44" s="127" t="s">
        <v>777</v>
      </c>
      <c r="D44" s="60">
        <v>30452</v>
      </c>
      <c r="E44" s="60">
        <v>34298</v>
      </c>
      <c r="F44" s="60">
        <v>34004</v>
      </c>
      <c r="G44" s="60">
        <v>32695</v>
      </c>
      <c r="H44" s="66">
        <v>32695</v>
      </c>
      <c r="I44" s="20"/>
      <c r="J44" s="60">
        <v>32736</v>
      </c>
      <c r="K44" s="60">
        <v>33301</v>
      </c>
      <c r="L44" s="60">
        <v>32238</v>
      </c>
      <c r="M44" s="60">
        <v>32850</v>
      </c>
      <c r="N44" s="66">
        <v>32850</v>
      </c>
      <c r="O44" s="20"/>
      <c r="P44" s="60">
        <v>32806</v>
      </c>
      <c r="Q44" s="60">
        <v>32447</v>
      </c>
      <c r="R44" s="60">
        <v>32132</v>
      </c>
      <c r="S44" s="60">
        <v>33566</v>
      </c>
      <c r="T44" s="66">
        <v>33566</v>
      </c>
      <c r="U44" s="20"/>
      <c r="V44" s="60">
        <v>35071</v>
      </c>
      <c r="W44" s="60">
        <v>35611</v>
      </c>
      <c r="X44" s="60">
        <v>38112</v>
      </c>
      <c r="Y44" s="60">
        <v>38428</v>
      </c>
      <c r="Z44" s="66">
        <v>38428</v>
      </c>
      <c r="AA44" s="20"/>
      <c r="AB44" s="60">
        <v>39933</v>
      </c>
      <c r="AC44" s="60">
        <v>40962</v>
      </c>
      <c r="AD44" s="60">
        <v>42692</v>
      </c>
      <c r="AE44" s="60">
        <v>43157</v>
      </c>
      <c r="AF44" s="66">
        <v>43157</v>
      </c>
      <c r="AG44" s="150"/>
      <c r="AH44" s="60">
        <v>43556</v>
      </c>
      <c r="AI44" s="60">
        <v>42811</v>
      </c>
      <c r="AJ44" s="46"/>
      <c r="AK44" s="46"/>
      <c r="AL44" s="66"/>
      <c r="AM44" s="20"/>
      <c r="AN44" s="46"/>
      <c r="AO44" s="46"/>
      <c r="AP44" s="46"/>
      <c r="AQ44" s="46"/>
      <c r="AR44" s="66"/>
      <c r="AS44" s="20"/>
      <c r="AT44" s="66"/>
      <c r="AU44" s="20"/>
      <c r="AV44" s="66"/>
    </row>
    <row r="45" spans="1:48" s="113" customFormat="1" ht="15" customHeight="1" x14ac:dyDescent="0.25">
      <c r="B45" s="127" t="s">
        <v>778</v>
      </c>
      <c r="C45" s="115"/>
      <c r="D45" s="60">
        <v>23</v>
      </c>
      <c r="E45" s="60">
        <v>26</v>
      </c>
      <c r="F45" s="60">
        <v>33</v>
      </c>
      <c r="G45" s="60">
        <v>100</v>
      </c>
      <c r="H45" s="66">
        <v>100</v>
      </c>
      <c r="I45" s="116"/>
      <c r="J45" s="60">
        <v>36</v>
      </c>
      <c r="K45" s="60">
        <v>45</v>
      </c>
      <c r="L45" s="60">
        <v>42</v>
      </c>
      <c r="M45" s="60">
        <v>38</v>
      </c>
      <c r="N45" s="66">
        <v>38</v>
      </c>
      <c r="O45" s="116"/>
      <c r="P45" s="60">
        <v>32</v>
      </c>
      <c r="Q45" s="60">
        <v>0</v>
      </c>
      <c r="R45" s="60">
        <v>0</v>
      </c>
      <c r="S45" s="60">
        <v>30</v>
      </c>
      <c r="T45" s="66">
        <v>30</v>
      </c>
      <c r="U45" s="116"/>
      <c r="V45" s="60">
        <v>0</v>
      </c>
      <c r="W45" s="60">
        <v>0</v>
      </c>
      <c r="X45" s="60">
        <v>0</v>
      </c>
      <c r="Y45" s="60">
        <v>49</v>
      </c>
      <c r="Z45" s="66">
        <v>49</v>
      </c>
      <c r="AA45" s="116"/>
      <c r="AB45" s="60">
        <v>0</v>
      </c>
      <c r="AC45" s="60">
        <v>0</v>
      </c>
      <c r="AD45" s="60">
        <v>0</v>
      </c>
      <c r="AE45" s="60">
        <v>72</v>
      </c>
      <c r="AF45" s="66">
        <v>72</v>
      </c>
      <c r="AG45" s="153"/>
      <c r="AH45" s="60">
        <v>0</v>
      </c>
      <c r="AI45" s="60">
        <v>0</v>
      </c>
      <c r="AJ45" s="46"/>
      <c r="AK45" s="46"/>
      <c r="AL45" s="66"/>
      <c r="AM45" s="116"/>
      <c r="AN45" s="46"/>
      <c r="AO45" s="46"/>
      <c r="AP45" s="46"/>
      <c r="AQ45" s="46"/>
      <c r="AR45" s="66"/>
      <c r="AS45" s="116"/>
      <c r="AT45" s="66"/>
      <c r="AU45" s="116"/>
      <c r="AV45" s="66"/>
    </row>
    <row r="46" spans="1:48" ht="15" customHeight="1" x14ac:dyDescent="0.3">
      <c r="A46" s="43"/>
      <c r="B46" s="127" t="s">
        <v>779</v>
      </c>
      <c r="D46" s="60">
        <v>6201</v>
      </c>
      <c r="E46" s="60">
        <v>6155</v>
      </c>
      <c r="F46" s="60">
        <v>6255</v>
      </c>
      <c r="G46" s="60">
        <v>5871</v>
      </c>
      <c r="H46" s="66">
        <v>5871</v>
      </c>
      <c r="I46" s="20"/>
      <c r="J46" s="60">
        <v>5906</v>
      </c>
      <c r="K46" s="60">
        <v>5838</v>
      </c>
      <c r="L46" s="60">
        <v>5787</v>
      </c>
      <c r="M46" s="60">
        <v>4920</v>
      </c>
      <c r="N46" s="66">
        <v>4920</v>
      </c>
      <c r="O46" s="20"/>
      <c r="P46" s="60">
        <v>3845</v>
      </c>
      <c r="Q46" s="60">
        <v>3548</v>
      </c>
      <c r="R46" s="60">
        <v>3472</v>
      </c>
      <c r="S46" s="60">
        <v>2952</v>
      </c>
      <c r="T46" s="66">
        <v>2952</v>
      </c>
      <c r="U46" s="20"/>
      <c r="V46" s="60">
        <v>3012</v>
      </c>
      <c r="W46" s="60">
        <v>3031</v>
      </c>
      <c r="X46" s="60">
        <v>3042</v>
      </c>
      <c r="Y46" s="60">
        <v>2660</v>
      </c>
      <c r="Z46" s="66">
        <v>2660</v>
      </c>
      <c r="AA46" s="20"/>
      <c r="AB46" s="60">
        <v>2665</v>
      </c>
      <c r="AC46" s="60">
        <v>2596</v>
      </c>
      <c r="AD46" s="60">
        <v>2637</v>
      </c>
      <c r="AE46" s="60">
        <v>4659</v>
      </c>
      <c r="AF46" s="66">
        <v>4659</v>
      </c>
      <c r="AG46" s="150"/>
      <c r="AH46" s="60">
        <v>4012</v>
      </c>
      <c r="AI46" s="60">
        <v>2259</v>
      </c>
      <c r="AJ46" s="46"/>
      <c r="AK46" s="46"/>
      <c r="AL46" s="66"/>
      <c r="AM46" s="20"/>
      <c r="AN46" s="46"/>
      <c r="AO46" s="46"/>
      <c r="AP46" s="46"/>
      <c r="AQ46" s="46"/>
      <c r="AR46" s="66"/>
      <c r="AS46" s="20"/>
      <c r="AT46" s="66"/>
      <c r="AU46" s="20"/>
      <c r="AV46" s="66"/>
    </row>
    <row r="47" spans="1:48" s="113" customFormat="1" ht="15" customHeight="1" x14ac:dyDescent="0.25">
      <c r="B47" s="138" t="s">
        <v>780</v>
      </c>
      <c r="C47" s="115"/>
      <c r="D47" s="60">
        <v>36676</v>
      </c>
      <c r="E47" s="60">
        <v>40479</v>
      </c>
      <c r="F47" s="60">
        <v>40292</v>
      </c>
      <c r="G47" s="60">
        <v>38666</v>
      </c>
      <c r="H47" s="66">
        <v>38666</v>
      </c>
      <c r="I47" s="116"/>
      <c r="J47" s="60">
        <v>38678</v>
      </c>
      <c r="K47" s="60">
        <v>39184</v>
      </c>
      <c r="L47" s="60">
        <v>38067</v>
      </c>
      <c r="M47" s="60">
        <v>37808</v>
      </c>
      <c r="N47" s="66">
        <v>37808</v>
      </c>
      <c r="O47" s="116"/>
      <c r="P47" s="60">
        <v>36683</v>
      </c>
      <c r="Q47" s="60">
        <v>35995</v>
      </c>
      <c r="R47" s="60">
        <v>35604</v>
      </c>
      <c r="S47" s="60">
        <v>36548</v>
      </c>
      <c r="T47" s="66">
        <v>36548</v>
      </c>
      <c r="U47" s="116"/>
      <c r="V47" s="60">
        <v>38083</v>
      </c>
      <c r="W47" s="60">
        <v>38642</v>
      </c>
      <c r="X47" s="60">
        <v>41154</v>
      </c>
      <c r="Y47" s="60">
        <v>41137</v>
      </c>
      <c r="Z47" s="66">
        <v>41137</v>
      </c>
      <c r="AA47" s="116"/>
      <c r="AB47" s="60">
        <v>42598</v>
      </c>
      <c r="AC47" s="60">
        <v>43558</v>
      </c>
      <c r="AD47" s="60">
        <v>45329</v>
      </c>
      <c r="AE47" s="60">
        <v>47888</v>
      </c>
      <c r="AF47" s="66">
        <v>47888</v>
      </c>
      <c r="AG47" s="153"/>
      <c r="AH47" s="60">
        <v>47568</v>
      </c>
      <c r="AI47" s="60">
        <v>45070</v>
      </c>
      <c r="AJ47" s="46"/>
      <c r="AK47" s="46"/>
      <c r="AL47" s="66"/>
      <c r="AM47" s="116"/>
      <c r="AN47" s="46"/>
      <c r="AO47" s="46"/>
      <c r="AP47" s="46"/>
      <c r="AQ47" s="46"/>
      <c r="AR47" s="66"/>
      <c r="AS47" s="116"/>
      <c r="AT47" s="66"/>
      <c r="AU47" s="116"/>
      <c r="AV47" s="66"/>
    </row>
    <row r="48" spans="1:48" ht="15" customHeight="1" x14ac:dyDescent="0.3">
      <c r="A48" s="43"/>
      <c r="B48" s="140" t="s">
        <v>781</v>
      </c>
      <c r="D48" s="60">
        <v>59877</v>
      </c>
      <c r="E48" s="60">
        <v>65461</v>
      </c>
      <c r="F48" s="60">
        <v>64373</v>
      </c>
      <c r="G48" s="60">
        <v>62147</v>
      </c>
      <c r="H48" s="77">
        <v>62147</v>
      </c>
      <c r="I48" s="20"/>
      <c r="J48" s="60">
        <v>61394</v>
      </c>
      <c r="K48" s="60">
        <v>63883</v>
      </c>
      <c r="L48" s="60">
        <v>64955</v>
      </c>
      <c r="M48" s="60">
        <v>65680</v>
      </c>
      <c r="N48" s="77">
        <v>65680</v>
      </c>
      <c r="O48" s="20"/>
      <c r="P48" s="60">
        <v>61806</v>
      </c>
      <c r="Q48" s="60">
        <v>65093</v>
      </c>
      <c r="R48" s="60">
        <v>67686</v>
      </c>
      <c r="S48" s="60">
        <v>69673</v>
      </c>
      <c r="T48" s="77">
        <v>69673</v>
      </c>
      <c r="U48" s="20"/>
      <c r="V48" s="60">
        <v>70184</v>
      </c>
      <c r="W48" s="60">
        <v>75846</v>
      </c>
      <c r="X48" s="60">
        <v>80245</v>
      </c>
      <c r="Y48" s="60">
        <v>82201</v>
      </c>
      <c r="Z48" s="77">
        <v>82201</v>
      </c>
      <c r="AA48" s="20"/>
      <c r="AB48" s="60">
        <v>79192</v>
      </c>
      <c r="AC48" s="60">
        <v>82842</v>
      </c>
      <c r="AD48" s="60">
        <v>84692</v>
      </c>
      <c r="AE48" s="60">
        <v>84395</v>
      </c>
      <c r="AF48" s="77">
        <v>84395</v>
      </c>
      <c r="AG48" s="150"/>
      <c r="AH48" s="60">
        <v>80555</v>
      </c>
      <c r="AI48" s="60">
        <v>81925</v>
      </c>
      <c r="AJ48" s="46"/>
      <c r="AK48" s="46"/>
      <c r="AL48" s="77"/>
      <c r="AM48" s="20"/>
      <c r="AN48" s="46"/>
      <c r="AO48" s="46"/>
      <c r="AP48" s="46"/>
      <c r="AQ48" s="46"/>
      <c r="AR48" s="77"/>
      <c r="AS48" s="20"/>
      <c r="AT48" s="77"/>
      <c r="AU48" s="20"/>
      <c r="AV48" s="77"/>
    </row>
    <row r="50" spans="1:35" ht="15" customHeight="1" x14ac:dyDescent="0.3">
      <c r="A50" s="44" t="s">
        <v>70</v>
      </c>
      <c r="B50" s="114" t="s">
        <v>782</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50"/>
      <c r="AH50" s="46"/>
      <c r="AI50" s="46"/>
    </row>
    <row r="51" spans="1:35" ht="15" customHeight="1" x14ac:dyDescent="0.3">
      <c r="A51" s="43"/>
      <c r="B51" s="127" t="s">
        <v>783</v>
      </c>
      <c r="D51" s="60">
        <v>11926</v>
      </c>
      <c r="E51" s="60">
        <v>11864</v>
      </c>
      <c r="F51" s="60">
        <v>12888</v>
      </c>
      <c r="G51" s="60">
        <v>12937</v>
      </c>
      <c r="H51" s="66">
        <v>12937</v>
      </c>
      <c r="I51" s="20"/>
      <c r="J51" s="60">
        <v>14083</v>
      </c>
      <c r="K51" s="60">
        <v>15092</v>
      </c>
      <c r="L51" s="60">
        <v>15731</v>
      </c>
      <c r="M51" s="60">
        <v>18431</v>
      </c>
      <c r="N51" s="66">
        <v>18431</v>
      </c>
      <c r="O51" s="20"/>
      <c r="P51" s="60">
        <v>17804</v>
      </c>
      <c r="Q51" s="60">
        <v>18904</v>
      </c>
      <c r="R51" s="60">
        <v>19033</v>
      </c>
      <c r="S51" s="60">
        <v>20262</v>
      </c>
      <c r="T51" s="66">
        <v>20262</v>
      </c>
      <c r="U51" s="20"/>
      <c r="V51" s="60">
        <v>21332</v>
      </c>
      <c r="W51" s="60">
        <v>22395</v>
      </c>
      <c r="X51" s="60">
        <v>23048</v>
      </c>
      <c r="Y51" s="60">
        <v>21785</v>
      </c>
      <c r="Z51" s="66">
        <v>21785</v>
      </c>
      <c r="AA51" s="20"/>
      <c r="AB51" s="60">
        <v>22075</v>
      </c>
      <c r="AC51" s="60">
        <v>22684</v>
      </c>
      <c r="AD51" s="60">
        <v>23062</v>
      </c>
      <c r="AE51" s="60">
        <v>22836</v>
      </c>
      <c r="AF51" s="66">
        <v>22836</v>
      </c>
      <c r="AG51" s="150"/>
      <c r="AH51" s="60">
        <v>22479</v>
      </c>
      <c r="AI51" s="60">
        <v>24287</v>
      </c>
    </row>
    <row r="52" spans="1:35" s="113" customFormat="1" ht="15" customHeight="1" x14ac:dyDescent="0.25">
      <c r="B52" s="127" t="s">
        <v>784</v>
      </c>
      <c r="C52" s="115"/>
      <c r="D52" s="60">
        <v>0</v>
      </c>
      <c r="E52" s="60">
        <v>0</v>
      </c>
      <c r="F52" s="60">
        <v>0</v>
      </c>
      <c r="G52" s="60">
        <v>0</v>
      </c>
      <c r="H52" s="66">
        <v>0</v>
      </c>
      <c r="I52" s="116"/>
      <c r="J52" s="60">
        <v>0</v>
      </c>
      <c r="K52" s="60">
        <v>0</v>
      </c>
      <c r="L52" s="60">
        <v>0</v>
      </c>
      <c r="M52" s="60">
        <v>0</v>
      </c>
      <c r="N52" s="66">
        <v>0</v>
      </c>
      <c r="O52" s="116"/>
      <c r="P52" s="60">
        <v>0</v>
      </c>
      <c r="Q52" s="60">
        <v>0</v>
      </c>
      <c r="R52" s="60">
        <v>0</v>
      </c>
      <c r="S52" s="60">
        <v>0</v>
      </c>
      <c r="T52" s="66">
        <v>0</v>
      </c>
      <c r="U52" s="116"/>
      <c r="V52" s="60">
        <v>0</v>
      </c>
      <c r="W52" s="60">
        <v>0</v>
      </c>
      <c r="X52" s="60">
        <v>0</v>
      </c>
      <c r="Y52" s="60">
        <v>0</v>
      </c>
      <c r="Z52" s="66">
        <v>0</v>
      </c>
      <c r="AA52" s="116"/>
      <c r="AB52" s="60">
        <v>0</v>
      </c>
      <c r="AC52" s="60">
        <v>0</v>
      </c>
      <c r="AD52" s="60">
        <v>0</v>
      </c>
      <c r="AE52" s="60">
        <v>0</v>
      </c>
      <c r="AF52" s="66">
        <v>0</v>
      </c>
      <c r="AG52" s="153"/>
      <c r="AH52" s="60">
        <v>0</v>
      </c>
      <c r="AI52" s="60">
        <v>0</v>
      </c>
    </row>
    <row r="53" spans="1:35" ht="15" customHeight="1" x14ac:dyDescent="0.3">
      <c r="A53" s="43"/>
      <c r="B53" s="127" t="s">
        <v>785</v>
      </c>
      <c r="D53" s="60">
        <v>18</v>
      </c>
      <c r="E53" s="60">
        <v>1</v>
      </c>
      <c r="F53" s="60">
        <v>3</v>
      </c>
      <c r="G53" s="60">
        <v>7</v>
      </c>
      <c r="H53" s="66">
        <v>7</v>
      </c>
      <c r="I53" s="20"/>
      <c r="J53" s="60">
        <v>3</v>
      </c>
      <c r="K53" s="60">
        <v>4</v>
      </c>
      <c r="L53" s="60">
        <v>2</v>
      </c>
      <c r="M53" s="60">
        <v>3</v>
      </c>
      <c r="N53" s="66">
        <v>3</v>
      </c>
      <c r="O53" s="20"/>
      <c r="P53" s="60">
        <v>4</v>
      </c>
      <c r="Q53" s="60">
        <v>102</v>
      </c>
      <c r="R53" s="60">
        <v>98</v>
      </c>
      <c r="S53" s="60">
        <v>95</v>
      </c>
      <c r="T53" s="66">
        <v>95</v>
      </c>
      <c r="U53" s="20"/>
      <c r="V53" s="60">
        <v>104</v>
      </c>
      <c r="W53" s="60">
        <v>106</v>
      </c>
      <c r="X53" s="60">
        <v>104</v>
      </c>
      <c r="Y53" s="60">
        <v>101</v>
      </c>
      <c r="Z53" s="66">
        <v>101</v>
      </c>
      <c r="AA53" s="20"/>
      <c r="AB53" s="60">
        <v>104</v>
      </c>
      <c r="AC53" s="60">
        <v>102</v>
      </c>
      <c r="AD53" s="60">
        <v>87</v>
      </c>
      <c r="AE53" s="60">
        <v>89</v>
      </c>
      <c r="AF53" s="66">
        <v>89</v>
      </c>
      <c r="AG53" s="150"/>
      <c r="AH53" s="60">
        <v>85</v>
      </c>
      <c r="AI53" s="60">
        <v>91</v>
      </c>
    </row>
    <row r="54" spans="1:35" s="113" customFormat="1" ht="15" customHeight="1" x14ac:dyDescent="0.25">
      <c r="B54" s="138" t="s">
        <v>786</v>
      </c>
      <c r="C54" s="115"/>
      <c r="D54" s="60">
        <v>11944</v>
      </c>
      <c r="E54" s="60">
        <v>11865</v>
      </c>
      <c r="F54" s="60">
        <v>12891</v>
      </c>
      <c r="G54" s="60">
        <v>12944</v>
      </c>
      <c r="H54" s="77">
        <v>12944</v>
      </c>
      <c r="I54" s="116"/>
      <c r="J54" s="60">
        <v>14086</v>
      </c>
      <c r="K54" s="60">
        <v>15096</v>
      </c>
      <c r="L54" s="60">
        <v>15733</v>
      </c>
      <c r="M54" s="60">
        <v>18434</v>
      </c>
      <c r="N54" s="77">
        <v>18434</v>
      </c>
      <c r="O54" s="116"/>
      <c r="P54" s="60">
        <v>17808</v>
      </c>
      <c r="Q54" s="60">
        <v>19006</v>
      </c>
      <c r="R54" s="60">
        <v>19131</v>
      </c>
      <c r="S54" s="60">
        <v>20357</v>
      </c>
      <c r="T54" s="77">
        <v>20357</v>
      </c>
      <c r="U54" s="116"/>
      <c r="V54" s="60">
        <v>21436</v>
      </c>
      <c r="W54" s="60">
        <v>22501</v>
      </c>
      <c r="X54" s="60">
        <v>23152</v>
      </c>
      <c r="Y54" s="60">
        <v>21886</v>
      </c>
      <c r="Z54" s="77">
        <v>21886</v>
      </c>
      <c r="AA54" s="116"/>
      <c r="AB54" s="60">
        <v>22179</v>
      </c>
      <c r="AC54" s="60">
        <v>22786</v>
      </c>
      <c r="AD54" s="60">
        <v>23149</v>
      </c>
      <c r="AE54" s="60">
        <v>22925</v>
      </c>
      <c r="AF54" s="77">
        <v>22925</v>
      </c>
      <c r="AG54" s="153"/>
      <c r="AH54" s="60">
        <v>22564</v>
      </c>
      <c r="AI54" s="60">
        <v>24378</v>
      </c>
    </row>
    <row r="55" spans="1:35" ht="15" customHeight="1" thickBot="1" x14ac:dyDescent="0.35">
      <c r="A55" s="43"/>
      <c r="B55" s="140" t="s">
        <v>787</v>
      </c>
      <c r="D55" s="60">
        <v>71821</v>
      </c>
      <c r="E55" s="60">
        <v>77326</v>
      </c>
      <c r="F55" s="60">
        <v>77264</v>
      </c>
      <c r="G55" s="60">
        <v>75091</v>
      </c>
      <c r="H55" s="93">
        <v>75091</v>
      </c>
      <c r="I55" s="20"/>
      <c r="J55" s="60">
        <v>75480</v>
      </c>
      <c r="K55" s="60">
        <v>78979</v>
      </c>
      <c r="L55" s="60">
        <v>80688</v>
      </c>
      <c r="M55" s="60">
        <v>84114</v>
      </c>
      <c r="N55" s="93">
        <v>84114</v>
      </c>
      <c r="O55" s="20"/>
      <c r="P55" s="60">
        <v>79614</v>
      </c>
      <c r="Q55" s="60">
        <v>84099</v>
      </c>
      <c r="R55" s="60">
        <v>86817</v>
      </c>
      <c r="S55" s="60">
        <v>90030</v>
      </c>
      <c r="T55" s="93">
        <v>90030</v>
      </c>
      <c r="U55" s="20"/>
      <c r="V55" s="60">
        <v>91620</v>
      </c>
      <c r="W55" s="60">
        <v>98347</v>
      </c>
      <c r="X55" s="60">
        <v>103397</v>
      </c>
      <c r="Y55" s="60">
        <v>104087</v>
      </c>
      <c r="Z55" s="93">
        <v>104087</v>
      </c>
      <c r="AA55" s="20"/>
      <c r="AB55" s="60">
        <v>101371</v>
      </c>
      <c r="AC55" s="60">
        <v>105628</v>
      </c>
      <c r="AD55" s="60">
        <v>107841</v>
      </c>
      <c r="AE55" s="60">
        <v>107320</v>
      </c>
      <c r="AF55" s="93">
        <v>107320</v>
      </c>
      <c r="AG55" s="150"/>
      <c r="AH55" s="60">
        <v>103119</v>
      </c>
      <c r="AI55" s="60">
        <v>106303</v>
      </c>
    </row>
    <row r="56" spans="1:35" ht="15" customHeight="1" thickTop="1" x14ac:dyDescent="0.3"/>
    <row r="57" spans="1:35" ht="15" customHeight="1" thickBot="1" x14ac:dyDescent="0.35">
      <c r="B57" s="114" t="s">
        <v>788</v>
      </c>
      <c r="D57" s="60">
        <v>0</v>
      </c>
      <c r="E57" s="60">
        <v>0</v>
      </c>
      <c r="F57" s="60">
        <v>0</v>
      </c>
      <c r="G57" s="60">
        <v>0</v>
      </c>
      <c r="H57" s="93">
        <v>0</v>
      </c>
      <c r="I57" s="20"/>
      <c r="J57" s="60">
        <v>0</v>
      </c>
      <c r="K57" s="60">
        <v>0</v>
      </c>
      <c r="L57" s="60">
        <v>0</v>
      </c>
      <c r="M57" s="60">
        <v>0</v>
      </c>
      <c r="N57" s="93">
        <v>0</v>
      </c>
      <c r="O57" s="20"/>
      <c r="P57" s="60">
        <v>0</v>
      </c>
      <c r="Q57" s="60">
        <v>0</v>
      </c>
      <c r="R57" s="60">
        <v>0</v>
      </c>
      <c r="S57" s="60">
        <v>0</v>
      </c>
      <c r="T57" s="93">
        <v>0</v>
      </c>
      <c r="U57" s="20"/>
      <c r="V57" s="60">
        <v>0</v>
      </c>
      <c r="W57" s="60">
        <v>0</v>
      </c>
      <c r="X57" s="60">
        <v>0</v>
      </c>
      <c r="Y57" s="60">
        <v>0</v>
      </c>
      <c r="Z57" s="93">
        <v>0</v>
      </c>
      <c r="AA57" s="20"/>
      <c r="AB57" s="60">
        <v>0</v>
      </c>
      <c r="AC57" s="60">
        <v>0</v>
      </c>
      <c r="AD57" s="60">
        <v>0</v>
      </c>
      <c r="AE57" s="60">
        <v>0</v>
      </c>
      <c r="AF57" s="93">
        <v>0</v>
      </c>
      <c r="AG57" s="150"/>
      <c r="AH57" s="60">
        <v>0</v>
      </c>
      <c r="AI57" s="60">
        <v>0</v>
      </c>
    </row>
    <row r="58" spans="1:35" ht="15" customHeight="1" thickTop="1" x14ac:dyDescent="0.3"/>
    <row r="61" spans="1:35" ht="15" customHeight="1" x14ac:dyDescent="0.3">
      <c r="B61" s="41" t="s">
        <v>789</v>
      </c>
      <c r="D61" s="773">
        <f>D38+D39+D44+D45</f>
        <v>45260</v>
      </c>
      <c r="E61" s="773">
        <f t="shared" ref="E61:AH61" si="0">E38+E39+E44+E45</f>
        <v>50462</v>
      </c>
      <c r="F61" s="773">
        <f t="shared" si="0"/>
        <v>48791</v>
      </c>
      <c r="G61" s="773">
        <f t="shared" si="0"/>
        <v>46356</v>
      </c>
      <c r="H61" s="773">
        <f t="shared" si="0"/>
        <v>46356</v>
      </c>
      <c r="I61" s="773">
        <f t="shared" si="0"/>
        <v>0</v>
      </c>
      <c r="J61" s="773">
        <f t="shared" si="0"/>
        <v>46280</v>
      </c>
      <c r="K61" s="773">
        <f t="shared" si="0"/>
        <v>47691</v>
      </c>
      <c r="L61" s="773">
        <f t="shared" si="0"/>
        <v>47961</v>
      </c>
      <c r="M61" s="773">
        <f t="shared" si="0"/>
        <v>48691</v>
      </c>
      <c r="N61" s="773">
        <f t="shared" si="0"/>
        <v>48691</v>
      </c>
      <c r="O61" s="773">
        <f t="shared" si="0"/>
        <v>0</v>
      </c>
      <c r="P61" s="773">
        <f t="shared" si="0"/>
        <v>47577</v>
      </c>
      <c r="Q61" s="773">
        <f t="shared" si="0"/>
        <v>48866</v>
      </c>
      <c r="R61" s="773">
        <f t="shared" si="0"/>
        <v>51228</v>
      </c>
      <c r="S61" s="773">
        <f t="shared" si="0"/>
        <v>52201</v>
      </c>
      <c r="T61" s="773">
        <f t="shared" si="0"/>
        <v>52201</v>
      </c>
      <c r="U61" s="773">
        <f t="shared" si="0"/>
        <v>0</v>
      </c>
      <c r="V61" s="773">
        <f t="shared" si="0"/>
        <v>54064</v>
      </c>
      <c r="W61" s="773">
        <f t="shared" si="0"/>
        <v>58099</v>
      </c>
      <c r="X61" s="773">
        <f t="shared" si="0"/>
        <v>61863</v>
      </c>
      <c r="Y61" s="773">
        <f t="shared" si="0"/>
        <v>63692</v>
      </c>
      <c r="Z61" s="773">
        <f t="shared" si="0"/>
        <v>63692</v>
      </c>
      <c r="AA61" s="773">
        <f t="shared" si="0"/>
        <v>0</v>
      </c>
      <c r="AB61" s="773">
        <f t="shared" si="0"/>
        <v>63166</v>
      </c>
      <c r="AC61" s="773">
        <f t="shared" si="0"/>
        <v>65637</v>
      </c>
      <c r="AD61" s="773">
        <f t="shared" si="0"/>
        <v>65855</v>
      </c>
      <c r="AE61" s="773">
        <f t="shared" si="0"/>
        <v>65463</v>
      </c>
      <c r="AF61" s="773">
        <f t="shared" si="0"/>
        <v>65463</v>
      </c>
      <c r="AG61" s="773">
        <f t="shared" si="0"/>
        <v>0</v>
      </c>
      <c r="AH61" s="773">
        <f t="shared" si="0"/>
        <v>64381</v>
      </c>
      <c r="AI61" s="773">
        <f>AI38+AI39+AI44+AI45</f>
        <v>66321</v>
      </c>
    </row>
    <row r="62" spans="1:35" ht="15" customHeight="1" x14ac:dyDescent="0.3">
      <c r="B62" s="41" t="s">
        <v>515</v>
      </c>
      <c r="F62" s="775"/>
      <c r="G62" s="775"/>
      <c r="H62" s="775"/>
      <c r="N62" s="775"/>
      <c r="T62" s="776">
        <f>'Stock Data'!AQ1047+T61</f>
        <v>169521.30837729998</v>
      </c>
      <c r="Z62" s="776">
        <f>'Stock Data'!AQ694+Z61</f>
        <v>171735.417587</v>
      </c>
      <c r="AF62" s="775">
        <f>'Stock Data'!AQ330+BS!AF61</f>
        <v>177291.45442860003</v>
      </c>
    </row>
    <row r="63" spans="1:35" ht="15" customHeight="1" x14ac:dyDescent="0.3">
      <c r="B63" s="41" t="s">
        <v>790</v>
      </c>
      <c r="D63" s="777" t="e">
        <f>D61/D62</f>
        <v>#DIV/0!</v>
      </c>
      <c r="E63" s="777" t="e">
        <f t="shared" ref="E63:AI63" si="1">E61/E62</f>
        <v>#DIV/0!</v>
      </c>
      <c r="F63" s="777" t="e">
        <f t="shared" si="1"/>
        <v>#DIV/0!</v>
      </c>
      <c r="G63" s="777" t="e">
        <f t="shared" si="1"/>
        <v>#DIV/0!</v>
      </c>
      <c r="H63" s="777" t="e">
        <f t="shared" si="1"/>
        <v>#DIV/0!</v>
      </c>
      <c r="I63" s="777" t="e">
        <f t="shared" si="1"/>
        <v>#DIV/0!</v>
      </c>
      <c r="J63" s="777" t="e">
        <f t="shared" si="1"/>
        <v>#DIV/0!</v>
      </c>
      <c r="K63" s="777" t="e">
        <f t="shared" si="1"/>
        <v>#DIV/0!</v>
      </c>
      <c r="L63" s="777" t="e">
        <f t="shared" si="1"/>
        <v>#DIV/0!</v>
      </c>
      <c r="M63" s="777" t="e">
        <f t="shared" si="1"/>
        <v>#DIV/0!</v>
      </c>
      <c r="N63" s="777" t="e">
        <f t="shared" si="1"/>
        <v>#DIV/0!</v>
      </c>
      <c r="O63" s="777" t="e">
        <f t="shared" si="1"/>
        <v>#DIV/0!</v>
      </c>
      <c r="P63" s="777" t="e">
        <f t="shared" si="1"/>
        <v>#DIV/0!</v>
      </c>
      <c r="Q63" s="777" t="e">
        <f t="shared" si="1"/>
        <v>#DIV/0!</v>
      </c>
      <c r="R63" s="777" t="e">
        <f t="shared" si="1"/>
        <v>#DIV/0!</v>
      </c>
      <c r="S63" s="777" t="e">
        <f t="shared" si="1"/>
        <v>#DIV/0!</v>
      </c>
      <c r="T63" s="777">
        <f t="shared" si="1"/>
        <v>0.30793179040252178</v>
      </c>
      <c r="U63" s="777" t="e">
        <f t="shared" si="1"/>
        <v>#DIV/0!</v>
      </c>
      <c r="V63" s="777" t="e">
        <f t="shared" si="1"/>
        <v>#DIV/0!</v>
      </c>
      <c r="W63" s="777" t="e">
        <f t="shared" si="1"/>
        <v>#DIV/0!</v>
      </c>
      <c r="X63" s="777" t="e">
        <f t="shared" si="1"/>
        <v>#DIV/0!</v>
      </c>
      <c r="Y63" s="777" t="e">
        <f t="shared" si="1"/>
        <v>#DIV/0!</v>
      </c>
      <c r="Z63" s="777">
        <f t="shared" si="1"/>
        <v>0.37087282806840971</v>
      </c>
      <c r="AA63" s="777" t="e">
        <f t="shared" si="1"/>
        <v>#DIV/0!</v>
      </c>
      <c r="AB63" s="777" t="e">
        <f t="shared" si="1"/>
        <v>#DIV/0!</v>
      </c>
      <c r="AC63" s="777" t="e">
        <f t="shared" si="1"/>
        <v>#DIV/0!</v>
      </c>
      <c r="AD63" s="777" t="e">
        <f t="shared" si="1"/>
        <v>#DIV/0!</v>
      </c>
      <c r="AE63" s="777" t="e">
        <f t="shared" si="1"/>
        <v>#DIV/0!</v>
      </c>
      <c r="AF63" s="777">
        <f t="shared" si="1"/>
        <v>0.36923945494712879</v>
      </c>
      <c r="AG63" s="777" t="e">
        <f t="shared" si="1"/>
        <v>#DIV/0!</v>
      </c>
      <c r="AH63" s="777" t="e">
        <f t="shared" si="1"/>
        <v>#DIV/0!</v>
      </c>
      <c r="AI63" s="777" t="e">
        <f t="shared" si="1"/>
        <v>#DIV/0!</v>
      </c>
    </row>
    <row r="64" spans="1:35" ht="15" customHeight="1" x14ac:dyDescent="0.3">
      <c r="B64" s="41" t="s">
        <v>251</v>
      </c>
      <c r="D64" s="773">
        <f>IS!D33+CF!D17</f>
        <v>1570</v>
      </c>
      <c r="E64" s="773">
        <f>IS!E33+CF!E17</f>
        <v>2005</v>
      </c>
      <c r="F64" s="773">
        <f>IS!F33+CF!F17</f>
        <v>2120</v>
      </c>
      <c r="G64" s="773">
        <f>IS!G33+CF!G17</f>
        <v>2244.4809999999998</v>
      </c>
      <c r="H64" s="773">
        <f>IS!H33+CF!H17</f>
        <v>7801</v>
      </c>
      <c r="I64" s="773">
        <f>IS!I33+CF!I17</f>
        <v>0</v>
      </c>
      <c r="J64" s="773">
        <f>IS!J33+CF!J17</f>
        <v>2329</v>
      </c>
      <c r="K64" s="773">
        <f>IS!K33+CF!K17</f>
        <v>3096</v>
      </c>
      <c r="L64" s="773">
        <f>IS!L33+CF!L17</f>
        <v>2882</v>
      </c>
      <c r="M64" s="773">
        <f>IS!M33+CF!M17</f>
        <v>2304</v>
      </c>
      <c r="N64" s="773">
        <f>IS!N33+CF!N17</f>
        <v>10610</v>
      </c>
      <c r="O64" s="773">
        <f>IS!O33+CF!O17</f>
        <v>0</v>
      </c>
      <c r="P64" s="773">
        <f>IS!P33+CF!P17</f>
        <v>1956</v>
      </c>
      <c r="Q64" s="773">
        <f>IS!Q33+CF!Q17</f>
        <v>3255</v>
      </c>
      <c r="R64" s="773">
        <f>IS!R33+CF!R17</f>
        <v>3385</v>
      </c>
      <c r="S64" s="773">
        <f>IS!S33+CF!S17</f>
        <v>3452</v>
      </c>
      <c r="T64" s="773">
        <f>IS!T33+CF!T17</f>
        <v>11931</v>
      </c>
      <c r="U64" s="773">
        <f>IS!U33+CF!U17</f>
        <v>0</v>
      </c>
      <c r="V64" s="773">
        <f>IS!V33+CF!V17</f>
        <v>3466</v>
      </c>
      <c r="W64" s="773">
        <f>IS!W33+CF!W17</f>
        <v>5091</v>
      </c>
      <c r="X64" s="773">
        <f>IS!X33+CF!X17</f>
        <v>4761</v>
      </c>
      <c r="Y64" s="773">
        <f>IS!Y33+CF!Y17</f>
        <v>4349</v>
      </c>
      <c r="Z64" s="773">
        <f>IS!Z33+CF!Z17</f>
        <v>17667</v>
      </c>
      <c r="AA64" s="773">
        <f>IS!AA33+CF!AA17</f>
        <v>0</v>
      </c>
      <c r="AB64" s="773">
        <f>IS!AB33+CF!AB17</f>
        <v>3537</v>
      </c>
      <c r="AC64" s="773">
        <f>IS!AC33+CF!AC17</f>
        <v>4478</v>
      </c>
      <c r="AD64" s="773">
        <f>IS!AD33+CF!AD17</f>
        <v>3748</v>
      </c>
      <c r="AE64" s="773">
        <f>IS!AE33+CF!AE17</f>
        <v>2955</v>
      </c>
      <c r="AF64" s="773">
        <f>IS!AF33+CF!AF17</f>
        <v>14920</v>
      </c>
      <c r="AG64" s="773">
        <f>IS!AG33+CF!AG17</f>
        <v>0</v>
      </c>
      <c r="AH64" s="773">
        <f>IS!AH33+CF!AH17</f>
        <v>2241</v>
      </c>
      <c r="AI64" s="773">
        <f>IS!AI33+CF!AI17</f>
        <v>3676</v>
      </c>
    </row>
    <row r="65" spans="2:36" ht="15" customHeight="1" x14ac:dyDescent="0.3">
      <c r="B65" s="41" t="s">
        <v>791</v>
      </c>
      <c r="D65" s="778">
        <f>D61/D64</f>
        <v>28.828025477707005</v>
      </c>
      <c r="E65" s="778">
        <f t="shared" ref="E65:AI65" si="2">E61/E64</f>
        <v>25.168079800498752</v>
      </c>
      <c r="F65" s="778">
        <f t="shared" si="2"/>
        <v>23.014622641509433</v>
      </c>
      <c r="G65" s="778">
        <f t="shared" si="2"/>
        <v>20.653326982941717</v>
      </c>
      <c r="H65" s="778">
        <f t="shared" si="2"/>
        <v>5.9423150878092557</v>
      </c>
      <c r="I65" s="778" t="e">
        <f t="shared" si="2"/>
        <v>#DIV/0!</v>
      </c>
      <c r="J65" s="778">
        <f t="shared" si="2"/>
        <v>19.871189351653069</v>
      </c>
      <c r="K65" s="778">
        <f t="shared" si="2"/>
        <v>15.404069767441861</v>
      </c>
      <c r="L65" s="778">
        <f t="shared" si="2"/>
        <v>16.641568355308813</v>
      </c>
      <c r="M65" s="778">
        <f t="shared" si="2"/>
        <v>21.133246527777779</v>
      </c>
      <c r="N65" s="778">
        <f t="shared" si="2"/>
        <v>4.589161168708765</v>
      </c>
      <c r="O65" s="778" t="e">
        <f t="shared" si="2"/>
        <v>#DIV/0!</v>
      </c>
      <c r="P65" s="778">
        <f t="shared" si="2"/>
        <v>24.323619631901842</v>
      </c>
      <c r="Q65" s="778">
        <f t="shared" si="2"/>
        <v>15.012596006144394</v>
      </c>
      <c r="R65" s="778">
        <f t="shared" si="2"/>
        <v>15.133825701624815</v>
      </c>
      <c r="S65" s="778">
        <f t="shared" si="2"/>
        <v>15.121958285052143</v>
      </c>
      <c r="T65" s="778">
        <f t="shared" si="2"/>
        <v>4.3752409689045342</v>
      </c>
      <c r="U65" s="778" t="e">
        <f t="shared" si="2"/>
        <v>#DIV/0!</v>
      </c>
      <c r="V65" s="778">
        <f t="shared" si="2"/>
        <v>15.598384304673976</v>
      </c>
      <c r="W65" s="778">
        <f t="shared" si="2"/>
        <v>11.41209978393243</v>
      </c>
      <c r="X65" s="778">
        <f t="shared" si="2"/>
        <v>12.993698802772526</v>
      </c>
      <c r="Y65" s="778">
        <f t="shared" si="2"/>
        <v>14.645205794435503</v>
      </c>
      <c r="Z65" s="778">
        <f t="shared" si="2"/>
        <v>3.605139525669327</v>
      </c>
      <c r="AA65" s="778" t="e">
        <f t="shared" si="2"/>
        <v>#DIV/0!</v>
      </c>
      <c r="AB65" s="778">
        <f t="shared" si="2"/>
        <v>17.858637263217418</v>
      </c>
      <c r="AC65" s="778">
        <f t="shared" si="2"/>
        <v>14.65765966949531</v>
      </c>
      <c r="AD65" s="778">
        <f t="shared" si="2"/>
        <v>17.570704375667024</v>
      </c>
      <c r="AE65" s="778">
        <f t="shared" si="2"/>
        <v>22.153299492385788</v>
      </c>
      <c r="AF65" s="778">
        <f t="shared" si="2"/>
        <v>4.3876005361930295</v>
      </c>
      <c r="AG65" s="778" t="e">
        <f t="shared" si="2"/>
        <v>#DIV/0!</v>
      </c>
      <c r="AH65" s="778">
        <f t="shared" si="2"/>
        <v>28.728692547969658</v>
      </c>
      <c r="AI65" s="778">
        <f t="shared" si="2"/>
        <v>18.041621327529924</v>
      </c>
      <c r="AJ65" s="778"/>
    </row>
    <row r="66" spans="2:36" ht="15" customHeight="1" x14ac:dyDescent="0.3">
      <c r="AI66" s="778"/>
    </row>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topLeftCell="A10" zoomScale="80" zoomScaleNormal="40" workbookViewId="0"/>
  </sheetViews>
  <sheetFormatPr defaultColWidth="9" defaultRowHeight="15" customHeight="1" outlineLevelCol="1" x14ac:dyDescent="0.3"/>
  <cols>
    <col min="1" max="1" width="2.09765625" style="41" customWidth="1"/>
    <col min="2" max="2" width="50.59765625" style="41" customWidth="1"/>
    <col min="3" max="3" width="3.09765625" style="17" customWidth="1"/>
    <col min="4" max="7" width="9.59765625" style="41" customWidth="1" outlineLevel="1"/>
    <col min="8" max="8" width="11.59765625" style="41" customWidth="1"/>
    <col min="9" max="9" width="1.59765625" style="17" customWidth="1"/>
    <col min="10" max="13" width="9.59765625" style="41" customWidth="1" outlineLevel="1"/>
    <col min="14" max="14" width="11.59765625" style="41" customWidth="1"/>
    <col min="15" max="15" width="1.59765625" style="17" customWidth="1"/>
    <col min="16" max="19" width="9.59765625" style="41" customWidth="1" outlineLevel="1"/>
    <col min="20" max="20" width="11.59765625" style="41" customWidth="1"/>
    <col min="21" max="21" width="1.59765625" style="17" customWidth="1"/>
    <col min="22" max="25" width="9.59765625" style="41" customWidth="1" outlineLevel="1"/>
    <col min="26" max="26" width="11.59765625" style="41" customWidth="1"/>
    <col min="27" max="27" width="1.59765625" style="17" customWidth="1"/>
    <col min="28" max="31" width="9.59765625" style="41" customWidth="1" outlineLevel="1"/>
    <col min="32" max="32" width="11.59765625" style="41" customWidth="1"/>
    <col min="33" max="33" width="1.59765625" style="17" customWidth="1"/>
    <col min="34" max="37" width="9.59765625" style="41" customWidth="1" outlineLevel="1"/>
    <col min="38" max="38" width="11.59765625" style="41" customWidth="1"/>
    <col min="39" max="39" width="1.59765625" style="17" customWidth="1"/>
    <col min="40" max="43" width="9.59765625" style="41" customWidth="1" outlineLevel="1"/>
    <col min="44" max="44" width="11.59765625" style="41" customWidth="1"/>
    <col min="45" max="45" width="1.59765625" style="17" customWidth="1"/>
    <col min="46" max="46" width="11.59765625" style="41" customWidth="1"/>
    <col min="47" max="47" width="1.59765625" style="17" customWidth="1"/>
    <col min="48" max="48" width="11.59765625" style="42" customWidth="1"/>
    <col min="49" max="49" width="1.59765625" style="41" customWidth="1"/>
    <col min="50" max="50" width="11.59765625" style="41" customWidth="1"/>
    <col min="51" max="51" width="1.59765625" style="41" customWidth="1"/>
    <col min="52" max="16384" width="9" style="41"/>
  </cols>
  <sheetData>
    <row r="1" spans="1:50" s="581" customFormat="1" ht="15" customHeight="1" x14ac:dyDescent="0.25"/>
    <row r="2" spans="1:50" s="581" customFormat="1" ht="15" customHeight="1" x14ac:dyDescent="0.25"/>
    <row r="3" spans="1:50" s="581" customFormat="1" ht="15" customHeight="1" x14ac:dyDescent="0.25"/>
    <row r="4" spans="1:50" s="581" customFormat="1" ht="15" customHeight="1" x14ac:dyDescent="0.25"/>
    <row r="5" spans="1:50" s="577" customFormat="1" ht="4.3499999999999996" customHeight="1" x14ac:dyDescent="0.3">
      <c r="C5" s="578"/>
      <c r="I5" s="578"/>
      <c r="O5" s="578"/>
      <c r="U5" s="578"/>
      <c r="AA5" s="578"/>
      <c r="AG5" s="578"/>
      <c r="AM5" s="578"/>
      <c r="AS5" s="578"/>
      <c r="AU5" s="578"/>
      <c r="AV5" s="579"/>
    </row>
    <row r="7" spans="1:50" ht="15" customHeight="1" x14ac:dyDescent="0.3">
      <c r="A7" s="44" t="s">
        <v>70</v>
      </c>
      <c r="B7" s="161" t="s">
        <v>590</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x14ac:dyDescent="0.3">
      <c r="B8" s="164"/>
      <c r="C8" s="18"/>
      <c r="D8" s="813">
        <v>2020</v>
      </c>
      <c r="E8" s="813"/>
      <c r="F8" s="813"/>
      <c r="G8" s="813"/>
      <c r="H8" s="813"/>
      <c r="I8" s="169"/>
      <c r="J8" s="813">
        <v>2021</v>
      </c>
      <c r="K8" s="813"/>
      <c r="L8" s="813"/>
      <c r="M8" s="813"/>
      <c r="N8" s="813"/>
      <c r="O8" s="169"/>
      <c r="P8" s="813">
        <v>2022</v>
      </c>
      <c r="Q8" s="813"/>
      <c r="R8" s="813"/>
      <c r="S8" s="813"/>
      <c r="T8" s="813"/>
      <c r="U8" s="169"/>
      <c r="V8" s="813">
        <v>2023</v>
      </c>
      <c r="W8" s="813"/>
      <c r="X8" s="813"/>
      <c r="Y8" s="813"/>
      <c r="Z8" s="813"/>
      <c r="AA8" s="169"/>
      <c r="AB8" s="813">
        <v>2024</v>
      </c>
      <c r="AC8" s="813"/>
      <c r="AD8" s="813"/>
      <c r="AE8" s="813"/>
      <c r="AF8" s="813"/>
      <c r="AG8" s="169"/>
      <c r="AH8" s="812">
        <v>2025</v>
      </c>
      <c r="AI8" s="812"/>
      <c r="AJ8" s="812"/>
      <c r="AK8" s="812"/>
      <c r="AL8" s="812"/>
      <c r="AM8" s="169"/>
      <c r="AN8" s="812">
        <v>2026</v>
      </c>
      <c r="AO8" s="812"/>
      <c r="AP8" s="812"/>
      <c r="AQ8" s="812"/>
      <c r="AR8" s="812"/>
      <c r="AS8" s="171"/>
      <c r="AT8" s="166">
        <v>2027</v>
      </c>
      <c r="AU8" s="167"/>
      <c r="AV8" s="166">
        <v>2028</v>
      </c>
      <c r="AW8" s="167"/>
      <c r="AX8" s="166">
        <v>2029</v>
      </c>
    </row>
    <row r="9" spans="1:50" ht="15" customHeight="1" x14ac:dyDescent="0.3">
      <c r="B9" s="164"/>
      <c r="C9" s="18"/>
      <c r="D9" s="168" t="s">
        <v>36</v>
      </c>
      <c r="E9" s="168" t="s">
        <v>37</v>
      </c>
      <c r="F9" s="168" t="s">
        <v>38</v>
      </c>
      <c r="G9" s="168" t="s">
        <v>39</v>
      </c>
      <c r="H9" s="168" t="s">
        <v>40</v>
      </c>
      <c r="I9" s="18"/>
      <c r="J9" s="168" t="s">
        <v>36</v>
      </c>
      <c r="K9" s="168" t="s">
        <v>37</v>
      </c>
      <c r="L9" s="168" t="s">
        <v>38</v>
      </c>
      <c r="M9" s="168" t="s">
        <v>39</v>
      </c>
      <c r="N9" s="168" t="s">
        <v>40</v>
      </c>
      <c r="O9" s="165"/>
      <c r="P9" s="168" t="s">
        <v>36</v>
      </c>
      <c r="Q9" s="168" t="s">
        <v>37</v>
      </c>
      <c r="R9" s="168" t="s">
        <v>38</v>
      </c>
      <c r="S9" s="168" t="s">
        <v>39</v>
      </c>
      <c r="T9" s="168" t="s">
        <v>40</v>
      </c>
      <c r="U9" s="165"/>
      <c r="V9" s="168" t="s">
        <v>36</v>
      </c>
      <c r="W9" s="168" t="s">
        <v>37</v>
      </c>
      <c r="X9" s="168" t="s">
        <v>38</v>
      </c>
      <c r="Y9" s="168" t="s">
        <v>39</v>
      </c>
      <c r="Z9" s="168" t="s">
        <v>40</v>
      </c>
      <c r="AA9" s="165"/>
      <c r="AB9" s="168" t="s">
        <v>36</v>
      </c>
      <c r="AC9" s="168" t="s">
        <v>37</v>
      </c>
      <c r="AD9" s="168" t="s">
        <v>38</v>
      </c>
      <c r="AE9" s="168" t="s">
        <v>39</v>
      </c>
      <c r="AF9" s="168" t="s">
        <v>40</v>
      </c>
      <c r="AG9" s="165"/>
      <c r="AH9" s="168" t="s">
        <v>36</v>
      </c>
      <c r="AI9" s="168" t="s">
        <v>37</v>
      </c>
      <c r="AJ9" s="168" t="s">
        <v>38</v>
      </c>
      <c r="AK9" s="168" t="s">
        <v>39</v>
      </c>
      <c r="AL9" s="168" t="s">
        <v>40</v>
      </c>
      <c r="AM9" s="165"/>
      <c r="AN9" s="168" t="s">
        <v>36</v>
      </c>
      <c r="AO9" s="168" t="s">
        <v>37</v>
      </c>
      <c r="AP9" s="168" t="s">
        <v>38</v>
      </c>
      <c r="AQ9" s="168" t="s">
        <v>39</v>
      </c>
      <c r="AR9" s="168" t="s">
        <v>40</v>
      </c>
      <c r="AS9" s="165"/>
      <c r="AT9" s="168" t="s">
        <v>40</v>
      </c>
      <c r="AU9" s="165"/>
      <c r="AV9" s="168" t="s">
        <v>40</v>
      </c>
      <c r="AW9" s="165"/>
      <c r="AX9" s="168" t="s">
        <v>40</v>
      </c>
    </row>
    <row r="10" spans="1:50" ht="4.3499999999999996" customHeight="1" x14ac:dyDescent="0.3">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4.3499999999999996" customHeight="1" x14ac:dyDescent="0.3">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s="54" customFormat="1" ht="15" customHeight="1" x14ac:dyDescent="0.3">
      <c r="B12" s="154" t="s">
        <v>792</v>
      </c>
      <c r="C12" s="17"/>
      <c r="D12" s="60">
        <v>3857</v>
      </c>
      <c r="E12" s="46">
        <v>3602</v>
      </c>
      <c r="F12" s="46">
        <v>8900</v>
      </c>
      <c r="G12" s="46">
        <v>8190</v>
      </c>
      <c r="H12" s="57">
        <v>7066</v>
      </c>
      <c r="I12" s="48"/>
      <c r="J12" s="46">
        <v>7066</v>
      </c>
      <c r="K12" s="46">
        <v>6962</v>
      </c>
      <c r="L12" s="46">
        <v>7182</v>
      </c>
      <c r="M12" s="46">
        <v>7519</v>
      </c>
      <c r="N12" s="57">
        <v>8017</v>
      </c>
      <c r="O12" s="47"/>
      <c r="P12" s="46">
        <v>8017</v>
      </c>
      <c r="Q12" s="46">
        <v>4472</v>
      </c>
      <c r="R12" s="46">
        <v>3878</v>
      </c>
      <c r="S12" s="46">
        <v>4359</v>
      </c>
      <c r="T12" s="57">
        <v>4774</v>
      </c>
      <c r="U12" s="47"/>
      <c r="V12" s="46">
        <v>4774</v>
      </c>
      <c r="W12" s="46">
        <v>3976</v>
      </c>
      <c r="X12" s="46">
        <v>5267</v>
      </c>
      <c r="Y12" s="46">
        <v>6576</v>
      </c>
      <c r="Z12" s="57">
        <v>7458</v>
      </c>
      <c r="AA12" s="47"/>
      <c r="AB12" s="46">
        <v>7458</v>
      </c>
      <c r="AC12" s="46">
        <v>5137</v>
      </c>
      <c r="AD12" s="46">
        <v>5553</v>
      </c>
      <c r="AE12" s="46">
        <v>7004</v>
      </c>
      <c r="AF12" s="57">
        <v>7324</v>
      </c>
      <c r="AG12" s="49"/>
      <c r="AH12" s="46">
        <v>7324</v>
      </c>
      <c r="AI12" s="46">
        <v>6601</v>
      </c>
      <c r="AJ12" s="46"/>
      <c r="AK12" s="46"/>
      <c r="AL12" s="58"/>
      <c r="AM12" s="53"/>
      <c r="AN12" s="50"/>
      <c r="AO12" s="50"/>
      <c r="AP12" s="50"/>
      <c r="AQ12" s="50"/>
      <c r="AR12" s="58"/>
      <c r="AS12" s="53"/>
      <c r="AT12" s="58"/>
      <c r="AU12" s="53"/>
      <c r="AV12" s="58"/>
      <c r="AX12" s="58"/>
    </row>
    <row r="13" spans="1:50" s="54" customFormat="1" ht="15" customHeight="1" x14ac:dyDescent="0.3">
      <c r="A13" s="43"/>
      <c r="B13" s="154"/>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x14ac:dyDescent="0.3">
      <c r="A14" s="44" t="s">
        <v>70</v>
      </c>
      <c r="B14" s="154" t="s">
        <v>793</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x14ac:dyDescent="0.3">
      <c r="A15" s="43"/>
      <c r="B15" s="155" t="s">
        <v>672</v>
      </c>
      <c r="C15" s="17"/>
      <c r="D15" s="60">
        <v>517</v>
      </c>
      <c r="E15" s="60">
        <v>666</v>
      </c>
      <c r="F15" s="60">
        <v>811</v>
      </c>
      <c r="G15" s="60">
        <v>757</v>
      </c>
      <c r="H15" s="57">
        <v>2751</v>
      </c>
      <c r="I15" s="48"/>
      <c r="J15" s="60">
        <v>1224</v>
      </c>
      <c r="K15" s="60">
        <v>1790</v>
      </c>
      <c r="L15" s="60">
        <v>1667</v>
      </c>
      <c r="M15" s="60">
        <v>1283</v>
      </c>
      <c r="N15" s="57">
        <v>5963</v>
      </c>
      <c r="O15" s="47"/>
      <c r="P15" s="60">
        <v>903</v>
      </c>
      <c r="Q15" s="60">
        <v>2098</v>
      </c>
      <c r="R15" s="60">
        <v>1884</v>
      </c>
      <c r="S15" s="60">
        <v>2246</v>
      </c>
      <c r="T15" s="57">
        <v>7131</v>
      </c>
      <c r="U15" s="47"/>
      <c r="V15" s="60">
        <v>1959</v>
      </c>
      <c r="W15" s="60">
        <v>2860</v>
      </c>
      <c r="X15" s="60">
        <v>2978</v>
      </c>
      <c r="Y15" s="60">
        <v>2369</v>
      </c>
      <c r="Z15" s="57">
        <v>10166</v>
      </c>
      <c r="AA15" s="47"/>
      <c r="AB15" s="60">
        <v>1751</v>
      </c>
      <c r="AC15" s="60">
        <v>2370</v>
      </c>
      <c r="AD15" s="60">
        <v>1734</v>
      </c>
      <c r="AE15" s="60">
        <v>1245</v>
      </c>
      <c r="AF15" s="57">
        <v>7100</v>
      </c>
      <c r="AG15" s="49"/>
      <c r="AH15" s="60">
        <v>869</v>
      </c>
      <c r="AI15" s="60">
        <v>1804</v>
      </c>
      <c r="AJ15" s="50"/>
      <c r="AK15" s="50"/>
      <c r="AL15" s="58"/>
      <c r="AM15" s="53"/>
      <c r="AN15" s="50"/>
      <c r="AO15" s="50"/>
      <c r="AP15" s="50"/>
      <c r="AQ15" s="50"/>
      <c r="AR15" s="58"/>
      <c r="AS15" s="53"/>
      <c r="AT15" s="58"/>
      <c r="AU15" s="53"/>
      <c r="AV15" s="58"/>
      <c r="AX15" s="58"/>
    </row>
    <row r="16" spans="1:50" s="54" customFormat="1" ht="15" customHeight="1" x14ac:dyDescent="0.3">
      <c r="A16" s="43"/>
      <c r="B16" s="155" t="s">
        <v>794</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x14ac:dyDescent="0.3">
      <c r="A17" s="43"/>
      <c r="B17" s="156" t="s">
        <v>725</v>
      </c>
      <c r="C17" s="17"/>
      <c r="D17" s="60">
        <v>538</v>
      </c>
      <c r="E17" s="60">
        <v>529</v>
      </c>
      <c r="F17" s="60">
        <v>547</v>
      </c>
      <c r="G17" s="60">
        <v>504</v>
      </c>
      <c r="H17" s="57">
        <v>2118</v>
      </c>
      <c r="I17" s="48"/>
      <c r="J17" s="60">
        <v>538</v>
      </c>
      <c r="K17" s="60">
        <v>516</v>
      </c>
      <c r="L17" s="60">
        <v>515</v>
      </c>
      <c r="M17" s="60">
        <v>481</v>
      </c>
      <c r="N17" s="57">
        <v>2050</v>
      </c>
      <c r="O17" s="47"/>
      <c r="P17" s="60">
        <v>486</v>
      </c>
      <c r="Q17" s="60">
        <v>447</v>
      </c>
      <c r="R17" s="60">
        <v>510</v>
      </c>
      <c r="S17" s="60">
        <v>452</v>
      </c>
      <c r="T17" s="57">
        <v>1895</v>
      </c>
      <c r="U17" s="47"/>
      <c r="V17" s="60">
        <v>494</v>
      </c>
      <c r="W17" s="60">
        <v>501</v>
      </c>
      <c r="X17" s="60">
        <v>532</v>
      </c>
      <c r="Y17" s="60">
        <v>477</v>
      </c>
      <c r="Z17" s="57">
        <v>2004</v>
      </c>
      <c r="AA17" s="47"/>
      <c r="AB17" s="60">
        <v>520</v>
      </c>
      <c r="AC17" s="60">
        <v>525</v>
      </c>
      <c r="AD17" s="60">
        <v>553</v>
      </c>
      <c r="AE17" s="60">
        <v>520</v>
      </c>
      <c r="AF17" s="57">
        <v>2118</v>
      </c>
      <c r="AG17" s="49"/>
      <c r="AH17" s="60">
        <v>549</v>
      </c>
      <c r="AI17" s="60">
        <v>555</v>
      </c>
      <c r="AJ17" s="50"/>
      <c r="AK17" s="50"/>
      <c r="AL17" s="57"/>
      <c r="AM17" s="53"/>
      <c r="AN17" s="50"/>
      <c r="AO17" s="50"/>
      <c r="AP17" s="50"/>
      <c r="AQ17" s="50"/>
      <c r="AR17" s="57"/>
      <c r="AS17" s="53"/>
      <c r="AT17" s="58"/>
      <c r="AU17" s="53"/>
      <c r="AV17" s="58"/>
      <c r="AX17" s="58"/>
    </row>
    <row r="18" spans="1:50" s="54" customFormat="1" ht="15" customHeight="1" x14ac:dyDescent="0.3">
      <c r="A18" s="43"/>
      <c r="B18" s="156" t="s">
        <v>795</v>
      </c>
      <c r="C18" s="17"/>
      <c r="D18" s="60">
        <v>19</v>
      </c>
      <c r="E18" s="60">
        <v>29</v>
      </c>
      <c r="F18" s="60">
        <v>15</v>
      </c>
      <c r="G18" s="60">
        <v>18</v>
      </c>
      <c r="H18" s="57">
        <v>81</v>
      </c>
      <c r="I18" s="48"/>
      <c r="J18" s="60">
        <v>15</v>
      </c>
      <c r="K18" s="60">
        <v>30</v>
      </c>
      <c r="L18" s="60">
        <v>19</v>
      </c>
      <c r="M18" s="60">
        <v>18</v>
      </c>
      <c r="N18" s="57">
        <v>82</v>
      </c>
      <c r="O18" s="47"/>
      <c r="P18" s="60">
        <v>18</v>
      </c>
      <c r="Q18" s="60">
        <v>26</v>
      </c>
      <c r="R18" s="60">
        <v>20</v>
      </c>
      <c r="S18" s="60">
        <v>21</v>
      </c>
      <c r="T18" s="57">
        <v>85</v>
      </c>
      <c r="U18" s="47"/>
      <c r="V18" s="60">
        <v>23</v>
      </c>
      <c r="W18" s="60">
        <v>31</v>
      </c>
      <c r="X18" s="60">
        <v>58</v>
      </c>
      <c r="Y18" s="60">
        <v>18</v>
      </c>
      <c r="Z18" s="57">
        <v>130</v>
      </c>
      <c r="AA18" s="47"/>
      <c r="AB18" s="60">
        <v>46</v>
      </c>
      <c r="AC18" s="60">
        <v>58</v>
      </c>
      <c r="AD18" s="60">
        <v>55</v>
      </c>
      <c r="AE18" s="60">
        <v>49</v>
      </c>
      <c r="AF18" s="57">
        <v>208</v>
      </c>
      <c r="AG18" s="49"/>
      <c r="AH18" s="60">
        <v>28</v>
      </c>
      <c r="AI18" s="60">
        <v>26</v>
      </c>
      <c r="AJ18" s="50"/>
      <c r="AK18" s="50"/>
      <c r="AL18" s="57"/>
      <c r="AM18" s="53"/>
      <c r="AN18" s="50"/>
      <c r="AO18" s="50"/>
      <c r="AP18" s="50"/>
      <c r="AQ18" s="50"/>
      <c r="AR18" s="57"/>
      <c r="AS18" s="53"/>
      <c r="AT18" s="58"/>
      <c r="AU18" s="53"/>
      <c r="AV18" s="58"/>
      <c r="AX18" s="58"/>
    </row>
    <row r="19" spans="1:50" s="54" customFormat="1" ht="15" customHeight="1" x14ac:dyDescent="0.25">
      <c r="A19" s="113"/>
      <c r="B19" s="156" t="s">
        <v>53</v>
      </c>
      <c r="C19" s="115"/>
      <c r="D19" s="60">
        <v>196</v>
      </c>
      <c r="E19" s="60">
        <v>197</v>
      </c>
      <c r="F19" s="60">
        <v>0</v>
      </c>
      <c r="G19" s="60">
        <v>-185</v>
      </c>
      <c r="H19" s="57">
        <v>207</v>
      </c>
      <c r="I19" s="48"/>
      <c r="J19" s="60">
        <v>-21</v>
      </c>
      <c r="K19" s="60">
        <v>-316</v>
      </c>
      <c r="L19" s="60">
        <v>-114</v>
      </c>
      <c r="M19" s="60">
        <v>-204</v>
      </c>
      <c r="N19" s="57">
        <v>-654</v>
      </c>
      <c r="O19" s="48"/>
      <c r="P19" s="60">
        <v>-801</v>
      </c>
      <c r="Q19" s="60">
        <v>-513</v>
      </c>
      <c r="R19" s="60">
        <v>220</v>
      </c>
      <c r="S19" s="60">
        <v>67</v>
      </c>
      <c r="T19" s="57">
        <v>-1027</v>
      </c>
      <c r="U19" s="48"/>
      <c r="V19" s="60">
        <v>-27</v>
      </c>
      <c r="W19" s="60">
        <v>-136</v>
      </c>
      <c r="X19" s="60">
        <v>5</v>
      </c>
      <c r="Y19" s="60">
        <v>-256</v>
      </c>
      <c r="Z19" s="57">
        <v>-414</v>
      </c>
      <c r="AA19" s="51"/>
      <c r="AB19" s="60">
        <v>-35</v>
      </c>
      <c r="AC19" s="60">
        <v>20</v>
      </c>
      <c r="AD19" s="60">
        <v>-103</v>
      </c>
      <c r="AE19" s="60">
        <v>85</v>
      </c>
      <c r="AF19" s="57">
        <v>-33</v>
      </c>
      <c r="AG19" s="49"/>
      <c r="AH19" s="60">
        <v>-433</v>
      </c>
      <c r="AI19" s="60">
        <v>110</v>
      </c>
      <c r="AJ19" s="50"/>
      <c r="AK19" s="50"/>
      <c r="AL19" s="58"/>
      <c r="AM19" s="69"/>
      <c r="AN19" s="50"/>
      <c r="AO19" s="50"/>
      <c r="AP19" s="50"/>
      <c r="AQ19" s="50"/>
      <c r="AR19" s="58"/>
      <c r="AS19" s="69"/>
      <c r="AT19" s="58"/>
      <c r="AU19" s="69"/>
      <c r="AV19" s="58"/>
      <c r="AX19" s="58"/>
    </row>
    <row r="20" spans="1:50" s="54" customFormat="1" ht="15" customHeight="1" x14ac:dyDescent="0.3">
      <c r="A20" s="43"/>
      <c r="B20" s="155" t="s">
        <v>796</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x14ac:dyDescent="0.25">
      <c r="A21" s="113"/>
      <c r="B21" s="156" t="s">
        <v>759</v>
      </c>
      <c r="C21" s="115"/>
      <c r="D21" s="60">
        <v>70</v>
      </c>
      <c r="E21" s="60">
        <v>-561</v>
      </c>
      <c r="F21" s="60">
        <v>1117</v>
      </c>
      <c r="G21" s="60">
        <v>1383</v>
      </c>
      <c r="H21" s="66">
        <v>2009</v>
      </c>
      <c r="I21" s="48"/>
      <c r="J21" s="60">
        <v>-97</v>
      </c>
      <c r="K21" s="60">
        <v>-1027</v>
      </c>
      <c r="L21" s="60">
        <v>680</v>
      </c>
      <c r="M21" s="60">
        <v>1413</v>
      </c>
      <c r="N21" s="66">
        <v>969</v>
      </c>
      <c r="O21" s="48"/>
      <c r="P21" s="60">
        <v>-106</v>
      </c>
      <c r="Q21" s="60">
        <v>-1429</v>
      </c>
      <c r="R21" s="60">
        <v>-822</v>
      </c>
      <c r="S21" s="60">
        <v>-126</v>
      </c>
      <c r="T21" s="66">
        <v>-2483</v>
      </c>
      <c r="U21" s="48"/>
      <c r="V21" s="60">
        <v>-1015</v>
      </c>
      <c r="W21" s="60">
        <v>-3392</v>
      </c>
      <c r="X21" s="60">
        <v>-652</v>
      </c>
      <c r="Y21" s="60">
        <v>806</v>
      </c>
      <c r="Z21" s="66">
        <v>-4253</v>
      </c>
      <c r="AA21" s="51"/>
      <c r="AB21" s="60">
        <v>-277</v>
      </c>
      <c r="AC21" s="60">
        <v>-2192</v>
      </c>
      <c r="AD21" s="60">
        <v>23</v>
      </c>
      <c r="AE21" s="60">
        <v>2867</v>
      </c>
      <c r="AF21" s="66">
        <v>421</v>
      </c>
      <c r="AG21" s="49"/>
      <c r="AH21" s="60">
        <v>1063</v>
      </c>
      <c r="AI21" s="60">
        <v>-2132</v>
      </c>
      <c r="AJ21" s="50"/>
      <c r="AK21" s="50"/>
      <c r="AL21" s="66"/>
      <c r="AM21" s="72"/>
      <c r="AN21" s="50"/>
      <c r="AO21" s="50"/>
      <c r="AP21" s="50"/>
      <c r="AQ21" s="50"/>
      <c r="AR21" s="66"/>
      <c r="AS21" s="72"/>
      <c r="AT21" s="68"/>
      <c r="AU21" s="72"/>
      <c r="AV21" s="68"/>
      <c r="AX21" s="68"/>
    </row>
    <row r="22" spans="1:50" s="54" customFormat="1" ht="15" customHeight="1" x14ac:dyDescent="0.3">
      <c r="A22" s="43"/>
      <c r="B22" s="156" t="s">
        <v>797</v>
      </c>
      <c r="C22" s="17"/>
      <c r="D22" s="60">
        <v>-642</v>
      </c>
      <c r="E22" s="60">
        <v>146</v>
      </c>
      <c r="F22" s="60">
        <v>495</v>
      </c>
      <c r="G22" s="60">
        <v>398</v>
      </c>
      <c r="H22" s="66">
        <v>397</v>
      </c>
      <c r="I22" s="48"/>
      <c r="J22" s="60">
        <v>-926</v>
      </c>
      <c r="K22" s="60">
        <v>-267</v>
      </c>
      <c r="L22" s="60">
        <v>-624</v>
      </c>
      <c r="M22" s="60">
        <v>-680</v>
      </c>
      <c r="N22" s="66">
        <v>-2497</v>
      </c>
      <c r="O22" s="48"/>
      <c r="P22" s="60">
        <v>-1297</v>
      </c>
      <c r="Q22" s="60">
        <v>-968</v>
      </c>
      <c r="R22" s="60">
        <v>-261</v>
      </c>
      <c r="S22" s="60">
        <v>435</v>
      </c>
      <c r="T22" s="66">
        <v>-2091</v>
      </c>
      <c r="U22" s="48"/>
      <c r="V22" s="60">
        <v>-1279</v>
      </c>
      <c r="W22" s="60">
        <v>297</v>
      </c>
      <c r="X22" s="60">
        <v>319</v>
      </c>
      <c r="Y22" s="60">
        <v>942</v>
      </c>
      <c r="Z22" s="66">
        <v>279</v>
      </c>
      <c r="AA22" s="51"/>
      <c r="AB22" s="60">
        <v>-723</v>
      </c>
      <c r="AC22" s="60">
        <v>314</v>
      </c>
      <c r="AD22" s="60">
        <v>643</v>
      </c>
      <c r="AE22" s="60">
        <v>554</v>
      </c>
      <c r="AF22" s="66">
        <v>788</v>
      </c>
      <c r="AG22" s="49"/>
      <c r="AH22" s="60">
        <v>-795</v>
      </c>
      <c r="AI22" s="60">
        <v>23</v>
      </c>
      <c r="AJ22" s="50"/>
      <c r="AK22" s="50"/>
      <c r="AL22" s="66"/>
      <c r="AM22" s="72"/>
      <c r="AN22" s="50"/>
      <c r="AO22" s="50"/>
      <c r="AP22" s="50"/>
      <c r="AQ22" s="50"/>
      <c r="AR22" s="66"/>
      <c r="AS22" s="72"/>
      <c r="AT22" s="68"/>
      <c r="AU22" s="72"/>
      <c r="AV22" s="68"/>
      <c r="AX22" s="68"/>
    </row>
    <row r="23" spans="1:50" s="54" customFormat="1" ht="15" customHeight="1" x14ac:dyDescent="0.25">
      <c r="A23" s="113"/>
      <c r="B23" s="156" t="s">
        <v>771</v>
      </c>
      <c r="C23" s="115"/>
      <c r="D23" s="60">
        <v>0</v>
      </c>
      <c r="E23" s="60">
        <v>0</v>
      </c>
      <c r="F23" s="60">
        <v>0</v>
      </c>
      <c r="G23" s="60">
        <v>0</v>
      </c>
      <c r="H23" s="66">
        <v>0</v>
      </c>
      <c r="I23" s="48"/>
      <c r="J23" s="60">
        <v>0</v>
      </c>
      <c r="K23" s="60">
        <v>0</v>
      </c>
      <c r="L23" s="60">
        <v>0</v>
      </c>
      <c r="M23" s="60">
        <v>0</v>
      </c>
      <c r="N23" s="66">
        <v>0</v>
      </c>
      <c r="O23" s="48"/>
      <c r="P23" s="60">
        <v>0</v>
      </c>
      <c r="Q23" s="60">
        <v>0</v>
      </c>
      <c r="R23" s="60">
        <v>0</v>
      </c>
      <c r="S23" s="60">
        <v>0</v>
      </c>
      <c r="T23" s="66">
        <v>0</v>
      </c>
      <c r="U23" s="48"/>
      <c r="V23" s="60">
        <v>0</v>
      </c>
      <c r="W23" s="60">
        <v>0</v>
      </c>
      <c r="X23" s="60">
        <v>0</v>
      </c>
      <c r="Y23" s="60">
        <v>0</v>
      </c>
      <c r="Z23" s="66">
        <v>0</v>
      </c>
      <c r="AA23" s="51"/>
      <c r="AB23" s="60">
        <v>0</v>
      </c>
      <c r="AC23" s="60">
        <v>0</v>
      </c>
      <c r="AD23" s="60">
        <v>0</v>
      </c>
      <c r="AE23" s="60">
        <v>0</v>
      </c>
      <c r="AF23" s="66">
        <v>0</v>
      </c>
      <c r="AG23" s="49"/>
      <c r="AH23" s="60">
        <v>0</v>
      </c>
      <c r="AI23" s="60">
        <v>0</v>
      </c>
      <c r="AJ23" s="50"/>
      <c r="AK23" s="50"/>
      <c r="AL23" s="66"/>
      <c r="AM23" s="72"/>
      <c r="AN23" s="50"/>
      <c r="AO23" s="50"/>
      <c r="AP23" s="50"/>
      <c r="AQ23" s="50"/>
      <c r="AR23" s="66"/>
      <c r="AS23" s="72"/>
      <c r="AT23" s="68"/>
      <c r="AU23" s="72"/>
      <c r="AV23" s="68"/>
      <c r="AX23" s="68"/>
    </row>
    <row r="24" spans="1:50" s="54" customFormat="1" ht="15" customHeight="1" x14ac:dyDescent="0.25">
      <c r="A24" s="113"/>
      <c r="B24" s="156" t="s">
        <v>53</v>
      </c>
      <c r="C24" s="115"/>
      <c r="D24" s="60">
        <v>-1187</v>
      </c>
      <c r="E24" s="60">
        <v>307</v>
      </c>
      <c r="F24" s="60">
        <v>312</v>
      </c>
      <c r="G24" s="60">
        <v>569</v>
      </c>
      <c r="H24" s="74">
        <v>1</v>
      </c>
      <c r="I24" s="48"/>
      <c r="J24" s="60">
        <v>-575</v>
      </c>
      <c r="K24" s="60">
        <v>947</v>
      </c>
      <c r="L24" s="60">
        <v>404</v>
      </c>
      <c r="M24" s="60">
        <v>1119</v>
      </c>
      <c r="N24" s="74">
        <v>1895</v>
      </c>
      <c r="O24" s="48"/>
      <c r="P24" s="60">
        <v>-1738</v>
      </c>
      <c r="Q24" s="60">
        <v>1156</v>
      </c>
      <c r="R24" s="60">
        <v>649</v>
      </c>
      <c r="S24" s="60">
        <v>1207</v>
      </c>
      <c r="T24" s="74">
        <v>1274</v>
      </c>
      <c r="U24" s="48"/>
      <c r="V24" s="60">
        <v>-1378</v>
      </c>
      <c r="W24" s="60">
        <v>969</v>
      </c>
      <c r="X24" s="60">
        <v>-139</v>
      </c>
      <c r="Y24" s="60">
        <v>1355</v>
      </c>
      <c r="Z24" s="74">
        <v>807</v>
      </c>
      <c r="AA24" s="81"/>
      <c r="AB24" s="60">
        <v>-2144</v>
      </c>
      <c r="AC24" s="60">
        <v>815</v>
      </c>
      <c r="AD24" s="60">
        <v>345</v>
      </c>
      <c r="AE24" s="60">
        <v>-179</v>
      </c>
      <c r="AF24" s="74">
        <v>-1163</v>
      </c>
      <c r="AG24" s="82"/>
      <c r="AH24" s="60">
        <v>-2385</v>
      </c>
      <c r="AI24" s="60">
        <v>1340</v>
      </c>
      <c r="AJ24" s="50"/>
      <c r="AK24" s="50"/>
      <c r="AL24" s="74"/>
      <c r="AM24" s="83"/>
      <c r="AN24" s="50"/>
      <c r="AO24" s="50"/>
      <c r="AP24" s="50"/>
      <c r="AQ24" s="50"/>
      <c r="AR24" s="74"/>
      <c r="AS24" s="83"/>
      <c r="AT24" s="75"/>
      <c r="AU24" s="83"/>
      <c r="AV24" s="75"/>
      <c r="AX24" s="75"/>
    </row>
    <row r="25" spans="1:50" s="54" customFormat="1" ht="15" customHeight="1" thickBot="1" x14ac:dyDescent="0.3">
      <c r="A25" s="84"/>
      <c r="B25" s="157" t="s">
        <v>798</v>
      </c>
      <c r="C25" s="26"/>
      <c r="D25" s="60">
        <v>-508</v>
      </c>
      <c r="E25" s="60">
        <v>1284</v>
      </c>
      <c r="F25" s="60">
        <v>3281</v>
      </c>
      <c r="G25" s="60">
        <v>3426</v>
      </c>
      <c r="H25" s="93">
        <v>7483</v>
      </c>
      <c r="I25" s="48"/>
      <c r="J25" s="60">
        <v>143</v>
      </c>
      <c r="K25" s="60">
        <v>1643</v>
      </c>
      <c r="L25" s="60">
        <v>2528</v>
      </c>
      <c r="M25" s="60">
        <v>3412</v>
      </c>
      <c r="N25" s="93">
        <v>7726</v>
      </c>
      <c r="O25" s="48"/>
      <c r="P25" s="60">
        <v>-2553</v>
      </c>
      <c r="Q25" s="60">
        <v>791</v>
      </c>
      <c r="R25" s="60">
        <v>2180</v>
      </c>
      <c r="S25" s="60">
        <v>4281</v>
      </c>
      <c r="T25" s="93">
        <v>4699</v>
      </c>
      <c r="U25" s="48"/>
      <c r="V25" s="60">
        <v>-1246</v>
      </c>
      <c r="W25" s="60">
        <v>1099</v>
      </c>
      <c r="X25" s="60">
        <v>3043</v>
      </c>
      <c r="Y25" s="60">
        <v>5693</v>
      </c>
      <c r="Z25" s="93">
        <v>8589</v>
      </c>
      <c r="AA25" s="81"/>
      <c r="AB25" s="60">
        <v>-908</v>
      </c>
      <c r="AC25" s="60">
        <v>1852</v>
      </c>
      <c r="AD25" s="60">
        <v>3195</v>
      </c>
      <c r="AE25" s="60">
        <v>5092</v>
      </c>
      <c r="AF25" s="93">
        <v>9231</v>
      </c>
      <c r="AG25" s="82"/>
      <c r="AH25" s="60">
        <v>-1132</v>
      </c>
      <c r="AI25" s="60">
        <v>1700</v>
      </c>
      <c r="AJ25" s="50"/>
      <c r="AK25" s="50"/>
      <c r="AL25" s="94"/>
      <c r="AM25" s="83"/>
      <c r="AN25" s="50"/>
      <c r="AO25" s="50"/>
      <c r="AP25" s="50"/>
      <c r="AQ25" s="50"/>
      <c r="AR25" s="94"/>
      <c r="AS25" s="83"/>
      <c r="AT25" s="94"/>
      <c r="AU25" s="83"/>
      <c r="AV25" s="94"/>
      <c r="AX25" s="94"/>
    </row>
    <row r="26" spans="1:50" s="54" customFormat="1" ht="15" customHeight="1" thickTop="1" x14ac:dyDescent="0.3">
      <c r="A26" s="43"/>
      <c r="B26" s="154"/>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x14ac:dyDescent="0.25">
      <c r="A27" s="44" t="s">
        <v>70</v>
      </c>
      <c r="B27" s="158" t="s">
        <v>799</v>
      </c>
      <c r="C27" s="115"/>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x14ac:dyDescent="0.3">
      <c r="A28" s="43"/>
      <c r="B28" s="159" t="s">
        <v>800</v>
      </c>
      <c r="C28" s="17"/>
      <c r="D28" s="799">
        <v>-271</v>
      </c>
      <c r="E28" s="799">
        <v>-169</v>
      </c>
      <c r="F28" s="799">
        <v>-151</v>
      </c>
      <c r="G28" s="799">
        <v>-225</v>
      </c>
      <c r="H28" s="798">
        <v>-816</v>
      </c>
      <c r="I28" s="48"/>
      <c r="J28" s="60">
        <v>-154</v>
      </c>
      <c r="K28" s="60">
        <v>-165</v>
      </c>
      <c r="L28" s="60">
        <v>-172</v>
      </c>
      <c r="M28" s="60">
        <v>-354</v>
      </c>
      <c r="N28" s="66">
        <v>-845</v>
      </c>
      <c r="O28" s="48"/>
      <c r="P28" s="799">
        <v>-193</v>
      </c>
      <c r="Q28" s="799">
        <v>-152</v>
      </c>
      <c r="R28" s="799">
        <v>-251</v>
      </c>
      <c r="S28" s="799">
        <v>-580</v>
      </c>
      <c r="T28" s="798">
        <v>-1176</v>
      </c>
      <c r="U28" s="48"/>
      <c r="V28" s="60">
        <v>-315</v>
      </c>
      <c r="W28" s="60">
        <v>-269</v>
      </c>
      <c r="X28" s="60">
        <v>-303</v>
      </c>
      <c r="Y28" s="60">
        <v>-613</v>
      </c>
      <c r="Z28" s="66">
        <v>-1500</v>
      </c>
      <c r="AA28" s="51"/>
      <c r="AB28" s="60">
        <v>-362</v>
      </c>
      <c r="AC28" s="60">
        <v>-357</v>
      </c>
      <c r="AD28" s="60">
        <v>-324</v>
      </c>
      <c r="AE28" s="60">
        <v>-557</v>
      </c>
      <c r="AF28" s="66">
        <v>-1600</v>
      </c>
      <c r="AG28" s="49"/>
      <c r="AH28" s="60">
        <v>-352</v>
      </c>
      <c r="AI28" s="60">
        <v>-203</v>
      </c>
      <c r="AJ28" s="50"/>
      <c r="AK28" s="50"/>
      <c r="AL28" s="68"/>
      <c r="AM28" s="72"/>
      <c r="AN28" s="50"/>
      <c r="AO28" s="50"/>
      <c r="AP28" s="50"/>
      <c r="AQ28" s="50"/>
      <c r="AR28" s="68"/>
      <c r="AS28" s="72"/>
      <c r="AT28" s="68"/>
      <c r="AU28" s="72"/>
      <c r="AV28" s="68"/>
      <c r="AW28" s="362"/>
      <c r="AX28" s="68"/>
    </row>
    <row r="29" spans="1:50" s="54" customFormat="1" ht="15" customHeight="1" x14ac:dyDescent="0.25">
      <c r="A29" s="113"/>
      <c r="B29" s="159" t="s">
        <v>801</v>
      </c>
      <c r="C29" s="115"/>
      <c r="D29" s="60">
        <v>426</v>
      </c>
      <c r="E29" s="60">
        <v>472</v>
      </c>
      <c r="F29" s="60">
        <v>412</v>
      </c>
      <c r="G29" s="60">
        <v>473</v>
      </c>
      <c r="H29" s="66">
        <v>1783</v>
      </c>
      <c r="I29" s="48"/>
      <c r="J29" s="60">
        <v>460</v>
      </c>
      <c r="K29" s="60">
        <v>551</v>
      </c>
      <c r="L29" s="60">
        <v>499</v>
      </c>
      <c r="M29" s="60">
        <v>584</v>
      </c>
      <c r="N29" s="66">
        <v>2094</v>
      </c>
      <c r="O29" s="48"/>
      <c r="P29" s="60">
        <v>479</v>
      </c>
      <c r="Q29" s="60">
        <v>556</v>
      </c>
      <c r="R29" s="60">
        <v>466</v>
      </c>
      <c r="S29" s="60">
        <v>592</v>
      </c>
      <c r="T29" s="66">
        <v>2093</v>
      </c>
      <c r="U29" s="48"/>
      <c r="V29" s="60">
        <v>497</v>
      </c>
      <c r="W29" s="60">
        <v>496</v>
      </c>
      <c r="X29" s="60">
        <v>452</v>
      </c>
      <c r="Y29" s="60">
        <v>536</v>
      </c>
      <c r="Z29" s="66">
        <v>1981</v>
      </c>
      <c r="AA29" s="81"/>
      <c r="AB29" s="60">
        <v>506</v>
      </c>
      <c r="AC29" s="60">
        <v>505</v>
      </c>
      <c r="AD29" s="60">
        <v>440</v>
      </c>
      <c r="AE29" s="60">
        <v>478</v>
      </c>
      <c r="AF29" s="66">
        <v>1929</v>
      </c>
      <c r="AG29" s="82"/>
      <c r="AH29" s="60">
        <v>433</v>
      </c>
      <c r="AI29" s="60">
        <v>568</v>
      </c>
      <c r="AJ29" s="50"/>
      <c r="AK29" s="50"/>
      <c r="AL29" s="68"/>
      <c r="AM29" s="83"/>
      <c r="AN29" s="50"/>
      <c r="AO29" s="50"/>
      <c r="AP29" s="50"/>
      <c r="AQ29" s="50"/>
      <c r="AR29" s="68"/>
      <c r="AS29" s="83"/>
      <c r="AT29" s="68"/>
      <c r="AU29" s="83"/>
      <c r="AV29" s="68"/>
      <c r="AX29" s="68"/>
    </row>
    <row r="30" spans="1:50" s="54" customFormat="1" ht="15" customHeight="1" x14ac:dyDescent="0.3">
      <c r="A30" s="43"/>
      <c r="B30" s="159" t="s">
        <v>802</v>
      </c>
      <c r="C30" s="17"/>
      <c r="D30" s="60">
        <v>0</v>
      </c>
      <c r="E30" s="60">
        <v>0</v>
      </c>
      <c r="F30" s="60">
        <v>0</v>
      </c>
      <c r="G30" s="60">
        <v>-66</v>
      </c>
      <c r="H30" s="66">
        <v>-66</v>
      </c>
      <c r="I30" s="48"/>
      <c r="J30" s="60">
        <v>-19</v>
      </c>
      <c r="K30" s="60">
        <v>0</v>
      </c>
      <c r="L30" s="60">
        <v>0</v>
      </c>
      <c r="M30" s="60">
        <v>-225</v>
      </c>
      <c r="N30" s="66">
        <v>-244</v>
      </c>
      <c r="O30" s="48"/>
      <c r="P30" s="60">
        <v>-24</v>
      </c>
      <c r="Q30" s="60">
        <v>-449</v>
      </c>
      <c r="R30" s="60">
        <v>-15</v>
      </c>
      <c r="S30" s="60">
        <v>-10</v>
      </c>
      <c r="T30" s="66">
        <v>-498</v>
      </c>
      <c r="U30" s="48"/>
      <c r="V30" s="60">
        <v>0</v>
      </c>
      <c r="W30" s="60">
        <v>-41</v>
      </c>
      <c r="X30" s="60">
        <v>-41</v>
      </c>
      <c r="Y30" s="60">
        <v>0</v>
      </c>
      <c r="Z30" s="66">
        <v>-82</v>
      </c>
      <c r="AA30" s="51"/>
      <c r="AB30" s="60">
        <v>0</v>
      </c>
      <c r="AC30" s="60">
        <v>0</v>
      </c>
      <c r="AD30" s="60">
        <v>0</v>
      </c>
      <c r="AE30" s="60">
        <v>0</v>
      </c>
      <c r="AF30" s="66">
        <v>0</v>
      </c>
      <c r="AG30" s="49"/>
      <c r="AH30" s="60">
        <v>0</v>
      </c>
      <c r="AI30" s="60">
        <v>0</v>
      </c>
      <c r="AJ30" s="50"/>
      <c r="AK30" s="50"/>
      <c r="AL30" s="68"/>
      <c r="AM30" s="72"/>
      <c r="AN30" s="50"/>
      <c r="AO30" s="50"/>
      <c r="AP30" s="50"/>
      <c r="AQ30" s="50"/>
      <c r="AR30" s="68"/>
      <c r="AS30" s="72"/>
      <c r="AT30" s="68"/>
      <c r="AU30" s="72"/>
      <c r="AV30" s="68"/>
      <c r="AX30" s="68"/>
    </row>
    <row r="31" spans="1:50" s="54" customFormat="1" ht="15" customHeight="1" x14ac:dyDescent="0.25">
      <c r="A31" s="113"/>
      <c r="B31" s="159" t="s">
        <v>803</v>
      </c>
      <c r="C31" s="115"/>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9"/>
      <c r="AN31" s="50"/>
      <c r="AO31" s="50"/>
      <c r="AP31" s="50"/>
      <c r="AQ31" s="50"/>
      <c r="AR31" s="68"/>
      <c r="AS31" s="89"/>
      <c r="AT31" s="68"/>
      <c r="AU31" s="89"/>
      <c r="AV31" s="68"/>
      <c r="AX31" s="68"/>
    </row>
    <row r="32" spans="1:50" s="54" customFormat="1" ht="15" customHeight="1" x14ac:dyDescent="0.25">
      <c r="A32" s="113"/>
      <c r="B32" s="159" t="s">
        <v>804</v>
      </c>
      <c r="C32" s="115"/>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9"/>
      <c r="AN32" s="50"/>
      <c r="AO32" s="50"/>
      <c r="AP32" s="50"/>
      <c r="AQ32" s="50"/>
      <c r="AR32" s="68"/>
      <c r="AS32" s="89"/>
      <c r="AT32" s="68"/>
      <c r="AU32" s="89"/>
      <c r="AV32" s="68"/>
      <c r="AX32" s="68"/>
    </row>
    <row r="33" spans="1:38" s="54" customFormat="1" ht="15" customHeight="1" x14ac:dyDescent="0.3">
      <c r="A33" s="113"/>
      <c r="B33" s="159" t="s">
        <v>805</v>
      </c>
      <c r="C33" s="17"/>
      <c r="D33" s="60">
        <v>-4303</v>
      </c>
      <c r="E33" s="60">
        <v>-5064</v>
      </c>
      <c r="F33" s="60">
        <v>-5082</v>
      </c>
      <c r="G33" s="60">
        <v>-5516</v>
      </c>
      <c r="H33" s="66">
        <v>-19965</v>
      </c>
      <c r="I33" s="48"/>
      <c r="J33" s="60">
        <v>-5300</v>
      </c>
      <c r="K33" s="60">
        <v>-6059</v>
      </c>
      <c r="L33" s="60">
        <v>-5802</v>
      </c>
      <c r="M33" s="60">
        <v>-6492</v>
      </c>
      <c r="N33" s="66">
        <v>-23653</v>
      </c>
      <c r="O33" s="48"/>
      <c r="P33" s="60">
        <v>-5603</v>
      </c>
      <c r="Q33" s="60">
        <v>-6368</v>
      </c>
      <c r="R33" s="60">
        <v>-6607</v>
      </c>
      <c r="S33" s="60">
        <v>-7722</v>
      </c>
      <c r="T33" s="66">
        <v>-26300</v>
      </c>
      <c r="U33" s="48"/>
      <c r="V33" s="60">
        <v>-6322</v>
      </c>
      <c r="W33" s="60">
        <v>-7129</v>
      </c>
      <c r="X33" s="60">
        <v>-7263</v>
      </c>
      <c r="Y33" s="60">
        <v>-8058</v>
      </c>
      <c r="Z33" s="66">
        <v>-28772</v>
      </c>
      <c r="AA33" s="51"/>
      <c r="AB33" s="60">
        <v>-6447</v>
      </c>
      <c r="AC33" s="60">
        <v>-7644</v>
      </c>
      <c r="AD33" s="60">
        <v>-7022</v>
      </c>
      <c r="AE33" s="60">
        <v>-7703</v>
      </c>
      <c r="AF33" s="66">
        <v>-28816</v>
      </c>
      <c r="AG33" s="49"/>
      <c r="AH33" s="60">
        <v>-6045</v>
      </c>
      <c r="AI33" s="60">
        <v>-6699</v>
      </c>
      <c r="AJ33" s="50"/>
      <c r="AK33" s="50"/>
      <c r="AL33" s="68"/>
    </row>
    <row r="34" spans="1:38" s="54" customFormat="1" ht="15" customHeight="1" x14ac:dyDescent="0.3">
      <c r="A34" s="43"/>
      <c r="B34" s="159" t="s">
        <v>806</v>
      </c>
      <c r="C34" s="17"/>
      <c r="D34" s="60">
        <v>5664</v>
      </c>
      <c r="E34" s="60">
        <v>3960</v>
      </c>
      <c r="F34" s="60">
        <v>3613</v>
      </c>
      <c r="G34" s="60">
        <v>4144</v>
      </c>
      <c r="H34" s="66">
        <v>17381</v>
      </c>
      <c r="I34" s="48"/>
      <c r="J34" s="60">
        <v>5999</v>
      </c>
      <c r="K34" s="60">
        <v>4368</v>
      </c>
      <c r="L34" s="60">
        <v>4113</v>
      </c>
      <c r="M34" s="60">
        <v>4479</v>
      </c>
      <c r="N34" s="66">
        <v>18959</v>
      </c>
      <c r="O34" s="48"/>
      <c r="P34" s="60">
        <v>6435</v>
      </c>
      <c r="Q34" s="60">
        <v>4755</v>
      </c>
      <c r="R34" s="60">
        <v>4584</v>
      </c>
      <c r="S34" s="60">
        <v>5133</v>
      </c>
      <c r="T34" s="66">
        <v>20907</v>
      </c>
      <c r="U34" s="48"/>
      <c r="V34" s="60">
        <v>7198</v>
      </c>
      <c r="W34" s="60">
        <v>5395</v>
      </c>
      <c r="X34" s="60">
        <v>4999</v>
      </c>
      <c r="Y34" s="60">
        <v>5459</v>
      </c>
      <c r="Z34" s="66">
        <v>23051</v>
      </c>
      <c r="AA34" s="51"/>
      <c r="AB34" s="60">
        <v>7752</v>
      </c>
      <c r="AC34" s="60">
        <v>5951</v>
      </c>
      <c r="AD34" s="60">
        <v>5440</v>
      </c>
      <c r="AE34" s="60">
        <v>6019</v>
      </c>
      <c r="AF34" s="66">
        <v>25162</v>
      </c>
      <c r="AG34" s="49"/>
      <c r="AH34" s="60">
        <v>8137</v>
      </c>
      <c r="AI34" s="60">
        <v>6211</v>
      </c>
      <c r="AJ34" s="50"/>
      <c r="AK34" s="50"/>
      <c r="AL34" s="68"/>
    </row>
    <row r="35" spans="1:38" s="54" customFormat="1" ht="15" customHeight="1" x14ac:dyDescent="0.25">
      <c r="B35" s="159" t="s">
        <v>807</v>
      </c>
      <c r="C35" s="115"/>
      <c r="D35" s="60">
        <v>27</v>
      </c>
      <c r="E35" s="60">
        <v>249</v>
      </c>
      <c r="F35" s="60">
        <v>15</v>
      </c>
      <c r="G35" s="60">
        <v>-87</v>
      </c>
      <c r="H35" s="74">
        <v>204</v>
      </c>
      <c r="I35" s="48"/>
      <c r="J35" s="60">
        <v>-113</v>
      </c>
      <c r="K35" s="60">
        <v>-190</v>
      </c>
      <c r="L35" s="60">
        <v>93</v>
      </c>
      <c r="M35" s="60">
        <v>-116</v>
      </c>
      <c r="N35" s="74">
        <v>-326</v>
      </c>
      <c r="O35" s="48"/>
      <c r="P35" s="60">
        <v>-55</v>
      </c>
      <c r="Q35" s="60">
        <v>-264</v>
      </c>
      <c r="R35" s="60">
        <v>-7</v>
      </c>
      <c r="S35" s="60">
        <v>-573</v>
      </c>
      <c r="T35" s="74">
        <v>-899</v>
      </c>
      <c r="U35" s="48"/>
      <c r="V35" s="60">
        <v>199</v>
      </c>
      <c r="W35" s="60">
        <v>26</v>
      </c>
      <c r="X35" s="60">
        <v>-174</v>
      </c>
      <c r="Y35" s="60">
        <v>-510</v>
      </c>
      <c r="Z35" s="74">
        <v>-459</v>
      </c>
      <c r="AA35" s="81"/>
      <c r="AB35" s="60">
        <v>222</v>
      </c>
      <c r="AC35" s="60">
        <v>-427</v>
      </c>
      <c r="AD35" s="60">
        <v>261</v>
      </c>
      <c r="AE35" s="60">
        <v>7</v>
      </c>
      <c r="AF35" s="74">
        <v>63</v>
      </c>
      <c r="AG35" s="82"/>
      <c r="AH35" s="60">
        <v>-318</v>
      </c>
      <c r="AI35" s="60">
        <v>301</v>
      </c>
      <c r="AJ35" s="50"/>
      <c r="AK35" s="50"/>
      <c r="AL35" s="75"/>
    </row>
    <row r="36" spans="1:38" s="54" customFormat="1" ht="15" customHeight="1" thickBot="1" x14ac:dyDescent="0.35">
      <c r="A36" s="113"/>
      <c r="B36" s="160" t="s">
        <v>808</v>
      </c>
      <c r="C36" s="17"/>
      <c r="D36" s="60">
        <v>1026</v>
      </c>
      <c r="E36" s="60">
        <v>-996</v>
      </c>
      <c r="F36" s="60">
        <v>-1547</v>
      </c>
      <c r="G36" s="60">
        <v>-1802</v>
      </c>
      <c r="H36" s="93">
        <v>-3319</v>
      </c>
      <c r="I36" s="48"/>
      <c r="J36" s="60">
        <v>579</v>
      </c>
      <c r="K36" s="60">
        <v>-1966</v>
      </c>
      <c r="L36" s="60">
        <v>-1715</v>
      </c>
      <c r="M36" s="60">
        <v>-2648</v>
      </c>
      <c r="N36" s="93">
        <v>-5750</v>
      </c>
      <c r="O36" s="48"/>
      <c r="P36" s="60">
        <v>648</v>
      </c>
      <c r="Q36" s="60">
        <v>-2536</v>
      </c>
      <c r="R36" s="60">
        <v>-2542</v>
      </c>
      <c r="S36" s="60">
        <v>-4055</v>
      </c>
      <c r="T36" s="93">
        <v>-8485</v>
      </c>
      <c r="U36" s="48"/>
      <c r="V36" s="60">
        <v>760</v>
      </c>
      <c r="W36" s="60">
        <v>-2254</v>
      </c>
      <c r="X36" s="60">
        <v>-3069</v>
      </c>
      <c r="Y36" s="60">
        <v>-4186</v>
      </c>
      <c r="Z36" s="93">
        <v>-8749</v>
      </c>
      <c r="AA36" s="51"/>
      <c r="AB36" s="60">
        <v>1217</v>
      </c>
      <c r="AC36" s="60">
        <v>-2887</v>
      </c>
      <c r="AD36" s="60">
        <v>-2001</v>
      </c>
      <c r="AE36" s="60">
        <v>-2793</v>
      </c>
      <c r="AF36" s="93">
        <v>-6464</v>
      </c>
      <c r="AG36" s="49"/>
      <c r="AH36" s="60">
        <v>1416</v>
      </c>
      <c r="AI36" s="60">
        <v>-637</v>
      </c>
      <c r="AJ36" s="50"/>
      <c r="AK36" s="50"/>
      <c r="AL36" s="94"/>
    </row>
    <row r="37" spans="1:38" s="54" customFormat="1" ht="15" customHeight="1" thickTop="1" x14ac:dyDescent="0.3">
      <c r="A37" s="43"/>
      <c r="B37" s="154"/>
      <c r="C37" s="115"/>
      <c r="D37" s="46"/>
      <c r="E37" s="46"/>
      <c r="F37" s="46"/>
      <c r="G37" s="46"/>
      <c r="H37" s="66"/>
      <c r="I37" s="48"/>
      <c r="J37" s="46"/>
      <c r="K37" s="46"/>
      <c r="L37" s="46"/>
      <c r="M37" s="46"/>
      <c r="N37" s="66"/>
      <c r="O37" s="48"/>
      <c r="P37" s="46"/>
      <c r="Q37" s="46"/>
      <c r="R37" s="46"/>
      <c r="S37" s="46"/>
      <c r="T37" s="66"/>
      <c r="U37" s="48"/>
      <c r="V37" s="46"/>
      <c r="W37" s="46"/>
      <c r="X37" s="46"/>
      <c r="Y37" s="46"/>
      <c r="Z37" s="66"/>
      <c r="AA37" s="86"/>
      <c r="AB37" s="46"/>
      <c r="AC37" s="46"/>
      <c r="AD37" s="46"/>
      <c r="AE37" s="46"/>
      <c r="AF37" s="66"/>
      <c r="AG37" s="82"/>
      <c r="AH37" s="46"/>
      <c r="AI37" s="46"/>
      <c r="AJ37" s="50"/>
      <c r="AK37" s="50"/>
      <c r="AL37" s="68"/>
    </row>
    <row r="38" spans="1:38" s="54" customFormat="1" ht="15" customHeight="1" x14ac:dyDescent="0.3">
      <c r="A38" s="44" t="s">
        <v>70</v>
      </c>
      <c r="B38" s="158" t="s">
        <v>809</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x14ac:dyDescent="0.25">
      <c r="A39" s="113"/>
      <c r="B39" s="159" t="s">
        <v>810</v>
      </c>
      <c r="C39" s="115"/>
      <c r="D39" s="60">
        <v>-242</v>
      </c>
      <c r="E39" s="60">
        <v>-239</v>
      </c>
      <c r="F39" s="60">
        <v>-237</v>
      </c>
      <c r="G39" s="60">
        <v>-238</v>
      </c>
      <c r="H39" s="66">
        <v>-956</v>
      </c>
      <c r="I39" s="48"/>
      <c r="J39" s="60">
        <v>-242</v>
      </c>
      <c r="K39" s="60">
        <v>-238</v>
      </c>
      <c r="L39" s="60">
        <v>-281</v>
      </c>
      <c r="M39" s="60">
        <v>-279</v>
      </c>
      <c r="N39" s="66">
        <v>-1040</v>
      </c>
      <c r="O39" s="48"/>
      <c r="P39" s="60">
        <v>-327</v>
      </c>
      <c r="Q39" s="60">
        <v>-322</v>
      </c>
      <c r="R39" s="60">
        <v>-322</v>
      </c>
      <c r="S39" s="60">
        <v>-342</v>
      </c>
      <c r="T39" s="66">
        <v>-1313</v>
      </c>
      <c r="U39" s="48"/>
      <c r="V39" s="60">
        <v>-341</v>
      </c>
      <c r="W39" s="60">
        <v>-356</v>
      </c>
      <c r="X39" s="60">
        <v>-368</v>
      </c>
      <c r="Y39" s="60">
        <v>-362</v>
      </c>
      <c r="Z39" s="66">
        <v>-1427</v>
      </c>
      <c r="AA39" s="51"/>
      <c r="AB39" s="60">
        <v>-386</v>
      </c>
      <c r="AC39" s="60">
        <v>-410</v>
      </c>
      <c r="AD39" s="60">
        <v>-406</v>
      </c>
      <c r="AE39" s="60">
        <v>-403</v>
      </c>
      <c r="AF39" s="66">
        <v>-1605</v>
      </c>
      <c r="AG39" s="49"/>
      <c r="AH39" s="60">
        <v>-403</v>
      </c>
      <c r="AI39" s="60">
        <v>-440</v>
      </c>
      <c r="AJ39" s="50"/>
      <c r="AK39" s="50"/>
      <c r="AL39" s="68"/>
    </row>
    <row r="40" spans="1:38" s="54" customFormat="1" ht="15" customHeight="1" x14ac:dyDescent="0.25">
      <c r="A40" s="113"/>
      <c r="B40" s="159" t="s">
        <v>811</v>
      </c>
      <c r="C40" s="115"/>
      <c r="D40" s="60">
        <v>-61</v>
      </c>
      <c r="E40" s="60">
        <v>-132</v>
      </c>
      <c r="F40" s="60">
        <v>41</v>
      </c>
      <c r="G40" s="60">
        <v>-267</v>
      </c>
      <c r="H40" s="66">
        <v>-419</v>
      </c>
      <c r="I40" s="48"/>
      <c r="J40" s="60">
        <v>-281</v>
      </c>
      <c r="K40" s="60">
        <v>-647</v>
      </c>
      <c r="L40" s="60">
        <v>-716</v>
      </c>
      <c r="M40" s="60">
        <v>-746</v>
      </c>
      <c r="N40" s="66">
        <v>-2390</v>
      </c>
      <c r="O40" s="48"/>
      <c r="P40" s="60">
        <v>-612</v>
      </c>
      <c r="Q40" s="60">
        <v>-564</v>
      </c>
      <c r="R40" s="60">
        <v>-1246</v>
      </c>
      <c r="S40" s="60">
        <v>-1112</v>
      </c>
      <c r="T40" s="66">
        <v>-3534</v>
      </c>
      <c r="U40" s="48"/>
      <c r="V40" s="60">
        <v>-1236</v>
      </c>
      <c r="W40" s="60">
        <v>-1280</v>
      </c>
      <c r="X40" s="60">
        <v>-2147</v>
      </c>
      <c r="Y40" s="60">
        <v>-2553</v>
      </c>
      <c r="Z40" s="66">
        <v>-7216</v>
      </c>
      <c r="AA40" s="51"/>
      <c r="AB40" s="60">
        <v>-1328</v>
      </c>
      <c r="AC40" s="60">
        <v>-1094</v>
      </c>
      <c r="AD40" s="60">
        <v>-805</v>
      </c>
      <c r="AE40" s="60">
        <v>-780</v>
      </c>
      <c r="AF40" s="66">
        <v>-4007</v>
      </c>
      <c r="AG40" s="49"/>
      <c r="AH40" s="60">
        <v>-441</v>
      </c>
      <c r="AI40" s="60">
        <v>-397</v>
      </c>
      <c r="AJ40" s="50"/>
      <c r="AK40" s="50"/>
      <c r="AL40" s="68"/>
    </row>
    <row r="41" spans="1:38" s="54" customFormat="1" ht="15" customHeight="1" x14ac:dyDescent="0.25">
      <c r="A41" s="113"/>
      <c r="B41" s="159" t="s">
        <v>812</v>
      </c>
      <c r="C41" s="115"/>
      <c r="D41" s="60">
        <v>-473</v>
      </c>
      <c r="E41" s="60">
        <v>1611</v>
      </c>
      <c r="F41" s="60">
        <v>-968</v>
      </c>
      <c r="G41" s="60">
        <v>-1530</v>
      </c>
      <c r="H41" s="66">
        <v>-1360</v>
      </c>
      <c r="I41" s="48"/>
      <c r="J41" s="60">
        <v>-695</v>
      </c>
      <c r="K41" s="60">
        <v>907</v>
      </c>
      <c r="L41" s="60">
        <v>717</v>
      </c>
      <c r="M41" s="60">
        <v>-111</v>
      </c>
      <c r="N41" s="66">
        <v>818</v>
      </c>
      <c r="O41" s="48"/>
      <c r="P41" s="60">
        <v>-1018</v>
      </c>
      <c r="Q41" s="60">
        <v>1830</v>
      </c>
      <c r="R41" s="60">
        <v>3455</v>
      </c>
      <c r="S41" s="60">
        <v>-415</v>
      </c>
      <c r="T41" s="66">
        <v>3852</v>
      </c>
      <c r="U41" s="48"/>
      <c r="V41" s="60">
        <v>697</v>
      </c>
      <c r="W41" s="60">
        <v>3295</v>
      </c>
      <c r="X41" s="60">
        <v>1048</v>
      </c>
      <c r="Y41" s="60">
        <v>-1032</v>
      </c>
      <c r="Z41" s="66">
        <v>4008</v>
      </c>
      <c r="AA41" s="51"/>
      <c r="AB41" s="60">
        <v>-2951</v>
      </c>
      <c r="AC41" s="60">
        <v>3009</v>
      </c>
      <c r="AD41" s="60">
        <v>-1050</v>
      </c>
      <c r="AE41" s="60">
        <v>-864</v>
      </c>
      <c r="AF41" s="66">
        <v>-1856</v>
      </c>
      <c r="AG41" s="49"/>
      <c r="AH41" s="60">
        <v>-1484</v>
      </c>
      <c r="AI41" s="60">
        <v>2035</v>
      </c>
      <c r="AJ41" s="50"/>
      <c r="AK41" s="50"/>
      <c r="AL41" s="68"/>
    </row>
    <row r="42" spans="1:38" s="54" customFormat="1" ht="15" customHeight="1" x14ac:dyDescent="0.3">
      <c r="A42" s="142"/>
      <c r="B42" s="159" t="s">
        <v>813</v>
      </c>
      <c r="C42" s="27"/>
      <c r="D42" s="60">
        <v>1702</v>
      </c>
      <c r="E42" s="60">
        <v>5573</v>
      </c>
      <c r="F42" s="60">
        <v>1056</v>
      </c>
      <c r="G42" s="60">
        <v>940</v>
      </c>
      <c r="H42" s="66">
        <v>9271</v>
      </c>
      <c r="I42" s="48"/>
      <c r="J42" s="60">
        <v>1757</v>
      </c>
      <c r="K42" s="60">
        <v>2210</v>
      </c>
      <c r="L42" s="60">
        <v>1910</v>
      </c>
      <c r="M42" s="60">
        <v>2845</v>
      </c>
      <c r="N42" s="66">
        <v>8722</v>
      </c>
      <c r="O42" s="48"/>
      <c r="P42" s="60">
        <v>2353</v>
      </c>
      <c r="Q42" s="60">
        <v>1945</v>
      </c>
      <c r="R42" s="60">
        <v>1983</v>
      </c>
      <c r="S42" s="60">
        <v>4077</v>
      </c>
      <c r="T42" s="66">
        <v>10358</v>
      </c>
      <c r="U42" s="48"/>
      <c r="V42" s="60">
        <v>2505</v>
      </c>
      <c r="W42" s="60">
        <v>2363</v>
      </c>
      <c r="X42" s="60">
        <v>5104</v>
      </c>
      <c r="Y42" s="60">
        <v>5457</v>
      </c>
      <c r="Z42" s="66">
        <v>15429</v>
      </c>
      <c r="AA42" s="51"/>
      <c r="AB42" s="60">
        <v>5287</v>
      </c>
      <c r="AC42" s="60">
        <v>4902</v>
      </c>
      <c r="AD42" s="60">
        <v>5323</v>
      </c>
      <c r="AE42" s="60">
        <v>2584</v>
      </c>
      <c r="AF42" s="66">
        <v>18096</v>
      </c>
      <c r="AG42" s="49"/>
      <c r="AH42" s="60">
        <v>3168</v>
      </c>
      <c r="AI42" s="60">
        <v>1988</v>
      </c>
      <c r="AJ42" s="50"/>
      <c r="AK42" s="50"/>
      <c r="AL42" s="68"/>
    </row>
    <row r="43" spans="1:38" s="54" customFormat="1" ht="15" customHeight="1" x14ac:dyDescent="0.25">
      <c r="A43" s="113"/>
      <c r="B43" s="159" t="s">
        <v>814</v>
      </c>
      <c r="C43" s="115"/>
      <c r="D43" s="60">
        <v>-1651</v>
      </c>
      <c r="E43" s="60">
        <v>-1664</v>
      </c>
      <c r="F43" s="60">
        <v>-2482</v>
      </c>
      <c r="G43" s="60">
        <v>-1586</v>
      </c>
      <c r="H43" s="66">
        <v>-7383</v>
      </c>
      <c r="I43" s="48"/>
      <c r="J43" s="60">
        <v>-1441</v>
      </c>
      <c r="K43" s="60">
        <v>-1716</v>
      </c>
      <c r="L43" s="60">
        <v>-2015</v>
      </c>
      <c r="M43" s="60">
        <v>-1918</v>
      </c>
      <c r="N43" s="66">
        <v>-7090</v>
      </c>
      <c r="O43" s="48"/>
      <c r="P43" s="60">
        <v>-1940</v>
      </c>
      <c r="Q43" s="60">
        <v>-1685</v>
      </c>
      <c r="R43" s="60">
        <v>-2953</v>
      </c>
      <c r="S43" s="60">
        <v>-1867</v>
      </c>
      <c r="T43" s="66">
        <v>-8445</v>
      </c>
      <c r="U43" s="48"/>
      <c r="V43" s="60">
        <v>-1925</v>
      </c>
      <c r="W43" s="60">
        <v>-1642</v>
      </c>
      <c r="X43" s="60">
        <v>-2295</v>
      </c>
      <c r="Y43" s="60">
        <v>-2051</v>
      </c>
      <c r="Z43" s="66">
        <v>-7913</v>
      </c>
      <c r="AA43" s="51"/>
      <c r="AB43" s="60">
        <v>-3237</v>
      </c>
      <c r="AC43" s="60">
        <v>-4902</v>
      </c>
      <c r="AD43" s="60">
        <v>-2653</v>
      </c>
      <c r="AE43" s="60">
        <v>-2440</v>
      </c>
      <c r="AF43" s="66">
        <v>-13232</v>
      </c>
      <c r="AG43" s="49"/>
      <c r="AH43" s="60">
        <v>-1753</v>
      </c>
      <c r="AI43" s="60">
        <v>-3084</v>
      </c>
      <c r="AJ43" s="50"/>
      <c r="AK43" s="50"/>
      <c r="AL43" s="68"/>
    </row>
    <row r="44" spans="1:38" s="54" customFormat="1" ht="15" customHeight="1" x14ac:dyDescent="0.25">
      <c r="A44" s="113"/>
      <c r="B44" s="159" t="s">
        <v>815</v>
      </c>
      <c r="C44" s="115"/>
      <c r="D44" s="60">
        <v>-38</v>
      </c>
      <c r="E44" s="60">
        <v>-43</v>
      </c>
      <c r="F44" s="60">
        <v>-29</v>
      </c>
      <c r="G44" s="60">
        <v>-23</v>
      </c>
      <c r="H44" s="74">
        <v>-133</v>
      </c>
      <c r="I44" s="48"/>
      <c r="J44" s="60">
        <v>-31</v>
      </c>
      <c r="K44" s="60">
        <v>-24</v>
      </c>
      <c r="L44" s="60">
        <v>-25</v>
      </c>
      <c r="M44" s="60">
        <v>-18</v>
      </c>
      <c r="N44" s="74">
        <v>-98</v>
      </c>
      <c r="O44" s="48"/>
      <c r="P44" s="60">
        <v>-33</v>
      </c>
      <c r="Q44" s="60">
        <v>-13</v>
      </c>
      <c r="R44" s="60">
        <v>-16</v>
      </c>
      <c r="S44" s="60">
        <v>-30</v>
      </c>
      <c r="T44" s="74">
        <v>-92</v>
      </c>
      <c r="U44" s="48"/>
      <c r="V44" s="60">
        <v>-39</v>
      </c>
      <c r="W44" s="60">
        <v>-24</v>
      </c>
      <c r="X44" s="60">
        <v>20</v>
      </c>
      <c r="Y44" s="60">
        <v>-30</v>
      </c>
      <c r="Z44" s="74">
        <v>-73</v>
      </c>
      <c r="AA44" s="81"/>
      <c r="AB44" s="60">
        <v>-30</v>
      </c>
      <c r="AC44" s="60">
        <v>-22</v>
      </c>
      <c r="AD44" s="60">
        <v>-36</v>
      </c>
      <c r="AE44" s="60">
        <v>-25</v>
      </c>
      <c r="AF44" s="74">
        <v>-113</v>
      </c>
      <c r="AG44" s="82"/>
      <c r="AH44" s="60">
        <v>-10</v>
      </c>
      <c r="AI44" s="60">
        <v>0</v>
      </c>
      <c r="AJ44" s="50"/>
      <c r="AK44" s="50"/>
      <c r="AL44" s="75"/>
    </row>
    <row r="45" spans="1:38" s="54" customFormat="1" ht="15" customHeight="1" thickBot="1" x14ac:dyDescent="0.35">
      <c r="A45" s="113"/>
      <c r="B45" s="160" t="s">
        <v>816</v>
      </c>
      <c r="C45" s="17"/>
      <c r="D45" s="60">
        <v>-763</v>
      </c>
      <c r="E45" s="60">
        <v>5106</v>
      </c>
      <c r="F45" s="60">
        <v>-2619</v>
      </c>
      <c r="G45" s="60">
        <v>-2704</v>
      </c>
      <c r="H45" s="93">
        <v>-980</v>
      </c>
      <c r="I45" s="48"/>
      <c r="J45" s="60">
        <v>-933</v>
      </c>
      <c r="K45" s="60">
        <v>492</v>
      </c>
      <c r="L45" s="60">
        <v>-410</v>
      </c>
      <c r="M45" s="60">
        <v>-227</v>
      </c>
      <c r="N45" s="93">
        <v>-1078</v>
      </c>
      <c r="O45" s="48"/>
      <c r="P45" s="60">
        <v>-1577</v>
      </c>
      <c r="Q45" s="60">
        <v>1191</v>
      </c>
      <c r="R45" s="60">
        <v>901</v>
      </c>
      <c r="S45" s="60">
        <v>311</v>
      </c>
      <c r="T45" s="93">
        <v>826</v>
      </c>
      <c r="U45" s="48"/>
      <c r="V45" s="60">
        <v>-339</v>
      </c>
      <c r="W45" s="60">
        <v>2356</v>
      </c>
      <c r="X45" s="60">
        <v>1362</v>
      </c>
      <c r="Y45" s="60">
        <v>-571</v>
      </c>
      <c r="Z45" s="93">
        <v>2808</v>
      </c>
      <c r="AA45" s="48"/>
      <c r="AB45" s="60">
        <v>-2645</v>
      </c>
      <c r="AC45" s="60">
        <v>1483</v>
      </c>
      <c r="AD45" s="60">
        <v>373</v>
      </c>
      <c r="AE45" s="60">
        <v>-1928</v>
      </c>
      <c r="AF45" s="93">
        <v>-2717</v>
      </c>
      <c r="AG45" s="95"/>
      <c r="AH45" s="60">
        <v>-923</v>
      </c>
      <c r="AI45" s="60">
        <v>102</v>
      </c>
      <c r="AJ45" s="50"/>
      <c r="AK45" s="50"/>
      <c r="AL45" s="94"/>
    </row>
    <row r="46" spans="1:38" s="54" customFormat="1" ht="15" customHeight="1" thickTop="1" x14ac:dyDescent="0.3">
      <c r="A46" s="113"/>
      <c r="B46" s="9"/>
      <c r="C46" s="115"/>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x14ac:dyDescent="0.3">
      <c r="A47" s="44" t="s">
        <v>70</v>
      </c>
      <c r="B47" s="158" t="s">
        <v>817</v>
      </c>
      <c r="C47" s="17"/>
      <c r="D47" s="60">
        <v>-1</v>
      </c>
      <c r="E47" s="60">
        <v>-101</v>
      </c>
      <c r="F47" s="60">
        <v>182</v>
      </c>
      <c r="G47" s="60">
        <v>-48</v>
      </c>
      <c r="H47" s="66">
        <v>32</v>
      </c>
      <c r="I47" s="48"/>
      <c r="J47" s="60">
        <v>103</v>
      </c>
      <c r="K47" s="60">
        <v>48</v>
      </c>
      <c r="L47" s="60">
        <v>-45</v>
      </c>
      <c r="M47" s="60">
        <v>-51</v>
      </c>
      <c r="N47" s="66">
        <v>55</v>
      </c>
      <c r="O47" s="48"/>
      <c r="P47" s="60">
        <v>-74</v>
      </c>
      <c r="Q47" s="60">
        <v>-36</v>
      </c>
      <c r="R47" s="60">
        <v>-33</v>
      </c>
      <c r="S47" s="60">
        <v>-81</v>
      </c>
      <c r="T47" s="66">
        <v>-224</v>
      </c>
      <c r="U47" s="48"/>
      <c r="V47" s="60">
        <v>62</v>
      </c>
      <c r="W47" s="60">
        <v>8</v>
      </c>
      <c r="X47" s="60">
        <v>55</v>
      </c>
      <c r="Y47" s="60">
        <v>-94</v>
      </c>
      <c r="Z47" s="66">
        <v>31</v>
      </c>
      <c r="AA47" s="48"/>
      <c r="AB47" s="60">
        <v>16</v>
      </c>
      <c r="AC47" s="60">
        <v>-21</v>
      </c>
      <c r="AD47" s="60">
        <v>-1</v>
      </c>
      <c r="AE47" s="60">
        <v>-31</v>
      </c>
      <c r="AF47" s="66">
        <v>-37</v>
      </c>
      <c r="AG47" s="95"/>
      <c r="AH47" s="60">
        <v>-87</v>
      </c>
      <c r="AI47" s="60">
        <v>107</v>
      </c>
      <c r="AJ47" s="50"/>
      <c r="AK47" s="50"/>
      <c r="AL47" s="68"/>
    </row>
    <row r="49" spans="1:35" s="54" customFormat="1" ht="15" customHeight="1" x14ac:dyDescent="0.3">
      <c r="A49" s="44" t="s">
        <v>70</v>
      </c>
      <c r="B49" s="158" t="s">
        <v>818</v>
      </c>
      <c r="C49" s="17"/>
      <c r="D49" s="60">
        <v>-246</v>
      </c>
      <c r="E49" s="60">
        <v>5293</v>
      </c>
      <c r="F49" s="60">
        <v>-703</v>
      </c>
      <c r="G49" s="60">
        <v>-1128</v>
      </c>
      <c r="H49" s="74">
        <v>3216</v>
      </c>
      <c r="I49" s="48"/>
      <c r="J49" s="60">
        <v>-108</v>
      </c>
      <c r="K49" s="60">
        <v>217</v>
      </c>
      <c r="L49" s="60">
        <v>358</v>
      </c>
      <c r="M49" s="60">
        <v>486</v>
      </c>
      <c r="N49" s="74">
        <v>953</v>
      </c>
      <c r="O49" s="48"/>
      <c r="P49" s="60">
        <v>-3556</v>
      </c>
      <c r="Q49" s="60">
        <v>-590</v>
      </c>
      <c r="R49" s="60">
        <v>506</v>
      </c>
      <c r="S49" s="60">
        <v>456</v>
      </c>
      <c r="T49" s="74">
        <v>-3184</v>
      </c>
      <c r="U49" s="48"/>
      <c r="V49" s="60">
        <v>-763</v>
      </c>
      <c r="W49" s="60">
        <v>1209</v>
      </c>
      <c r="X49" s="60">
        <v>1391</v>
      </c>
      <c r="Y49" s="60">
        <v>842</v>
      </c>
      <c r="Z49" s="74">
        <v>2679</v>
      </c>
      <c r="AA49" s="48"/>
      <c r="AB49" s="60">
        <v>-2320</v>
      </c>
      <c r="AC49" s="60">
        <v>427</v>
      </c>
      <c r="AD49" s="60">
        <v>1566</v>
      </c>
      <c r="AE49" s="60">
        <v>340</v>
      </c>
      <c r="AF49" s="74">
        <v>13</v>
      </c>
      <c r="AG49" s="95"/>
      <c r="AH49" s="60">
        <v>-726</v>
      </c>
      <c r="AI49" s="60">
        <v>1272</v>
      </c>
    </row>
    <row r="50" spans="1:35" s="54" customFormat="1" ht="15" customHeight="1" thickBot="1" x14ac:dyDescent="0.3">
      <c r="B50" s="158" t="s">
        <v>819</v>
      </c>
      <c r="C50" s="115"/>
      <c r="D50" s="60">
        <v>3602</v>
      </c>
      <c r="E50" s="60">
        <v>8900</v>
      </c>
      <c r="F50" s="60">
        <v>8190</v>
      </c>
      <c r="G50" s="60">
        <v>7066</v>
      </c>
      <c r="H50" s="93">
        <v>7066</v>
      </c>
      <c r="I50" s="48"/>
      <c r="J50" s="60">
        <v>6962</v>
      </c>
      <c r="K50" s="60">
        <v>7182</v>
      </c>
      <c r="L50" s="60">
        <v>7519</v>
      </c>
      <c r="M50" s="60">
        <v>8017</v>
      </c>
      <c r="N50" s="93">
        <v>8017</v>
      </c>
      <c r="O50" s="48"/>
      <c r="P50" s="60">
        <v>4472</v>
      </c>
      <c r="Q50" s="60">
        <v>3878</v>
      </c>
      <c r="R50" s="60">
        <v>4359</v>
      </c>
      <c r="S50" s="60">
        <v>4774</v>
      </c>
      <c r="T50" s="93">
        <v>4774</v>
      </c>
      <c r="U50" s="48"/>
      <c r="V50" s="60">
        <v>3976</v>
      </c>
      <c r="W50" s="60">
        <v>5267</v>
      </c>
      <c r="X50" s="60">
        <v>6576</v>
      </c>
      <c r="Y50" s="60">
        <v>7458</v>
      </c>
      <c r="Z50" s="93">
        <v>7458</v>
      </c>
      <c r="AA50" s="48"/>
      <c r="AB50" s="60">
        <v>5137</v>
      </c>
      <c r="AC50" s="60">
        <v>5553</v>
      </c>
      <c r="AD50" s="60">
        <v>7004</v>
      </c>
      <c r="AE50" s="60">
        <v>7324</v>
      </c>
      <c r="AF50" s="93">
        <v>7324</v>
      </c>
      <c r="AG50" s="95"/>
      <c r="AH50" s="60">
        <v>6601</v>
      </c>
      <c r="AI50" s="60">
        <v>7991</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topLeftCell="E50" zoomScale="79" zoomScaleNormal="100" workbookViewId="0">
      <selection activeCell="T73" sqref="T73"/>
    </sheetView>
  </sheetViews>
  <sheetFormatPr defaultColWidth="9" defaultRowHeight="14.25" customHeight="1" outlineLevelCol="1" x14ac:dyDescent="0.25"/>
  <cols>
    <col min="1" max="1" width="2.09765625" style="97" customWidth="1"/>
    <col min="2" max="2" width="50.59765625" style="97" customWidth="1"/>
    <col min="3" max="3" width="3.09765625" style="23" customWidth="1"/>
    <col min="4" max="7" width="9.59765625" style="97" customWidth="1" outlineLevel="1"/>
    <col min="8" max="8" width="11.59765625" style="97" customWidth="1"/>
    <col min="9" max="9" width="1.59765625" style="23" customWidth="1"/>
    <col min="10" max="13" width="9.59765625" style="97" customWidth="1" outlineLevel="1"/>
    <col min="14" max="14" width="11.59765625" style="97" customWidth="1"/>
    <col min="15" max="15" width="1.59765625" style="23" customWidth="1"/>
    <col min="16" max="19" width="9.59765625" style="97" customWidth="1" outlineLevel="1"/>
    <col min="20" max="20" width="11.59765625" style="97" customWidth="1"/>
    <col min="21" max="21" width="1.59765625" style="23" customWidth="1"/>
    <col min="22" max="25" width="9.59765625" style="97" customWidth="1" outlineLevel="1"/>
    <col min="26" max="26" width="11.59765625" style="97" customWidth="1"/>
    <col min="27" max="27" width="1.59765625" style="23" customWidth="1"/>
    <col min="28" max="31" width="9.59765625" style="97" customWidth="1" outlineLevel="1"/>
    <col min="32" max="32" width="11.59765625" style="97" customWidth="1"/>
    <col min="33" max="33" width="1.59765625" style="23" customWidth="1"/>
    <col min="34" max="37" width="9.59765625" style="97" customWidth="1" outlineLevel="1"/>
    <col min="38" max="38" width="11.59765625" style="97" customWidth="1"/>
    <col min="39" max="39" width="1.59765625" style="23" customWidth="1"/>
    <col min="40" max="43" width="9.59765625" style="97" customWidth="1" outlineLevel="1"/>
    <col min="44" max="44" width="11.59765625" style="97" customWidth="1"/>
    <col min="45" max="45" width="1.59765625" style="23" customWidth="1"/>
    <col min="46" max="46" width="11.59765625" style="97" customWidth="1"/>
    <col min="47" max="47" width="1.59765625" style="23" customWidth="1"/>
    <col min="48" max="48" width="11.59765625" style="105" customWidth="1"/>
    <col min="49" max="49" width="1.59765625" style="23" customWidth="1"/>
    <col min="50" max="50" width="11.59765625" style="97" customWidth="1"/>
    <col min="51" max="51" width="1.59765625" style="97" customWidth="1"/>
    <col min="52" max="16384" width="9" style="97"/>
  </cols>
  <sheetData>
    <row r="1" spans="1:50" s="581" customFormat="1" ht="15" customHeight="1" x14ac:dyDescent="0.25"/>
    <row r="2" spans="1:50" s="581" customFormat="1" ht="15" customHeight="1" x14ac:dyDescent="0.25"/>
    <row r="3" spans="1:50" s="581" customFormat="1" ht="15" customHeight="1" x14ac:dyDescent="0.25"/>
    <row r="4" spans="1:50" s="581" customFormat="1" ht="15" customHeight="1" x14ac:dyDescent="0.25"/>
    <row r="5" spans="1:50" s="288" customFormat="1" ht="4.3499999999999996" customHeight="1" x14ac:dyDescent="0.25">
      <c r="C5" s="36"/>
      <c r="I5" s="36"/>
      <c r="O5" s="36"/>
      <c r="U5" s="36"/>
      <c r="AA5" s="36"/>
      <c r="AG5" s="36"/>
      <c r="AM5" s="36"/>
      <c r="AS5" s="36"/>
      <c r="AU5" s="36"/>
      <c r="AV5" s="289"/>
      <c r="AW5" s="36"/>
    </row>
    <row r="7" spans="1:50" s="41" customFormat="1" ht="15" customHeight="1" x14ac:dyDescent="0.3">
      <c r="B7" s="161" t="s">
        <v>820</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row>
    <row r="8" spans="1:50" s="41" customFormat="1" ht="15" customHeight="1" x14ac:dyDescent="0.3">
      <c r="B8" s="164"/>
      <c r="C8" s="18"/>
      <c r="D8" s="813">
        <v>2020</v>
      </c>
      <c r="E8" s="813"/>
      <c r="F8" s="813"/>
      <c r="G8" s="813"/>
      <c r="H8" s="813"/>
      <c r="I8" s="169"/>
      <c r="J8" s="813">
        <f>D8+1</f>
        <v>2021</v>
      </c>
      <c r="K8" s="813"/>
      <c r="L8" s="813"/>
      <c r="M8" s="813"/>
      <c r="N8" s="813"/>
      <c r="O8" s="169"/>
      <c r="P8" s="813">
        <f>J8+1</f>
        <v>2022</v>
      </c>
      <c r="Q8" s="813"/>
      <c r="R8" s="813"/>
      <c r="S8" s="813"/>
      <c r="T8" s="813"/>
      <c r="U8" s="169"/>
      <c r="V8" s="813">
        <f>P8+1</f>
        <v>2023</v>
      </c>
      <c r="W8" s="813"/>
      <c r="X8" s="813"/>
      <c r="Y8" s="813"/>
      <c r="Z8" s="813"/>
      <c r="AA8" s="169"/>
      <c r="AB8" s="813">
        <f>V8+1</f>
        <v>2024</v>
      </c>
      <c r="AC8" s="813"/>
      <c r="AD8" s="813"/>
      <c r="AE8" s="813"/>
      <c r="AF8" s="813"/>
      <c r="AG8" s="169"/>
      <c r="AH8" s="812">
        <f>AB8+1</f>
        <v>2025</v>
      </c>
      <c r="AI8" s="812"/>
      <c r="AJ8" s="812"/>
      <c r="AK8" s="812"/>
      <c r="AL8" s="812"/>
      <c r="AM8" s="169"/>
      <c r="AN8" s="812">
        <f>AH8+1</f>
        <v>2026</v>
      </c>
      <c r="AO8" s="812"/>
      <c r="AP8" s="812"/>
      <c r="AQ8" s="812"/>
      <c r="AR8" s="812"/>
      <c r="AS8" s="171"/>
      <c r="AT8" s="166">
        <f>AN8+1</f>
        <v>2027</v>
      </c>
      <c r="AU8" s="167"/>
      <c r="AV8" s="166">
        <f>+AT8+1</f>
        <v>2028</v>
      </c>
      <c r="AW8" s="167"/>
      <c r="AX8" s="166">
        <f>+AV8+1</f>
        <v>2029</v>
      </c>
    </row>
    <row r="9" spans="1:50" s="41" customFormat="1" ht="14.25" customHeight="1" x14ac:dyDescent="0.3">
      <c r="B9" s="164"/>
      <c r="C9" s="18"/>
      <c r="D9" s="168" t="s">
        <v>36</v>
      </c>
      <c r="E9" s="168" t="s">
        <v>37</v>
      </c>
      <c r="F9" s="168" t="s">
        <v>38</v>
      </c>
      <c r="G9" s="168" t="s">
        <v>39</v>
      </c>
      <c r="H9" s="168" t="s">
        <v>40</v>
      </c>
      <c r="I9" s="18"/>
      <c r="J9" s="168" t="s">
        <v>36</v>
      </c>
      <c r="K9" s="168" t="s">
        <v>37</v>
      </c>
      <c r="L9" s="168" t="s">
        <v>38</v>
      </c>
      <c r="M9" s="168" t="s">
        <v>39</v>
      </c>
      <c r="N9" s="168" t="s">
        <v>40</v>
      </c>
      <c r="O9" s="165"/>
      <c r="P9" s="168" t="s">
        <v>36</v>
      </c>
      <c r="Q9" s="168" t="s">
        <v>37</v>
      </c>
      <c r="R9" s="168" t="s">
        <v>38</v>
      </c>
      <c r="S9" s="168" t="s">
        <v>39</v>
      </c>
      <c r="T9" s="168" t="s">
        <v>40</v>
      </c>
      <c r="U9" s="165"/>
      <c r="V9" s="168" t="s">
        <v>36</v>
      </c>
      <c r="W9" s="168" t="s">
        <v>37</v>
      </c>
      <c r="X9" s="168" t="s">
        <v>38</v>
      </c>
      <c r="Y9" s="168" t="s">
        <v>39</v>
      </c>
      <c r="Z9" s="168" t="s">
        <v>40</v>
      </c>
      <c r="AA9" s="165"/>
      <c r="AB9" s="168" t="s">
        <v>36</v>
      </c>
      <c r="AC9" s="168" t="s">
        <v>37</v>
      </c>
      <c r="AD9" s="168" t="s">
        <v>38</v>
      </c>
      <c r="AE9" s="168" t="s">
        <v>39</v>
      </c>
      <c r="AF9" s="168" t="s">
        <v>40</v>
      </c>
      <c r="AG9" s="165"/>
      <c r="AH9" s="168" t="s">
        <v>36</v>
      </c>
      <c r="AI9" s="168" t="s">
        <v>37</v>
      </c>
      <c r="AJ9" s="168" t="s">
        <v>38</v>
      </c>
      <c r="AK9" s="168" t="s">
        <v>39</v>
      </c>
      <c r="AL9" s="168" t="s">
        <v>40</v>
      </c>
      <c r="AM9" s="165"/>
      <c r="AN9" s="168" t="s">
        <v>36</v>
      </c>
      <c r="AO9" s="168" t="s">
        <v>37</v>
      </c>
      <c r="AP9" s="168" t="s">
        <v>38</v>
      </c>
      <c r="AQ9" s="168" t="s">
        <v>39</v>
      </c>
      <c r="AR9" s="168" t="s">
        <v>40</v>
      </c>
      <c r="AS9" s="165"/>
      <c r="AT9" s="168" t="s">
        <v>40</v>
      </c>
      <c r="AU9" s="165"/>
      <c r="AV9" s="168" t="s">
        <v>40</v>
      </c>
      <c r="AW9" s="165"/>
      <c r="AX9" s="168" t="s">
        <v>40</v>
      </c>
    </row>
    <row r="10" spans="1:50" s="41" customFormat="1" ht="4.3499999999999996" customHeight="1" x14ac:dyDescent="0.3">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s="41" customFormat="1" ht="4.3499999999999996" customHeight="1" x14ac:dyDescent="0.3">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4.25" customHeight="1" x14ac:dyDescent="0.25">
      <c r="A12" s="44" t="s">
        <v>70</v>
      </c>
      <c r="B12" s="65" t="s">
        <v>713</v>
      </c>
      <c r="D12" s="208"/>
      <c r="E12" s="208"/>
      <c r="F12" s="208"/>
      <c r="G12" s="208"/>
      <c r="H12" s="209"/>
      <c r="I12" s="210"/>
      <c r="J12" s="208"/>
      <c r="K12" s="208"/>
      <c r="L12" s="208"/>
      <c r="M12" s="208"/>
      <c r="N12" s="209"/>
      <c r="O12" s="209"/>
      <c r="P12" s="208"/>
      <c r="Q12" s="208"/>
      <c r="R12" s="208"/>
      <c r="S12" s="208"/>
      <c r="T12" s="209"/>
      <c r="U12" s="209"/>
      <c r="V12" s="208"/>
      <c r="W12" s="208"/>
      <c r="X12" s="208"/>
      <c r="Y12" s="208"/>
      <c r="Z12" s="209"/>
      <c r="AA12" s="209"/>
      <c r="AB12" s="208"/>
      <c r="AC12" s="208"/>
      <c r="AD12" s="208"/>
      <c r="AE12" s="208"/>
      <c r="AF12" s="209"/>
      <c r="AG12" s="211"/>
      <c r="AH12" s="208"/>
      <c r="AI12" s="208"/>
      <c r="AJ12" s="212"/>
      <c r="AK12" s="212"/>
      <c r="AL12" s="209"/>
      <c r="AM12" s="213"/>
      <c r="AN12" s="212"/>
      <c r="AO12" s="212"/>
      <c r="AP12" s="212"/>
      <c r="AQ12" s="212"/>
      <c r="AR12" s="209"/>
      <c r="AS12" s="213"/>
      <c r="AT12" s="214"/>
      <c r="AU12" s="215"/>
      <c r="AV12" s="214"/>
      <c r="AW12" s="215"/>
      <c r="AX12" s="214"/>
    </row>
    <row r="13" spans="1:50" ht="14.25" customHeight="1" x14ac:dyDescent="0.25">
      <c r="A13" s="55"/>
      <c r="B13" s="70" t="s">
        <v>714</v>
      </c>
      <c r="D13" s="208"/>
      <c r="E13" s="208"/>
      <c r="F13" s="208"/>
      <c r="G13" s="208"/>
      <c r="H13" s="209" t="str">
        <f>IF(ROUND(SUM(IS!D13:G13),1)=ROUND(IS!H13,1),"OK","ERROR")</f>
        <v>OK</v>
      </c>
      <c r="I13" s="210"/>
      <c r="J13" s="208"/>
      <c r="K13" s="208"/>
      <c r="L13" s="208"/>
      <c r="M13" s="208"/>
      <c r="N13" s="209" t="str">
        <f>IF(ROUND(SUM(IS!J13:M13),1)=ROUND(IS!N13,1),"OK","ERROR")</f>
        <v>OK</v>
      </c>
      <c r="O13" s="209"/>
      <c r="P13" s="208"/>
      <c r="Q13" s="208"/>
      <c r="R13" s="208"/>
      <c r="S13" s="208"/>
      <c r="T13" s="209" t="str">
        <f>IF(ROUND(SUM(IS!P13:S13),1)=ROUND(IS!T13,1),"OK","ERROR")</f>
        <v>OK</v>
      </c>
      <c r="U13" s="209"/>
      <c r="V13" s="208"/>
      <c r="W13" s="208"/>
      <c r="X13" s="208"/>
      <c r="Y13" s="208"/>
      <c r="Z13" s="209" t="str">
        <f>IF(ROUND(SUM(IS!V13:Y13),1)=ROUND(IS!Z13,1),"OK","ERROR")</f>
        <v>OK</v>
      </c>
      <c r="AA13" s="209"/>
      <c r="AB13" s="208"/>
      <c r="AC13" s="208"/>
      <c r="AD13" s="208"/>
      <c r="AE13" s="208"/>
      <c r="AF13" s="209" t="str">
        <f>IF(ROUND(SUM(IS!AB13:AE13),1)=ROUND(IS!AF13,1),"OK","ERROR")</f>
        <v>OK</v>
      </c>
      <c r="AG13" s="211"/>
      <c r="AH13" s="208"/>
      <c r="AI13" s="208"/>
      <c r="AJ13" s="212"/>
      <c r="AK13" s="212"/>
      <c r="AL13" s="209" t="str">
        <f>IF(ROUND(SUM(IS!AH13:AK13),1)=ROUND(IS!AL13,1),"OK","ERROR")</f>
        <v>OK</v>
      </c>
      <c r="AM13" s="213"/>
      <c r="AN13" s="212"/>
      <c r="AO13" s="212"/>
      <c r="AP13" s="212"/>
      <c r="AQ13" s="212"/>
      <c r="AR13" s="209" t="str">
        <f>IF(ROUND(SUM(IS!AN13:AQ13),1)=ROUND(IS!AR13,1),"OK","ERROR")</f>
        <v>OK</v>
      </c>
      <c r="AS13" s="213"/>
      <c r="AT13" s="209"/>
      <c r="AU13" s="215"/>
      <c r="AV13" s="209"/>
      <c r="AW13" s="215"/>
      <c r="AX13" s="209"/>
    </row>
    <row r="14" spans="1:50" ht="14.25" customHeight="1" x14ac:dyDescent="0.25">
      <c r="A14" s="55"/>
      <c r="B14" s="70" t="s">
        <v>715</v>
      </c>
      <c r="D14" s="208"/>
      <c r="E14" s="208"/>
      <c r="F14" s="208"/>
      <c r="G14" s="208"/>
      <c r="H14" s="209" t="str">
        <f>IF(ROUND(SUM(IS!D14:G14),1)=ROUND(IS!H14,1),"OK","ERROR")</f>
        <v>OK</v>
      </c>
      <c r="I14" s="210"/>
      <c r="J14" s="208"/>
      <c r="K14" s="208"/>
      <c r="L14" s="208"/>
      <c r="M14" s="208"/>
      <c r="N14" s="209" t="str">
        <f>IF(ROUND(SUM(IS!J14:M14),1)=ROUND(IS!N14,1),"OK","ERROR")</f>
        <v>OK</v>
      </c>
      <c r="O14" s="209"/>
      <c r="P14" s="208"/>
      <c r="Q14" s="208"/>
      <c r="R14" s="208"/>
      <c r="S14" s="208"/>
      <c r="T14" s="209" t="str">
        <f>IF(ROUND(SUM(IS!P14:S14),1)=ROUND(IS!T14,1),"OK","ERROR")</f>
        <v>OK</v>
      </c>
      <c r="U14" s="209"/>
      <c r="V14" s="208"/>
      <c r="W14" s="208"/>
      <c r="X14" s="208"/>
      <c r="Y14" s="208"/>
      <c r="Z14" s="209" t="str">
        <f>IF(ROUND(SUM(IS!V14:Y14),1)=ROUND(IS!Z14,1),"OK","ERROR")</f>
        <v>OK</v>
      </c>
      <c r="AA14" s="209"/>
      <c r="AB14" s="208"/>
      <c r="AC14" s="208"/>
      <c r="AD14" s="208"/>
      <c r="AE14" s="208"/>
      <c r="AF14" s="209" t="str">
        <f>IF(ROUND(SUM(IS!AB14:AE14),1)=ROUND(IS!AF14,1),"OK","ERROR")</f>
        <v>OK</v>
      </c>
      <c r="AG14" s="211"/>
      <c r="AH14" s="208"/>
      <c r="AI14" s="208"/>
      <c r="AJ14" s="212"/>
      <c r="AK14" s="212"/>
      <c r="AL14" s="209" t="str">
        <f>IF(ROUND(SUM(IS!AH14:AK14),1)=ROUND(IS!AL14,1),"OK","ERROR")</f>
        <v>OK</v>
      </c>
      <c r="AM14" s="213"/>
      <c r="AN14" s="212"/>
      <c r="AO14" s="212"/>
      <c r="AP14" s="212"/>
      <c r="AQ14" s="212"/>
      <c r="AR14" s="209" t="str">
        <f>IF(ROUND(SUM(IS!AN14:AQ14),1)=ROUND(IS!AR14,1),"OK","ERROR")</f>
        <v>OK</v>
      </c>
      <c r="AS14" s="213"/>
      <c r="AT14" s="209"/>
      <c r="AU14" s="215"/>
      <c r="AV14" s="209"/>
      <c r="AW14" s="215"/>
      <c r="AX14" s="209"/>
    </row>
    <row r="15" spans="1:50" ht="14.25" customHeight="1" x14ac:dyDescent="0.25">
      <c r="A15" s="55"/>
      <c r="B15" s="70" t="s">
        <v>716</v>
      </c>
      <c r="D15" s="208"/>
      <c r="E15" s="208"/>
      <c r="F15" s="208"/>
      <c r="G15" s="208"/>
      <c r="H15" s="209" t="str">
        <f>IF(ROUND(SUM(IS!D15:G15),1)=ROUND(IS!H15,1),"OK","ERROR")</f>
        <v>OK</v>
      </c>
      <c r="I15" s="210"/>
      <c r="J15" s="208"/>
      <c r="K15" s="208"/>
      <c r="L15" s="208"/>
      <c r="M15" s="208"/>
      <c r="N15" s="209" t="str">
        <f>IF(ROUND(SUM(IS!J15:M15),1)=ROUND(IS!N15,1),"OK","ERROR")</f>
        <v>OK</v>
      </c>
      <c r="O15" s="209"/>
      <c r="P15" s="208"/>
      <c r="Q15" s="208"/>
      <c r="R15" s="208"/>
      <c r="S15" s="208"/>
      <c r="T15" s="209" t="str">
        <f>IF(ROUND(SUM(IS!P15:S15),1)=ROUND(IS!T15,1),"OK","ERROR")</f>
        <v>OK</v>
      </c>
      <c r="U15" s="209"/>
      <c r="V15" s="208"/>
      <c r="W15" s="208"/>
      <c r="X15" s="208"/>
      <c r="Y15" s="208"/>
      <c r="Z15" s="209" t="str">
        <f>IF(ROUND(SUM(IS!V15:Y15),1)=ROUND(IS!Z15,1),"OK","ERROR")</f>
        <v>OK</v>
      </c>
      <c r="AA15" s="209"/>
      <c r="AB15" s="208"/>
      <c r="AC15" s="208"/>
      <c r="AD15" s="208"/>
      <c r="AE15" s="208"/>
      <c r="AF15" s="209" t="str">
        <f>IF(ROUND(SUM(IS!AB15:AE15),1)=ROUND(IS!AF15,1),"OK","ERROR")</f>
        <v>OK</v>
      </c>
      <c r="AG15" s="211"/>
      <c r="AH15" s="208"/>
      <c r="AI15" s="208"/>
      <c r="AJ15" s="212"/>
      <c r="AK15" s="212"/>
      <c r="AL15" s="209" t="str">
        <f>IF(ROUND(SUM(IS!AH15:AK15),1)=ROUND(IS!AL15,1),"OK","ERROR")</f>
        <v>OK</v>
      </c>
      <c r="AM15" s="213"/>
      <c r="AN15" s="212"/>
      <c r="AO15" s="212"/>
      <c r="AP15" s="212"/>
      <c r="AQ15" s="212"/>
      <c r="AR15" s="209" t="str">
        <f>IF(ROUND(SUM(IS!AN15:AQ15),1)=ROUND(IS!AR15,1),"OK","ERROR")</f>
        <v>OK</v>
      </c>
      <c r="AS15" s="213"/>
      <c r="AT15" s="209"/>
      <c r="AU15" s="215"/>
      <c r="AV15" s="209"/>
      <c r="AW15" s="215"/>
      <c r="AX15" s="209"/>
    </row>
    <row r="16" spans="1:50" ht="14.25" customHeight="1" x14ac:dyDescent="0.25">
      <c r="A16" s="55"/>
      <c r="B16" s="70" t="s">
        <v>717</v>
      </c>
      <c r="D16" s="208"/>
      <c r="E16" s="208"/>
      <c r="F16" s="208"/>
      <c r="G16" s="208"/>
      <c r="H16" s="216" t="str">
        <f>IF(ROUND(SUM(IS!D16:G16),1)=ROUND(IS!H16,1),"OK","ERROR")</f>
        <v>OK</v>
      </c>
      <c r="I16" s="210"/>
      <c r="J16" s="208"/>
      <c r="K16" s="208"/>
      <c r="L16" s="208"/>
      <c r="M16" s="208"/>
      <c r="N16" s="216" t="str">
        <f>IF(ROUND(SUM(IS!J16:M16),1)=ROUND(IS!N16,1),"OK","ERROR")</f>
        <v>OK</v>
      </c>
      <c r="O16" s="216"/>
      <c r="P16" s="208"/>
      <c r="Q16" s="208"/>
      <c r="R16" s="208"/>
      <c r="S16" s="208"/>
      <c r="T16" s="216" t="str">
        <f>IF(ROUND(SUM(IS!P16:S16),1)=ROUND(IS!T16,1),"OK","ERROR")</f>
        <v>OK</v>
      </c>
      <c r="U16" s="216"/>
      <c r="V16" s="208"/>
      <c r="W16" s="208"/>
      <c r="X16" s="208"/>
      <c r="Y16" s="208"/>
      <c r="Z16" s="216" t="str">
        <f>IF(ROUND(SUM(IS!V16:Y16),1)=ROUND(IS!Z16,1),"OK","ERROR")</f>
        <v>OK</v>
      </c>
      <c r="AA16" s="216"/>
      <c r="AB16" s="208"/>
      <c r="AC16" s="208"/>
      <c r="AD16" s="208"/>
      <c r="AE16" s="208"/>
      <c r="AF16" s="216" t="str">
        <f>IF(ROUND(SUM(IS!AB16:AE16),1)=ROUND(IS!AF16,1),"OK","ERROR")</f>
        <v>OK</v>
      </c>
      <c r="AG16" s="211"/>
      <c r="AH16" s="208"/>
      <c r="AI16" s="208"/>
      <c r="AJ16" s="212"/>
      <c r="AK16" s="212"/>
      <c r="AL16" s="216" t="str">
        <f>IF(ROUND(SUM(IS!AH16:AK16),1)=ROUND(IS!AL16,1),"OK","ERROR")</f>
        <v>OK</v>
      </c>
      <c r="AM16" s="213"/>
      <c r="AN16" s="212"/>
      <c r="AO16" s="212"/>
      <c r="AP16" s="212"/>
      <c r="AQ16" s="212"/>
      <c r="AR16" s="216" t="str">
        <f>IF(ROUND(SUM(IS!AN16:AQ16),1)=ROUND(IS!AR16,1),"OK","ERROR")</f>
        <v>OK</v>
      </c>
      <c r="AS16" s="213"/>
      <c r="AT16" s="216"/>
      <c r="AU16" s="215"/>
      <c r="AV16" s="216"/>
      <c r="AW16" s="215"/>
      <c r="AX16" s="216"/>
    </row>
    <row r="17" spans="1:44" ht="14.25" customHeight="1" x14ac:dyDescent="0.25">
      <c r="A17" s="55"/>
      <c r="B17" s="70" t="s">
        <v>718</v>
      </c>
      <c r="D17" s="208"/>
      <c r="E17" s="208"/>
      <c r="F17" s="208"/>
      <c r="G17" s="208"/>
      <c r="H17" s="216" t="str">
        <f>IF(ROUND(SUM(IS!D17:G17),1)=ROUND(IS!H17,1),"OK","ERROR")</f>
        <v>OK</v>
      </c>
      <c r="I17" s="210"/>
      <c r="J17" s="208"/>
      <c r="K17" s="208"/>
      <c r="L17" s="208"/>
      <c r="M17" s="208"/>
      <c r="N17" s="216" t="str">
        <f>IF(ROUND(SUM(IS!J17:M17),1)=ROUND(IS!N17,1),"OK","ERROR")</f>
        <v>OK</v>
      </c>
      <c r="O17" s="216"/>
      <c r="P17" s="208"/>
      <c r="Q17" s="208"/>
      <c r="R17" s="208"/>
      <c r="S17" s="208"/>
      <c r="T17" s="216" t="str">
        <f>IF(ROUND(SUM(IS!P17:S17),1)=ROUND(IS!T17,1),"OK","ERROR")</f>
        <v>OK</v>
      </c>
      <c r="U17" s="216"/>
      <c r="V17" s="208"/>
      <c r="W17" s="208"/>
      <c r="X17" s="208"/>
      <c r="Y17" s="208"/>
      <c r="Z17" s="216" t="str">
        <f>IF(ROUND(SUM(IS!V17:Y17),1)=ROUND(IS!Z17,1),"OK","ERROR")</f>
        <v>OK</v>
      </c>
      <c r="AA17" s="216"/>
      <c r="AB17" s="208"/>
      <c r="AC17" s="208"/>
      <c r="AD17" s="208"/>
      <c r="AE17" s="208"/>
      <c r="AF17" s="216" t="str">
        <f>IF(ROUND(SUM(IS!AB17:AE17),1)=ROUND(IS!AF17,1),"OK","ERROR")</f>
        <v>OK</v>
      </c>
      <c r="AG17" s="211"/>
      <c r="AH17" s="208"/>
      <c r="AI17" s="208"/>
      <c r="AJ17" s="212"/>
      <c r="AK17" s="212"/>
      <c r="AL17" s="216" t="str">
        <f>IF(ROUND(SUM(IS!AH17:AK17),1)=ROUND(IS!AL17,1),"OK","ERROR")</f>
        <v>OK</v>
      </c>
      <c r="AM17" s="213"/>
      <c r="AN17" s="212"/>
      <c r="AO17" s="212"/>
      <c r="AP17" s="212"/>
      <c r="AQ17" s="212"/>
      <c r="AR17" s="216" t="str">
        <f>IF(ROUND(SUM(IS!AN17:AQ17),1)=ROUND(IS!AR17,1),"OK","ERROR")</f>
        <v>OK</v>
      </c>
    </row>
    <row r="18" spans="1:44" ht="14.25" customHeight="1" x14ac:dyDescent="0.25">
      <c r="A18" s="55"/>
      <c r="B18" s="76" t="s">
        <v>55</v>
      </c>
      <c r="D18" s="217"/>
      <c r="E18" s="217"/>
      <c r="F18" s="217" t="s">
        <v>821</v>
      </c>
      <c r="G18" s="217"/>
      <c r="H18" s="218" t="str">
        <f>IF(ROUND(SUM(IS!D18:G18),1)=ROUND(IS!H18,1),"OK","ERROR")</f>
        <v>OK</v>
      </c>
      <c r="I18" s="210"/>
      <c r="J18" s="217"/>
      <c r="K18" s="217"/>
      <c r="L18" s="217"/>
      <c r="M18" s="217"/>
      <c r="N18" s="218" t="str">
        <f>IF(ROUND(SUM(IS!J18:M18),1)=ROUND(IS!N18,1),"OK","ERROR")</f>
        <v>OK</v>
      </c>
      <c r="O18" s="209"/>
      <c r="P18" s="217"/>
      <c r="Q18" s="217"/>
      <c r="R18" s="217"/>
      <c r="S18" s="217"/>
      <c r="T18" s="218" t="str">
        <f>IF(ROUND(SUM(IS!P18:S18),1)=ROUND(IS!T18,1),"OK","ERROR")</f>
        <v>OK</v>
      </c>
      <c r="U18" s="209"/>
      <c r="V18" s="217"/>
      <c r="W18" s="217"/>
      <c r="X18" s="217"/>
      <c r="Y18" s="217"/>
      <c r="Z18" s="218" t="str">
        <f>IF(ROUND(SUM(IS!V18:Y18),1)=ROUND(IS!Z18,1),"OK","ERROR")</f>
        <v>ERROR</v>
      </c>
      <c r="AA18" s="209"/>
      <c r="AB18" s="217"/>
      <c r="AC18" s="217"/>
      <c r="AD18" s="217"/>
      <c r="AE18" s="217"/>
      <c r="AF18" s="218" t="str">
        <f>IF(ROUND(SUM(IS!AB18:AE18),1)=ROUND(IS!AF18,1),"OK","ERROR")</f>
        <v>ERROR</v>
      </c>
      <c r="AG18" s="211"/>
      <c r="AH18" s="217"/>
      <c r="AI18" s="217"/>
      <c r="AJ18" s="219"/>
      <c r="AK18" s="219"/>
      <c r="AL18" s="218" t="str">
        <f>IF(ROUND(SUM(IS!AH18:AK18),1)=ROUND(IS!AL18,1),"OK","ERROR")</f>
        <v>ERROR</v>
      </c>
      <c r="AM18" s="213"/>
      <c r="AN18" s="219"/>
      <c r="AO18" s="219"/>
      <c r="AP18" s="219"/>
      <c r="AQ18" s="219"/>
      <c r="AR18" s="218" t="str">
        <f>IF(ROUND(SUM(IS!AN18:AQ18),1)=ROUND(IS!AR18,1),"OK","ERROR")</f>
        <v>OK</v>
      </c>
    </row>
    <row r="19" spans="1:44" ht="14.25" customHeight="1" x14ac:dyDescent="0.25">
      <c r="A19" s="55"/>
      <c r="B19" s="64"/>
      <c r="D19" s="208"/>
      <c r="E19" s="208"/>
      <c r="F19" s="208"/>
      <c r="G19" s="208"/>
      <c r="H19" s="209"/>
      <c r="I19" s="210"/>
      <c r="J19" s="208"/>
      <c r="K19" s="208"/>
      <c r="L19" s="208"/>
      <c r="M19" s="208"/>
      <c r="N19" s="209"/>
      <c r="O19" s="209"/>
      <c r="P19" s="208"/>
      <c r="Q19" s="208"/>
      <c r="R19" s="208"/>
      <c r="S19" s="208"/>
      <c r="T19" s="209"/>
      <c r="U19" s="209"/>
      <c r="V19" s="208"/>
      <c r="W19" s="208"/>
      <c r="X19" s="208"/>
      <c r="Y19" s="208"/>
      <c r="Z19" s="209"/>
      <c r="AA19" s="209"/>
      <c r="AB19" s="208"/>
      <c r="AC19" s="208"/>
      <c r="AD19" s="208"/>
      <c r="AE19" s="208"/>
      <c r="AF19" s="209"/>
      <c r="AG19" s="211"/>
      <c r="AH19" s="208"/>
      <c r="AI19" s="208"/>
      <c r="AJ19" s="212"/>
      <c r="AK19" s="212"/>
      <c r="AL19" s="209"/>
      <c r="AM19" s="213"/>
      <c r="AN19" s="212"/>
      <c r="AO19" s="212"/>
      <c r="AP19" s="212"/>
      <c r="AQ19" s="212"/>
      <c r="AR19" s="209"/>
    </row>
    <row r="20" spans="1:44" ht="14.25" customHeight="1" x14ac:dyDescent="0.25">
      <c r="A20" s="44" t="s">
        <v>70</v>
      </c>
      <c r="B20" s="65" t="s">
        <v>719</v>
      </c>
      <c r="D20" s="208"/>
      <c r="E20" s="208"/>
      <c r="F20" s="208"/>
      <c r="G20" s="208"/>
      <c r="H20" s="220"/>
      <c r="I20" s="210"/>
      <c r="J20" s="208"/>
      <c r="K20" s="208"/>
      <c r="L20" s="208"/>
      <c r="M20" s="208"/>
      <c r="N20" s="220"/>
      <c r="O20" s="210"/>
      <c r="P20" s="208"/>
      <c r="Q20" s="208"/>
      <c r="R20" s="208"/>
      <c r="S20" s="208"/>
      <c r="T20" s="220"/>
      <c r="U20" s="210"/>
      <c r="V20" s="208"/>
      <c r="W20" s="208"/>
      <c r="X20" s="208"/>
      <c r="Y20" s="208"/>
      <c r="Z20" s="220"/>
      <c r="AA20" s="213"/>
      <c r="AB20" s="208"/>
      <c r="AC20" s="208"/>
      <c r="AD20" s="208"/>
      <c r="AE20" s="208"/>
      <c r="AF20" s="220"/>
      <c r="AG20" s="211"/>
      <c r="AH20" s="208"/>
      <c r="AI20" s="208"/>
      <c r="AJ20" s="212"/>
      <c r="AK20" s="212"/>
      <c r="AL20" s="220"/>
      <c r="AM20" s="221"/>
      <c r="AN20" s="212"/>
      <c r="AO20" s="212"/>
      <c r="AP20" s="212"/>
      <c r="AQ20" s="212"/>
      <c r="AR20" s="220"/>
    </row>
    <row r="21" spans="1:44" ht="14.25" customHeight="1" x14ac:dyDescent="0.25">
      <c r="A21" s="55"/>
      <c r="B21" s="70" t="s">
        <v>720</v>
      </c>
      <c r="D21" s="217"/>
      <c r="E21" s="217"/>
      <c r="F21" s="217"/>
      <c r="G21" s="217"/>
      <c r="H21" s="220" t="str">
        <f>IF(ROUND(SUM(IS!D21:G21),1)=ROUND(IS!H21,1),"OK","ERROR")</f>
        <v>ERROR</v>
      </c>
      <c r="I21" s="210"/>
      <c r="J21" s="217"/>
      <c r="K21" s="217"/>
      <c r="L21" s="217"/>
      <c r="M21" s="217"/>
      <c r="N21" s="220" t="str">
        <f>IF(ROUND(SUM(IS!J21:M21),1)=ROUND(IS!N21,1),"OK","ERROR")</f>
        <v>OK</v>
      </c>
      <c r="O21" s="210"/>
      <c r="P21" s="217"/>
      <c r="Q21" s="217"/>
      <c r="R21" s="217"/>
      <c r="S21" s="217"/>
      <c r="T21" s="220" t="str">
        <f>IF(ROUND(SUM(IS!P21:S21),1)=ROUND(IS!T21,1),"OK","ERROR")</f>
        <v>OK</v>
      </c>
      <c r="U21" s="210"/>
      <c r="V21" s="217"/>
      <c r="W21" s="217"/>
      <c r="X21" s="217"/>
      <c r="Y21" s="217"/>
      <c r="Z21" s="220" t="str">
        <f>IF(ROUND(SUM(IS!V21:Y21),1)=ROUND(IS!Z21,1),"OK","ERROR")</f>
        <v>OK</v>
      </c>
      <c r="AA21" s="213"/>
      <c r="AB21" s="217"/>
      <c r="AC21" s="217"/>
      <c r="AD21" s="217"/>
      <c r="AE21" s="217"/>
      <c r="AF21" s="220" t="str">
        <f>IF(ROUND(SUM(IS!AB21:AE21),1)=ROUND(IS!AF21,1),"OK","ERROR")</f>
        <v>ERROR</v>
      </c>
      <c r="AG21" s="211"/>
      <c r="AH21" s="217"/>
      <c r="AI21" s="217"/>
      <c r="AJ21" s="212"/>
      <c r="AK21" s="212"/>
      <c r="AL21" s="220" t="str">
        <f>IF(ROUND(SUM(IS!AH21:AK21),1)=ROUND(IS!AL21,1),"OK","ERROR")</f>
        <v>ERROR</v>
      </c>
      <c r="AM21" s="224"/>
      <c r="AN21" s="212"/>
      <c r="AO21" s="212"/>
      <c r="AP21" s="212"/>
      <c r="AQ21" s="212"/>
      <c r="AR21" s="220" t="str">
        <f>IF(ROUND(SUM(IS!AN21:AQ21),1)=ROUND(IS!AR21,1),"OK","ERROR")</f>
        <v>OK</v>
      </c>
    </row>
    <row r="22" spans="1:44" ht="14.25" customHeight="1" x14ac:dyDescent="0.25">
      <c r="A22" s="73"/>
      <c r="B22" s="70" t="s">
        <v>721</v>
      </c>
      <c r="D22" s="217"/>
      <c r="E22" s="208"/>
      <c r="F22" s="208"/>
      <c r="G22" s="208"/>
      <c r="H22" s="226" t="str">
        <f>IF(ROUND(SUM(IS!D22:G22),1)=ROUND(IS!H22,1),"OK","ERROR")</f>
        <v>OK</v>
      </c>
      <c r="I22" s="210"/>
      <c r="J22" s="217"/>
      <c r="K22" s="217"/>
      <c r="L22" s="217"/>
      <c r="M22" s="217"/>
      <c r="N22" s="226" t="str">
        <f>IF(ROUND(SUM(IS!J22:M22),1)=ROUND(IS!N22,1),"OK","ERROR")</f>
        <v>OK</v>
      </c>
      <c r="O22" s="210"/>
      <c r="P22" s="217"/>
      <c r="Q22" s="217"/>
      <c r="R22" s="217"/>
      <c r="S22" s="217"/>
      <c r="T22" s="226" t="str">
        <f>IF(ROUND(SUM(IS!P22:S22),1)=ROUND(IS!T22,1),"OK","ERROR")</f>
        <v>OK</v>
      </c>
      <c r="U22" s="210"/>
      <c r="V22" s="217"/>
      <c r="W22" s="217"/>
      <c r="X22" s="217"/>
      <c r="Y22" s="217"/>
      <c r="Z22" s="226" t="str">
        <f>IF(ROUND(SUM(IS!V22:Y22),1)=ROUND(IS!Z22,1),"OK","ERROR")</f>
        <v>OK</v>
      </c>
      <c r="AA22" s="213"/>
      <c r="AB22" s="217"/>
      <c r="AC22" s="217"/>
      <c r="AD22" s="217"/>
      <c r="AE22" s="217"/>
      <c r="AF22" s="226" t="str">
        <f>IF(ROUND(SUM(IS!AB22:AE22),1)=ROUND(IS!AF22,1),"OK","ERROR")</f>
        <v>OK</v>
      </c>
      <c r="AG22" s="211"/>
      <c r="AH22" s="217"/>
      <c r="AI22" s="217"/>
      <c r="AJ22" s="212"/>
      <c r="AK22" s="212"/>
      <c r="AL22" s="226" t="str">
        <f>IF(ROUND(SUM(IS!AH22:AK22),1)=ROUND(IS!AL22,1),"OK","ERROR")</f>
        <v>OK</v>
      </c>
      <c r="AM22" s="224"/>
      <c r="AN22" s="212"/>
      <c r="AO22" s="212"/>
      <c r="AP22" s="212"/>
      <c r="AQ22" s="212"/>
      <c r="AR22" s="226" t="str">
        <f>IF(ROUND(SUM(IS!AN22:AQ22),1)=ROUND(IS!AR22,1),"OK","ERROR")</f>
        <v>OK</v>
      </c>
    </row>
    <row r="23" spans="1:44" ht="14.25" customHeight="1" x14ac:dyDescent="0.25">
      <c r="A23" s="55"/>
      <c r="B23" s="76" t="s">
        <v>722</v>
      </c>
      <c r="D23" s="208"/>
      <c r="E23" s="208"/>
      <c r="F23" s="208"/>
      <c r="G23" s="208"/>
      <c r="H23" s="227" t="str">
        <f>IF(ROUND(SUM(IS!D23:G23),1)=ROUND(IS!H23,1),"OK","ERROR")</f>
        <v>ERROR</v>
      </c>
      <c r="I23" s="210"/>
      <c r="J23" s="208"/>
      <c r="K23" s="208"/>
      <c r="L23" s="208"/>
      <c r="M23" s="208"/>
      <c r="N23" s="227" t="str">
        <f>IF(ROUND(SUM(IS!J23:M23),1)=ROUND(IS!N23,1),"OK","ERROR")</f>
        <v>OK</v>
      </c>
      <c r="O23" s="210"/>
      <c r="P23" s="208"/>
      <c r="Q23" s="208"/>
      <c r="R23" s="208"/>
      <c r="S23" s="208"/>
      <c r="T23" s="227" t="str">
        <f>IF(ROUND(SUM(IS!P23:S23),1)=ROUND(IS!T23,1),"OK","ERROR")</f>
        <v>OK</v>
      </c>
      <c r="U23" s="210"/>
      <c r="V23" s="208"/>
      <c r="W23" s="208"/>
      <c r="X23" s="208"/>
      <c r="Y23" s="208"/>
      <c r="Z23" s="227" t="str">
        <f>IF(ROUND(SUM(IS!V23:Y23),1)=ROUND(IS!Z23,1),"OK","ERROR")</f>
        <v>OK</v>
      </c>
      <c r="AA23" s="213"/>
      <c r="AB23" s="208"/>
      <c r="AC23" s="208"/>
      <c r="AD23" s="208"/>
      <c r="AE23" s="208"/>
      <c r="AF23" s="227" t="str">
        <f>IF(ROUND(SUM(IS!AB23:AE23),1)=ROUND(IS!AF23,1),"OK","ERROR")</f>
        <v>ERROR</v>
      </c>
      <c r="AG23" s="211"/>
      <c r="AH23" s="208"/>
      <c r="AI23" s="208"/>
      <c r="AJ23" s="212"/>
      <c r="AK23" s="212"/>
      <c r="AL23" s="227" t="str">
        <f>IF(ROUND(SUM(IS!AH23:AK23),1)=ROUND(IS!AL23,1),"OK","ERROR")</f>
        <v>ERROR</v>
      </c>
      <c r="AM23" s="224"/>
      <c r="AN23" s="212"/>
      <c r="AO23" s="212"/>
      <c r="AP23" s="212"/>
      <c r="AQ23" s="212"/>
      <c r="AR23" s="227" t="str">
        <f>IF(ROUND(SUM(IS!AN23:AQ23),1)=ROUND(IS!AR23,1),"OK","ERROR")</f>
        <v>OK</v>
      </c>
    </row>
    <row r="24" spans="1:44" ht="14.25" customHeight="1" x14ac:dyDescent="0.25">
      <c r="A24" s="73"/>
      <c r="B24" s="79" t="s">
        <v>282</v>
      </c>
      <c r="D24" s="208"/>
      <c r="E24" s="208"/>
      <c r="F24" s="208"/>
      <c r="G24" s="208"/>
      <c r="H24" s="227" t="str">
        <f>IF(ROUND(SUM(IS!D24:G24),1)=ROUND(IS!H24,1),"OK","ERROR")</f>
        <v>ERROR</v>
      </c>
      <c r="I24" s="210"/>
      <c r="J24" s="208"/>
      <c r="K24" s="208"/>
      <c r="L24" s="208"/>
      <c r="M24" s="208"/>
      <c r="N24" s="227" t="str">
        <f>IF(ROUND(SUM(IS!J24:M24),1)=ROUND(IS!N24,1),"OK","ERROR")</f>
        <v>OK</v>
      </c>
      <c r="O24" s="210"/>
      <c r="P24" s="208"/>
      <c r="Q24" s="208"/>
      <c r="R24" s="208"/>
      <c r="S24" s="208"/>
      <c r="T24" s="227" t="str">
        <f>IF(ROUND(SUM(IS!P24:S24),1)=ROUND(IS!T24,1),"OK","ERROR")</f>
        <v>OK</v>
      </c>
      <c r="U24" s="210"/>
      <c r="V24" s="208"/>
      <c r="W24" s="208"/>
      <c r="X24" s="208"/>
      <c r="Y24" s="208"/>
      <c r="Z24" s="227" t="str">
        <f>IF(ROUND(SUM(IS!V24:Y24),1)=ROUND(IS!Z24,1),"OK","ERROR")</f>
        <v>ERROR</v>
      </c>
      <c r="AA24" s="213"/>
      <c r="AB24" s="208"/>
      <c r="AC24" s="208"/>
      <c r="AD24" s="208"/>
      <c r="AE24" s="208"/>
      <c r="AF24" s="227" t="str">
        <f>IF(ROUND(SUM(IS!AB24:AE24),1)=ROUND(IS!AF24,1),"OK","ERROR")</f>
        <v>ERROR</v>
      </c>
      <c r="AG24" s="211"/>
      <c r="AH24" s="208"/>
      <c r="AI24" s="208"/>
      <c r="AJ24" s="212"/>
      <c r="AK24" s="212"/>
      <c r="AL24" s="227" t="str">
        <f>IF(ROUND(SUM(IS!AH24:AK24),1)=ROUND(IS!AL24,1),"OK","ERROR")</f>
        <v>ERROR</v>
      </c>
      <c r="AM24" s="224"/>
      <c r="AN24" s="212"/>
      <c r="AO24" s="212"/>
      <c r="AP24" s="212"/>
      <c r="AQ24" s="212"/>
      <c r="AR24" s="227" t="str">
        <f>IF(ROUND(SUM(IS!AN24:AQ24),1)=ROUND(IS!AR24,1),"OK","ERROR")</f>
        <v>OK</v>
      </c>
    </row>
    <row r="25" spans="1:44" ht="14.25" customHeight="1" x14ac:dyDescent="0.25">
      <c r="A25" s="55"/>
      <c r="B25" s="80"/>
      <c r="D25" s="208"/>
      <c r="E25" s="208"/>
      <c r="F25" s="208"/>
      <c r="G25" s="208"/>
      <c r="H25" s="220"/>
      <c r="I25" s="210"/>
      <c r="J25" s="208"/>
      <c r="K25" s="208"/>
      <c r="L25" s="208"/>
      <c r="M25" s="208"/>
      <c r="N25" s="220"/>
      <c r="O25" s="210"/>
      <c r="P25" s="208"/>
      <c r="Q25" s="208"/>
      <c r="R25" s="208"/>
      <c r="S25" s="208"/>
      <c r="T25" s="220"/>
      <c r="U25" s="210"/>
      <c r="V25" s="208"/>
      <c r="W25" s="208"/>
      <c r="X25" s="208"/>
      <c r="Y25" s="208"/>
      <c r="Z25" s="220"/>
      <c r="AA25" s="213"/>
      <c r="AB25" s="208"/>
      <c r="AC25" s="208"/>
      <c r="AD25" s="208"/>
      <c r="AE25" s="208"/>
      <c r="AF25" s="220"/>
      <c r="AG25" s="211"/>
      <c r="AH25" s="208"/>
      <c r="AI25" s="208"/>
      <c r="AJ25" s="212"/>
      <c r="AK25" s="212"/>
      <c r="AL25" s="220"/>
      <c r="AM25" s="224"/>
      <c r="AN25" s="212"/>
      <c r="AO25" s="212"/>
      <c r="AP25" s="212"/>
      <c r="AQ25" s="212"/>
      <c r="AR25" s="220"/>
    </row>
    <row r="26" spans="1:44" ht="14.25" customHeight="1" x14ac:dyDescent="0.25">
      <c r="A26" s="44" t="s">
        <v>70</v>
      </c>
      <c r="B26" s="65" t="s">
        <v>723</v>
      </c>
      <c r="D26" s="208"/>
      <c r="E26" s="208"/>
      <c r="F26" s="208"/>
      <c r="G26" s="208"/>
      <c r="H26" s="220"/>
      <c r="I26" s="210"/>
      <c r="J26" s="208"/>
      <c r="K26" s="208"/>
      <c r="L26" s="208"/>
      <c r="M26" s="208"/>
      <c r="N26" s="220"/>
      <c r="O26" s="210"/>
      <c r="P26" s="208"/>
      <c r="Q26" s="208"/>
      <c r="R26" s="208"/>
      <c r="S26" s="208"/>
      <c r="T26" s="220"/>
      <c r="U26" s="210"/>
      <c r="V26" s="208"/>
      <c r="W26" s="208"/>
      <c r="X26" s="208"/>
      <c r="Y26" s="208"/>
      <c r="Z26" s="220"/>
      <c r="AA26" s="228"/>
      <c r="AB26" s="208"/>
      <c r="AC26" s="208"/>
      <c r="AD26" s="208"/>
      <c r="AE26" s="208"/>
      <c r="AF26" s="220"/>
      <c r="AG26" s="229"/>
      <c r="AH26" s="208"/>
      <c r="AI26" s="208"/>
      <c r="AJ26" s="212"/>
      <c r="AK26" s="212"/>
      <c r="AL26" s="220"/>
      <c r="AM26" s="228"/>
      <c r="AN26" s="212"/>
      <c r="AO26" s="212"/>
      <c r="AP26" s="212"/>
      <c r="AQ26" s="212"/>
      <c r="AR26" s="220"/>
    </row>
    <row r="27" spans="1:44" ht="14.25" customHeight="1" x14ac:dyDescent="0.25">
      <c r="A27" s="84"/>
      <c r="B27" s="70" t="s">
        <v>724</v>
      </c>
      <c r="D27" s="208"/>
      <c r="E27" s="208"/>
      <c r="F27" s="208"/>
      <c r="G27" s="208"/>
      <c r="H27" s="220" t="str">
        <f>IF(ROUND(SUM(IS!D27:G27),1)=ROUND(IS!H27,1),"OK","ERROR")</f>
        <v>ERROR</v>
      </c>
      <c r="I27" s="210"/>
      <c r="J27" s="208"/>
      <c r="K27" s="208"/>
      <c r="L27" s="208"/>
      <c r="M27" s="208"/>
      <c r="N27" s="220" t="str">
        <f>IF(ROUND(SUM(IS!J27:M27),1)=ROUND(IS!N27,1),"OK","ERROR")</f>
        <v>OK</v>
      </c>
      <c r="O27" s="210"/>
      <c r="P27" s="208"/>
      <c r="Q27" s="208"/>
      <c r="R27" s="208"/>
      <c r="S27" s="208"/>
      <c r="T27" s="220" t="str">
        <f>IF(ROUND(SUM(IS!P27:S27),1)=ROUND(IS!T27,1),"OK","ERROR")</f>
        <v>OK</v>
      </c>
      <c r="U27" s="210"/>
      <c r="V27" s="208"/>
      <c r="W27" s="208"/>
      <c r="X27" s="208"/>
      <c r="Y27" s="208"/>
      <c r="Z27" s="220" t="str">
        <f>IF(ROUND(SUM(IS!V27:Y27),1)=ROUND(IS!Z27,1),"OK","ERROR")</f>
        <v>OK</v>
      </c>
      <c r="AA27" s="228"/>
      <c r="AB27" s="208"/>
      <c r="AC27" s="208"/>
      <c r="AD27" s="208"/>
      <c r="AE27" s="208"/>
      <c r="AF27" s="220" t="str">
        <f>IF(ROUND(SUM(IS!AB27:AE27),1)=ROUND(IS!AF27,1),"OK","ERROR")</f>
        <v>ERROR</v>
      </c>
      <c r="AG27" s="229"/>
      <c r="AH27" s="208"/>
      <c r="AI27" s="208"/>
      <c r="AJ27" s="212"/>
      <c r="AK27" s="212"/>
      <c r="AL27" s="220" t="str">
        <f>IF(ROUND(SUM(IS!AH27:AK27),1)=ROUND(IS!AL27,1),"OK","ERROR")</f>
        <v>ERROR</v>
      </c>
      <c r="AM27" s="228"/>
      <c r="AN27" s="212"/>
      <c r="AO27" s="212"/>
      <c r="AP27" s="212"/>
      <c r="AQ27" s="212"/>
      <c r="AR27" s="220" t="str">
        <f>IF(ROUND(SUM(IS!AN27:AQ27),1)=ROUND(IS!AR27,1),"OK","ERROR")</f>
        <v>OK</v>
      </c>
    </row>
    <row r="28" spans="1:44" ht="14.25" customHeight="1" x14ac:dyDescent="0.25">
      <c r="A28" s="55"/>
      <c r="B28" s="70" t="s">
        <v>725</v>
      </c>
      <c r="D28" s="208"/>
      <c r="E28" s="208"/>
      <c r="F28" s="208"/>
      <c r="G28" s="208"/>
      <c r="H28" s="220" t="str">
        <f>IF(ROUND(SUM(IS!D28:G28),1)=ROUND(IS!H28,1),"OK","ERROR")</f>
        <v>OK</v>
      </c>
      <c r="I28" s="210"/>
      <c r="J28" s="208"/>
      <c r="K28" s="208"/>
      <c r="L28" s="208"/>
      <c r="M28" s="208"/>
      <c r="N28" s="220" t="str">
        <f>IF(ROUND(SUM(IS!J28:M28),1)=ROUND(IS!N28,1),"OK","ERROR")</f>
        <v>OK</v>
      </c>
      <c r="O28" s="210"/>
      <c r="P28" s="208"/>
      <c r="Q28" s="208"/>
      <c r="R28" s="208"/>
      <c r="S28" s="208"/>
      <c r="T28" s="220" t="str">
        <f>IF(ROUND(SUM(IS!P28:S28),1)=ROUND(IS!T28,1),"OK","ERROR")</f>
        <v>OK</v>
      </c>
      <c r="U28" s="210"/>
      <c r="V28" s="208"/>
      <c r="W28" s="208"/>
      <c r="X28" s="208"/>
      <c r="Y28" s="208"/>
      <c r="Z28" s="220" t="str">
        <f>IF(ROUND(SUM(IS!V28:Y28),1)=ROUND(IS!Z28,1),"OK","ERROR")</f>
        <v>OK</v>
      </c>
      <c r="AA28" s="213"/>
      <c r="AB28" s="208"/>
      <c r="AC28" s="208"/>
      <c r="AD28" s="208"/>
      <c r="AE28" s="208"/>
      <c r="AF28" s="220" t="str">
        <f>IF(ROUND(SUM(IS!AB28:AE28),1)=ROUND(IS!AF28,1),"OK","ERROR")</f>
        <v>OK</v>
      </c>
      <c r="AG28" s="211"/>
      <c r="AH28" s="208"/>
      <c r="AI28" s="208"/>
      <c r="AJ28" s="212"/>
      <c r="AK28" s="212"/>
      <c r="AL28" s="220" t="str">
        <f>IF(ROUND(SUM(IS!AH28:AK28),1)=ROUND(IS!AL28,1),"OK","ERROR")</f>
        <v>OK</v>
      </c>
      <c r="AM28" s="224"/>
      <c r="AN28" s="212"/>
      <c r="AO28" s="212"/>
      <c r="AP28" s="212"/>
      <c r="AQ28" s="212"/>
      <c r="AR28" s="220" t="str">
        <f>IF(ROUND(SUM(IS!AN28:AQ28),1)=ROUND(IS!AR28,1),"OK","ERROR")</f>
        <v>OK</v>
      </c>
    </row>
    <row r="29" spans="1:44" ht="14.25" customHeight="1" x14ac:dyDescent="0.25">
      <c r="A29" s="73"/>
      <c r="B29" s="70" t="s">
        <v>726</v>
      </c>
      <c r="D29" s="208"/>
      <c r="E29" s="208"/>
      <c r="F29" s="208"/>
      <c r="G29" s="208"/>
      <c r="H29" s="220" t="str">
        <f>IF(ROUND(SUM(IS!D29:G29),1)=ROUND(IS!H29,1),"OK","ERROR")</f>
        <v>ERROR</v>
      </c>
      <c r="I29" s="210"/>
      <c r="J29" s="208"/>
      <c r="K29" s="208"/>
      <c r="L29" s="208"/>
      <c r="M29" s="208"/>
      <c r="N29" s="220" t="str">
        <f>IF(ROUND(SUM(IS!J29:M29),1)=ROUND(IS!N29,1),"OK","ERROR")</f>
        <v>OK</v>
      </c>
      <c r="O29" s="210"/>
      <c r="P29" s="208"/>
      <c r="Q29" s="208"/>
      <c r="R29" s="208"/>
      <c r="S29" s="208"/>
      <c r="T29" s="220" t="str">
        <f>IF(ROUND(SUM(IS!P29:S29),1)=ROUND(IS!T29,1),"OK","ERROR")</f>
        <v>OK</v>
      </c>
      <c r="U29" s="210"/>
      <c r="V29" s="208"/>
      <c r="W29" s="208"/>
      <c r="X29" s="208"/>
      <c r="Y29" s="208"/>
      <c r="Z29" s="220" t="str">
        <f>IF(ROUND(SUM(IS!V29:Y29),1)=ROUND(IS!Z29,1),"OK","ERROR")</f>
        <v>ERROR</v>
      </c>
      <c r="AA29" s="228"/>
      <c r="AB29" s="208"/>
      <c r="AC29" s="208"/>
      <c r="AD29" s="208"/>
      <c r="AE29" s="208"/>
      <c r="AF29" s="220" t="str">
        <f>IF(ROUND(SUM(IS!AB29:AE29),1)=ROUND(IS!AF29,1),"OK","ERROR")</f>
        <v>ERROR</v>
      </c>
      <c r="AG29" s="229"/>
      <c r="AH29" s="208"/>
      <c r="AI29" s="208"/>
      <c r="AJ29" s="212"/>
      <c r="AK29" s="212"/>
      <c r="AL29" s="220" t="str">
        <f>IF(ROUND(SUM(IS!AH29:AK29),1)=ROUND(IS!AL29,1),"OK","ERROR")</f>
        <v>ERROR</v>
      </c>
      <c r="AM29" s="228"/>
      <c r="AN29" s="212"/>
      <c r="AO29" s="212"/>
      <c r="AP29" s="212"/>
      <c r="AQ29" s="212"/>
      <c r="AR29" s="220" t="str">
        <f>IF(ROUND(SUM(IS!AN29:AQ29),1)=ROUND(IS!AR29,1),"OK","ERROR")</f>
        <v>OK</v>
      </c>
    </row>
    <row r="30" spans="1:44" ht="14.25" customHeight="1" x14ac:dyDescent="0.25">
      <c r="A30" s="55"/>
      <c r="B30" s="70" t="s">
        <v>727</v>
      </c>
      <c r="D30" s="208"/>
      <c r="E30" s="208"/>
      <c r="F30" s="208"/>
      <c r="G30" s="208"/>
      <c r="H30" s="226" t="str">
        <f>IF(ROUND(SUM(IS!D30:G30),1)=ROUND(IS!H30,1),"OK","ERROR")</f>
        <v>ERROR</v>
      </c>
      <c r="I30" s="210"/>
      <c r="J30" s="208"/>
      <c r="K30" s="208"/>
      <c r="L30" s="208"/>
      <c r="M30" s="208"/>
      <c r="N30" s="226" t="str">
        <f>IF(ROUND(SUM(IS!J30:M30),1)=ROUND(IS!N30,1),"OK","ERROR")</f>
        <v>ERROR</v>
      </c>
      <c r="O30" s="210"/>
      <c r="P30" s="208"/>
      <c r="Q30" s="208"/>
      <c r="R30" s="208"/>
      <c r="S30" s="208"/>
      <c r="T30" s="226" t="str">
        <f>IF(ROUND(SUM(IS!P30:S30),1)=ROUND(IS!T30,1),"OK","ERROR")</f>
        <v>ERROR</v>
      </c>
      <c r="U30" s="210"/>
      <c r="V30" s="208"/>
      <c r="W30" s="208"/>
      <c r="X30" s="208"/>
      <c r="Y30" s="208"/>
      <c r="Z30" s="226" t="str">
        <f>IF(ROUND(SUM(IS!V30:Y30),1)=ROUND(IS!Z30,1),"OK","ERROR")</f>
        <v>ERROR</v>
      </c>
      <c r="AA30" s="213"/>
      <c r="AB30" s="208"/>
      <c r="AC30" s="208"/>
      <c r="AD30" s="208"/>
      <c r="AE30" s="208"/>
      <c r="AF30" s="226" t="str">
        <f>IF(ROUND(SUM(IS!AB30:AE30),1)=ROUND(IS!AF30,1),"OK","ERROR")</f>
        <v>ERROR</v>
      </c>
      <c r="AG30" s="211"/>
      <c r="AH30" s="208"/>
      <c r="AI30" s="208"/>
      <c r="AJ30" s="212"/>
      <c r="AK30" s="212"/>
      <c r="AL30" s="226" t="str">
        <f>IF(ROUND(SUM(IS!AH30:AK30),1)=ROUND(IS!AL30,1),"OK","ERROR")</f>
        <v>ERROR</v>
      </c>
      <c r="AM30" s="224"/>
      <c r="AN30" s="212"/>
      <c r="AO30" s="212"/>
      <c r="AP30" s="212"/>
      <c r="AQ30" s="212"/>
      <c r="AR30" s="226" t="str">
        <f>IF(ROUND(SUM(IS!AN30:AQ30),1)=ROUND(IS!AR30,1),"OK","ERROR")</f>
        <v>OK</v>
      </c>
    </row>
    <row r="31" spans="1:44" ht="14.25" customHeight="1" x14ac:dyDescent="0.25">
      <c r="A31" s="73"/>
      <c r="B31" s="76" t="s">
        <v>728</v>
      </c>
      <c r="D31" s="208"/>
      <c r="E31" s="208"/>
      <c r="F31" s="208"/>
      <c r="G31" s="208"/>
      <c r="H31" s="231" t="str">
        <f>IF(ROUND(SUM(IS!D31:G31),1)=ROUND(IS!H31,1),"OK","ERROR")</f>
        <v>ERROR</v>
      </c>
      <c r="I31" s="210"/>
      <c r="J31" s="208"/>
      <c r="K31" s="208"/>
      <c r="L31" s="208"/>
      <c r="M31" s="208"/>
      <c r="N31" s="231" t="str">
        <f>IF(ROUND(SUM(IS!J31:M31),1)=ROUND(IS!N31,1),"OK","ERROR")</f>
        <v>ERROR</v>
      </c>
      <c r="O31" s="210"/>
      <c r="P31" s="208"/>
      <c r="Q31" s="208"/>
      <c r="R31" s="208"/>
      <c r="S31" s="208"/>
      <c r="T31" s="231" t="str">
        <f>IF(ROUND(SUM(IS!P31:S31),1)=ROUND(IS!T31,1),"OK","ERROR")</f>
        <v>ERROR</v>
      </c>
      <c r="U31" s="210"/>
      <c r="V31" s="208"/>
      <c r="W31" s="208"/>
      <c r="X31" s="208"/>
      <c r="Y31" s="208"/>
      <c r="Z31" s="231" t="str">
        <f>IF(ROUND(SUM(IS!V31:Y31),1)=ROUND(IS!Z31,1),"OK","ERROR")</f>
        <v>ERROR</v>
      </c>
      <c r="AA31" s="228"/>
      <c r="AB31" s="208"/>
      <c r="AC31" s="208"/>
      <c r="AD31" s="208"/>
      <c r="AE31" s="208"/>
      <c r="AF31" s="231" t="str">
        <f>IF(ROUND(SUM(IS!AB31:AE31),1)=ROUND(IS!AF31,1),"OK","ERROR")</f>
        <v>ERROR</v>
      </c>
      <c r="AG31" s="229"/>
      <c r="AH31" s="208"/>
      <c r="AI31" s="208"/>
      <c r="AJ31" s="212"/>
      <c r="AK31" s="212"/>
      <c r="AL31" s="231" t="str">
        <f>IF(ROUND(SUM(IS!AH31:AK31),1)=ROUND(IS!AL31,1),"OK","ERROR")</f>
        <v>ERROR</v>
      </c>
      <c r="AM31" s="228"/>
      <c r="AN31" s="212"/>
      <c r="AO31" s="212"/>
      <c r="AP31" s="212"/>
      <c r="AQ31" s="212"/>
      <c r="AR31" s="231" t="str">
        <f>IF(ROUND(SUM(IS!AN31:AQ31),1)=ROUND(IS!AR31,1),"OK","ERROR")</f>
        <v>OK</v>
      </c>
    </row>
    <row r="32" spans="1:44" ht="14.25" customHeight="1" x14ac:dyDescent="0.25">
      <c r="A32" s="73"/>
      <c r="B32" s="76" t="s">
        <v>729</v>
      </c>
      <c r="D32" s="208"/>
      <c r="E32" s="208"/>
      <c r="F32" s="208"/>
      <c r="G32" s="208"/>
      <c r="H32" s="226" t="str">
        <f>IF(ROUND(SUM(IS!D32:G32),1)=ROUND(IS!H32,1),"OK","ERROR")</f>
        <v>OK</v>
      </c>
      <c r="I32" s="210"/>
      <c r="J32" s="208"/>
      <c r="K32" s="208"/>
      <c r="L32" s="208"/>
      <c r="M32" s="208"/>
      <c r="N32" s="226" t="str">
        <f>IF(ROUND(SUM(IS!J32:M32),1)=ROUND(IS!N32,1),"OK","ERROR")</f>
        <v>OK</v>
      </c>
      <c r="O32" s="210"/>
      <c r="P32" s="208"/>
      <c r="Q32" s="208"/>
      <c r="R32" s="208"/>
      <c r="S32" s="208"/>
      <c r="T32" s="226" t="str">
        <f>IF(ROUND(SUM(IS!P32:S32),1)=ROUND(IS!T32,1),"OK","ERROR")</f>
        <v>OK</v>
      </c>
      <c r="U32" s="210"/>
      <c r="V32" s="208"/>
      <c r="W32" s="208"/>
      <c r="X32" s="208"/>
      <c r="Y32" s="208"/>
      <c r="Z32" s="226" t="str">
        <f>IF(ROUND(SUM(IS!V32:Y32),1)=ROUND(IS!Z32,1),"OK","ERROR")</f>
        <v>OK</v>
      </c>
      <c r="AA32" s="232"/>
      <c r="AB32" s="208"/>
      <c r="AC32" s="208"/>
      <c r="AD32" s="208"/>
      <c r="AE32" s="208"/>
      <c r="AF32" s="226" t="str">
        <f>IF(ROUND(SUM(IS!AB32:AE32),1)=ROUND(IS!AF32,1),"OK","ERROR")</f>
        <v>OK</v>
      </c>
      <c r="AG32" s="229"/>
      <c r="AH32" s="208"/>
      <c r="AI32" s="208"/>
      <c r="AJ32" s="212"/>
      <c r="AK32" s="212"/>
      <c r="AL32" s="226" t="str">
        <f>IF(ROUND(SUM(IS!AH32:AK32),1)=ROUND(IS!AL32,1),"OK","ERROR")</f>
        <v>OK</v>
      </c>
      <c r="AM32" s="232"/>
      <c r="AN32" s="212"/>
      <c r="AO32" s="212"/>
      <c r="AP32" s="212"/>
      <c r="AQ32" s="212"/>
      <c r="AR32" s="226" t="str">
        <f>IF(ROUND(SUM(IS!AN32:AQ32),1)=ROUND(IS!AR32,1),"OK","ERROR")</f>
        <v>OK</v>
      </c>
    </row>
    <row r="33" spans="1:44" ht="14.25" customHeight="1" x14ac:dyDescent="0.25">
      <c r="A33" s="55"/>
      <c r="B33" s="79" t="s">
        <v>730</v>
      </c>
      <c r="D33" s="208"/>
      <c r="E33" s="208"/>
      <c r="F33" s="208"/>
      <c r="G33" s="208"/>
      <c r="H33" s="226" t="str">
        <f>IF(ROUND(SUM(IS!D33:G33),1)=ROUND(IS!H33,1),"OK","ERROR")</f>
        <v>ERROR</v>
      </c>
      <c r="I33" s="210"/>
      <c r="J33" s="208"/>
      <c r="K33" s="208"/>
      <c r="L33" s="208"/>
      <c r="M33" s="208"/>
      <c r="N33" s="226" t="str">
        <f>IF(ROUND(SUM(IS!J33:M33),1)=ROUND(IS!N33,1),"OK","ERROR")</f>
        <v>ERROR</v>
      </c>
      <c r="O33" s="210"/>
      <c r="P33" s="208"/>
      <c r="Q33" s="208"/>
      <c r="R33" s="208"/>
      <c r="S33" s="208"/>
      <c r="T33" s="226" t="str">
        <f>IF(ROUND(SUM(IS!P33:S33),1)=ROUND(IS!T33,1),"OK","ERROR")</f>
        <v>ERROR</v>
      </c>
      <c r="U33" s="210"/>
      <c r="V33" s="208"/>
      <c r="W33" s="208"/>
      <c r="X33" s="208"/>
      <c r="Y33" s="208"/>
      <c r="Z33" s="226" t="str">
        <f>IF(ROUND(SUM(IS!V33:Y33),1)=ROUND(IS!Z33,1),"OK","ERROR")</f>
        <v>OK</v>
      </c>
      <c r="AA33" s="213"/>
      <c r="AB33" s="208"/>
      <c r="AC33" s="208"/>
      <c r="AD33" s="208"/>
      <c r="AE33" s="208"/>
      <c r="AF33" s="226" t="str">
        <f>IF(ROUND(SUM(IS!AB33:AE33),1)=ROUND(IS!AF33,1),"OK","ERROR")</f>
        <v>ERROR</v>
      </c>
      <c r="AG33" s="211"/>
      <c r="AH33" s="208"/>
      <c r="AI33" s="208"/>
      <c r="AJ33" s="212"/>
      <c r="AK33" s="212"/>
      <c r="AL33" s="226" t="str">
        <f>IF(ROUND(SUM(IS!AH33:AK33),1)=ROUND(IS!AL33,1),"OK","ERROR")</f>
        <v>ERROR</v>
      </c>
      <c r="AM33" s="224"/>
      <c r="AN33" s="212"/>
      <c r="AO33" s="212"/>
      <c r="AP33" s="212"/>
      <c r="AQ33" s="212"/>
      <c r="AR33" s="226" t="str">
        <f>IF(ROUND(SUM(IS!AN33:AQ33),1)=ROUND(IS!AR33,1),"OK","ERROR")</f>
        <v>OK</v>
      </c>
    </row>
    <row r="34" spans="1:44" ht="14.25" customHeight="1" x14ac:dyDescent="0.25">
      <c r="A34" s="73"/>
      <c r="B34" s="206"/>
      <c r="D34" s="208"/>
      <c r="E34" s="208"/>
      <c r="F34" s="208"/>
      <c r="G34" s="208"/>
      <c r="H34" s="220"/>
      <c r="I34" s="210"/>
      <c r="J34" s="208"/>
      <c r="K34" s="208"/>
      <c r="L34" s="208"/>
      <c r="M34" s="208"/>
      <c r="N34" s="220"/>
      <c r="O34" s="210"/>
      <c r="P34" s="208"/>
      <c r="Q34" s="208"/>
      <c r="R34" s="208"/>
      <c r="S34" s="208"/>
      <c r="T34" s="220"/>
      <c r="U34" s="210"/>
      <c r="V34" s="208"/>
      <c r="W34" s="208"/>
      <c r="X34" s="208"/>
      <c r="Y34" s="208"/>
      <c r="Z34" s="220"/>
      <c r="AA34" s="228"/>
      <c r="AB34" s="208"/>
      <c r="AC34" s="208"/>
      <c r="AD34" s="208"/>
      <c r="AE34" s="208"/>
      <c r="AF34" s="220"/>
      <c r="AG34" s="229"/>
      <c r="AH34" s="208"/>
      <c r="AI34" s="208"/>
      <c r="AJ34" s="212"/>
      <c r="AK34" s="212"/>
      <c r="AL34" s="220"/>
      <c r="AM34" s="233"/>
      <c r="AN34" s="212"/>
      <c r="AO34" s="212"/>
      <c r="AP34" s="212"/>
      <c r="AQ34" s="212"/>
      <c r="AR34" s="220"/>
    </row>
    <row r="35" spans="1:44" ht="14.25" customHeight="1" x14ac:dyDescent="0.25">
      <c r="A35" s="44" t="s">
        <v>70</v>
      </c>
      <c r="B35" s="65" t="s">
        <v>731</v>
      </c>
      <c r="D35" s="208"/>
      <c r="E35" s="208"/>
      <c r="F35" s="208"/>
      <c r="G35" s="208"/>
      <c r="H35" s="220"/>
      <c r="I35" s="210"/>
      <c r="J35" s="208"/>
      <c r="K35" s="208"/>
      <c r="L35" s="208"/>
      <c r="M35" s="208"/>
      <c r="N35" s="220"/>
      <c r="O35" s="210"/>
      <c r="P35" s="208"/>
      <c r="Q35" s="208"/>
      <c r="R35" s="208"/>
      <c r="S35" s="208"/>
      <c r="T35" s="220"/>
      <c r="U35" s="210"/>
      <c r="V35" s="208"/>
      <c r="W35" s="208"/>
      <c r="X35" s="208"/>
      <c r="Y35" s="208"/>
      <c r="Z35" s="220"/>
      <c r="AA35" s="213"/>
      <c r="AB35" s="208"/>
      <c r="AC35" s="208"/>
      <c r="AD35" s="208"/>
      <c r="AE35" s="208"/>
      <c r="AF35" s="220"/>
      <c r="AG35" s="211"/>
      <c r="AH35" s="208"/>
      <c r="AI35" s="208"/>
      <c r="AJ35" s="212"/>
      <c r="AK35" s="212"/>
      <c r="AL35" s="220"/>
      <c r="AM35" s="224"/>
      <c r="AN35" s="212"/>
      <c r="AO35" s="212"/>
      <c r="AP35" s="212"/>
      <c r="AQ35" s="212"/>
      <c r="AR35" s="220"/>
    </row>
    <row r="36" spans="1:44" ht="14.25" customHeight="1" x14ac:dyDescent="0.25">
      <c r="A36" s="44"/>
      <c r="B36" s="70" t="s">
        <v>732</v>
      </c>
      <c r="D36" s="208"/>
      <c r="E36" s="208"/>
      <c r="F36" s="208"/>
      <c r="G36" s="208"/>
      <c r="H36" s="220" t="str">
        <f>IF(ROUND(SUM(IS!D36:G36),1)=ROUND(IS!H36,1),"OK","ERROR")</f>
        <v>ERROR</v>
      </c>
      <c r="I36" s="210"/>
      <c r="J36" s="208"/>
      <c r="K36" s="208"/>
      <c r="L36" s="208"/>
      <c r="M36" s="208"/>
      <c r="N36" s="220" t="str">
        <f>IF(ROUND(SUM(IS!J36:M36),1)=ROUND(IS!N36,1),"OK","ERROR")</f>
        <v>OK</v>
      </c>
      <c r="O36" s="210"/>
      <c r="P36" s="208"/>
      <c r="Q36" s="208"/>
      <c r="R36" s="208"/>
      <c r="S36" s="208"/>
      <c r="T36" s="220" t="str">
        <f>IF(ROUND(SUM(IS!P36:S36),1)=ROUND(IS!T36,1),"OK","ERROR")</f>
        <v>ERROR</v>
      </c>
      <c r="U36" s="210"/>
      <c r="V36" s="208"/>
      <c r="W36" s="208"/>
      <c r="X36" s="208"/>
      <c r="Y36" s="208"/>
      <c r="Z36" s="220" t="str">
        <f>IF(ROUND(SUM(IS!V36:Y36),1)=ROUND(IS!Z36,1),"OK","ERROR")</f>
        <v>ERROR</v>
      </c>
      <c r="AA36" s="213"/>
      <c r="AB36" s="208"/>
      <c r="AC36" s="208"/>
      <c r="AD36" s="208"/>
      <c r="AE36" s="208"/>
      <c r="AF36" s="220" t="str">
        <f>IF(ROUND(SUM(IS!AB36:AE36),1)=ROUND(IS!AF36,1),"OK","ERROR")</f>
        <v>OK</v>
      </c>
      <c r="AG36" s="211"/>
      <c r="AH36" s="208"/>
      <c r="AI36" s="208"/>
      <c r="AJ36" s="212"/>
      <c r="AK36" s="212"/>
      <c r="AL36" s="220" t="str">
        <f>IF(ROUND(SUM(IS!AH36:AK36),1)=ROUND(IS!AL36,1),"OK","ERROR")</f>
        <v>ERROR</v>
      </c>
      <c r="AM36" s="224"/>
      <c r="AN36" s="212"/>
      <c r="AO36" s="212"/>
      <c r="AP36" s="212"/>
      <c r="AQ36" s="212"/>
      <c r="AR36" s="220" t="str">
        <f>IF(ROUND(SUM(IS!AN36:AQ36),1)=ROUND(IS!AR36,1),"OK","ERROR")</f>
        <v>OK</v>
      </c>
    </row>
    <row r="37" spans="1:44" ht="14.25" customHeight="1" x14ac:dyDescent="0.25">
      <c r="A37" s="44"/>
      <c r="B37" s="70" t="s">
        <v>733</v>
      </c>
      <c r="D37" s="208"/>
      <c r="E37" s="208"/>
      <c r="F37" s="208"/>
      <c r="G37" s="208"/>
      <c r="H37" s="220" t="str">
        <f>IF(ROUND(SUM(IS!D37:G37),1)=ROUND(IS!H37,1),"OK","ERROR")</f>
        <v>OK</v>
      </c>
      <c r="I37" s="210"/>
      <c r="J37" s="208"/>
      <c r="K37" s="208"/>
      <c r="L37" s="208"/>
      <c r="M37" s="208"/>
      <c r="N37" s="220" t="str">
        <f>IF(ROUND(SUM(IS!J37:M37),1)=ROUND(IS!N37,1),"OK","ERROR")</f>
        <v>OK</v>
      </c>
      <c r="O37" s="210"/>
      <c r="P37" s="208"/>
      <c r="Q37" s="208"/>
      <c r="R37" s="208"/>
      <c r="S37" s="208"/>
      <c r="T37" s="220" t="str">
        <f>IF(ROUND(SUM(IS!P37:S37),1)=ROUND(IS!T37,1),"OK","ERROR")</f>
        <v>OK</v>
      </c>
      <c r="U37" s="210"/>
      <c r="V37" s="208"/>
      <c r="W37" s="208"/>
      <c r="X37" s="208"/>
      <c r="Y37" s="208"/>
      <c r="Z37" s="220" t="str">
        <f>IF(ROUND(SUM(IS!V37:Y37),1)=ROUND(IS!Z37,1),"OK","ERROR")</f>
        <v>OK</v>
      </c>
      <c r="AA37" s="213"/>
      <c r="AB37" s="208"/>
      <c r="AC37" s="208"/>
      <c r="AD37" s="208"/>
      <c r="AE37" s="208"/>
      <c r="AF37" s="220" t="str">
        <f>IF(ROUND(SUM(IS!AB37:AE37),1)=ROUND(IS!AF37,1),"OK","ERROR")</f>
        <v>OK</v>
      </c>
      <c r="AG37" s="211"/>
      <c r="AH37" s="208"/>
      <c r="AI37" s="208"/>
      <c r="AJ37" s="212"/>
      <c r="AK37" s="212"/>
      <c r="AL37" s="220" t="str">
        <f>IF(ROUND(SUM(IS!AH37:AK37),1)=ROUND(IS!AL37,1),"OK","ERROR")</f>
        <v>OK</v>
      </c>
      <c r="AM37" s="224"/>
      <c r="AN37" s="212"/>
      <c r="AO37" s="212"/>
      <c r="AP37" s="212"/>
      <c r="AQ37" s="212"/>
      <c r="AR37" s="220" t="str">
        <f>IF(ROUND(SUM(IS!AN37:AQ37),1)=ROUND(IS!AR37,1),"OK","ERROR")</f>
        <v>OK</v>
      </c>
    </row>
    <row r="38" spans="1:44" ht="14.25" customHeight="1" x14ac:dyDescent="0.25">
      <c r="A38" s="55" t="s">
        <v>70</v>
      </c>
      <c r="B38" s="76" t="s">
        <v>734</v>
      </c>
      <c r="D38" s="208"/>
      <c r="E38" s="208"/>
      <c r="F38" s="208"/>
      <c r="G38" s="208"/>
      <c r="H38" s="220" t="str">
        <f>IF(ROUND(SUM(IS!D38:G38),1)=ROUND(IS!H38,1),"OK","ERROR")</f>
        <v>ERROR</v>
      </c>
      <c r="I38" s="210"/>
      <c r="J38" s="208"/>
      <c r="K38" s="208"/>
      <c r="L38" s="208"/>
      <c r="M38" s="208"/>
      <c r="N38" s="220" t="str">
        <f>IF(ROUND(SUM(IS!J38:M38),1)=ROUND(IS!N38,1),"OK","ERROR")</f>
        <v>OK</v>
      </c>
      <c r="O38" s="210"/>
      <c r="P38" s="208"/>
      <c r="Q38" s="208"/>
      <c r="R38" s="208"/>
      <c r="S38" s="208"/>
      <c r="T38" s="220" t="str">
        <f>IF(ROUND(SUM(IS!P38:S38),1)=ROUND(IS!T38,1),"OK","ERROR")</f>
        <v>ERROR</v>
      </c>
      <c r="U38" s="210"/>
      <c r="V38" s="208"/>
      <c r="W38" s="208"/>
      <c r="X38" s="208"/>
      <c r="Y38" s="208"/>
      <c r="Z38" s="220" t="str">
        <f>IF(ROUND(SUM(IS!V38:Y38),1)=ROUND(IS!Z38,1),"OK","ERROR")</f>
        <v>ERROR</v>
      </c>
      <c r="AA38" s="213"/>
      <c r="AB38" s="208"/>
      <c r="AC38" s="208"/>
      <c r="AD38" s="208"/>
      <c r="AE38" s="208"/>
      <c r="AF38" s="220" t="str">
        <f>IF(ROUND(SUM(IS!AB38:AE38),1)=ROUND(IS!AF38,1),"OK","ERROR")</f>
        <v>OK</v>
      </c>
      <c r="AG38" s="211"/>
      <c r="AH38" s="208"/>
      <c r="AI38" s="208"/>
      <c r="AJ38" s="212"/>
      <c r="AK38" s="212"/>
      <c r="AL38" s="220" t="str">
        <f>IF(ROUND(SUM(IS!AH38:AK38),1)=ROUND(IS!AL38,1),"OK","ERROR")</f>
        <v>ERROR</v>
      </c>
      <c r="AM38" s="224"/>
      <c r="AN38" s="212"/>
      <c r="AO38" s="212"/>
      <c r="AP38" s="212"/>
      <c r="AQ38" s="212"/>
      <c r="AR38" s="220" t="str">
        <f>IF(ROUND(SUM(IS!AN38:AQ38),1)=ROUND(IS!AR38,1),"OK","ERROR")</f>
        <v>OK</v>
      </c>
    </row>
    <row r="39" spans="1:44" ht="14.25" customHeight="1" x14ac:dyDescent="0.25">
      <c r="A39" s="73"/>
      <c r="B39" s="76" t="s">
        <v>735</v>
      </c>
      <c r="D39" s="208"/>
      <c r="E39" s="208"/>
      <c r="F39" s="208"/>
      <c r="G39" s="208"/>
      <c r="H39" s="220" t="str">
        <f>IF(ROUND(SUM(IS!D39:G39),1)=ROUND(IS!H39,1),"OK","ERROR")</f>
        <v>OK</v>
      </c>
      <c r="I39" s="210"/>
      <c r="J39" s="208"/>
      <c r="K39" s="208"/>
      <c r="L39" s="208"/>
      <c r="M39" s="208"/>
      <c r="N39" s="220" t="str">
        <f>IF(ROUND(SUM(IS!J39:M39),1)=ROUND(IS!N39,1),"OK","ERROR")</f>
        <v>OK</v>
      </c>
      <c r="O39" s="210"/>
      <c r="P39" s="208"/>
      <c r="Q39" s="208"/>
      <c r="R39" s="208"/>
      <c r="S39" s="208"/>
      <c r="T39" s="220" t="str">
        <f>IF(ROUND(SUM(IS!P39:S39),1)=ROUND(IS!T39,1),"OK","ERROR")</f>
        <v>OK</v>
      </c>
      <c r="U39" s="210"/>
      <c r="V39" s="208"/>
      <c r="W39" s="208"/>
      <c r="X39" s="208"/>
      <c r="Y39" s="208"/>
      <c r="Z39" s="220" t="str">
        <f>IF(ROUND(SUM(IS!V39:Y39),1)=ROUND(IS!Z39,1),"OK","ERROR")</f>
        <v>OK</v>
      </c>
      <c r="AA39" s="228"/>
      <c r="AB39" s="208"/>
      <c r="AC39" s="208"/>
      <c r="AD39" s="208"/>
      <c r="AE39" s="208"/>
      <c r="AF39" s="220" t="str">
        <f>IF(ROUND(SUM(IS!AB39:AE39),1)=ROUND(IS!AF39,1),"OK","ERROR")</f>
        <v>OK</v>
      </c>
      <c r="AG39" s="229"/>
      <c r="AH39" s="208"/>
      <c r="AI39" s="208"/>
      <c r="AJ39" s="212"/>
      <c r="AK39" s="212"/>
      <c r="AL39" s="220" t="str">
        <f>IF(ROUND(SUM(IS!AH39:AK39),1)=ROUND(IS!AL39,1),"OK","ERROR")</f>
        <v>OK</v>
      </c>
      <c r="AM39" s="228"/>
      <c r="AN39" s="212"/>
      <c r="AO39" s="212"/>
      <c r="AP39" s="212"/>
      <c r="AQ39" s="212"/>
      <c r="AR39" s="220" t="str">
        <f>IF(ROUND(SUM(IS!AN39:AQ39),1)=ROUND(IS!AR39,1),"OK","ERROR")</f>
        <v>OK</v>
      </c>
    </row>
    <row r="40" spans="1:44" ht="14.25" customHeight="1" x14ac:dyDescent="0.25">
      <c r="A40" s="55"/>
      <c r="B40" s="76" t="s">
        <v>736</v>
      </c>
      <c r="D40" s="208"/>
      <c r="E40" s="208"/>
      <c r="F40" s="208"/>
      <c r="G40" s="208"/>
      <c r="H40" s="226" t="str">
        <f>IF(ROUND(SUM(IS!D40:G40),1)=ROUND(IS!H40,1),"OK","ERROR")</f>
        <v>OK</v>
      </c>
      <c r="I40" s="210"/>
      <c r="J40" s="208"/>
      <c r="K40" s="208"/>
      <c r="L40" s="208"/>
      <c r="M40" s="208"/>
      <c r="N40" s="226" t="str">
        <f>IF(ROUND(SUM(IS!J40:M40),1)=ROUND(IS!N40,1),"OK","ERROR")</f>
        <v>OK</v>
      </c>
      <c r="O40" s="210"/>
      <c r="P40" s="208"/>
      <c r="Q40" s="208"/>
      <c r="R40" s="208"/>
      <c r="S40" s="208"/>
      <c r="T40" s="226" t="str">
        <f>IF(ROUND(SUM(IS!P40:S40),1)=ROUND(IS!T40,1),"OK","ERROR")</f>
        <v>OK</v>
      </c>
      <c r="U40" s="210"/>
      <c r="V40" s="208"/>
      <c r="W40" s="208"/>
      <c r="X40" s="208"/>
      <c r="Y40" s="208"/>
      <c r="Z40" s="226" t="str">
        <f>IF(ROUND(SUM(IS!V40:Y40),1)=ROUND(IS!Z40,1),"OK","ERROR")</f>
        <v>OK</v>
      </c>
      <c r="AA40" s="213"/>
      <c r="AB40" s="208"/>
      <c r="AC40" s="208"/>
      <c r="AD40" s="208"/>
      <c r="AE40" s="208"/>
      <c r="AF40" s="226" t="str">
        <f>IF(ROUND(SUM(IS!AB40:AE40),1)=ROUND(IS!AF40,1),"OK","ERROR")</f>
        <v>ERROR</v>
      </c>
      <c r="AG40" s="211"/>
      <c r="AH40" s="208"/>
      <c r="AI40" s="208"/>
      <c r="AJ40" s="212"/>
      <c r="AK40" s="212"/>
      <c r="AL40" s="226" t="str">
        <f>IF(ROUND(SUM(IS!AH40:AK40),1)=ROUND(IS!AL40,1),"OK","ERROR")</f>
        <v>OK</v>
      </c>
      <c r="AM40" s="213"/>
      <c r="AN40" s="212"/>
      <c r="AO40" s="212"/>
      <c r="AP40" s="212"/>
      <c r="AQ40" s="212"/>
      <c r="AR40" s="226" t="str">
        <f>IF(ROUND(SUM(IS!AN40:AQ40),1)=ROUND(IS!AR40,1),"OK","ERROR")</f>
        <v>OK</v>
      </c>
    </row>
    <row r="41" spans="1:44" ht="14.25" customHeight="1" x14ac:dyDescent="0.25">
      <c r="A41" s="73"/>
      <c r="B41" s="79" t="s">
        <v>737</v>
      </c>
      <c r="D41" s="208"/>
      <c r="E41" s="208"/>
      <c r="F41" s="208"/>
      <c r="G41" s="208"/>
      <c r="H41" s="227" t="str">
        <f>IF(ROUND(SUM(IS!D41:G41),1)=ROUND(IS!H41,1),"OK","ERROR")</f>
        <v>ERROR</v>
      </c>
      <c r="I41" s="210"/>
      <c r="J41" s="208"/>
      <c r="K41" s="208"/>
      <c r="L41" s="208"/>
      <c r="M41" s="208"/>
      <c r="N41" s="227" t="str">
        <f>IF(ROUND(SUM(IS!J41:M41),1)=ROUND(IS!N41,1),"OK","ERROR")</f>
        <v>OK</v>
      </c>
      <c r="O41" s="210"/>
      <c r="P41" s="208"/>
      <c r="Q41" s="208"/>
      <c r="R41" s="208"/>
      <c r="S41" s="208"/>
      <c r="T41" s="227" t="str">
        <f>IF(ROUND(SUM(IS!P41:S41),1)=ROUND(IS!T41,1),"OK","ERROR")</f>
        <v>ERROR</v>
      </c>
      <c r="U41" s="210"/>
      <c r="V41" s="208"/>
      <c r="W41" s="208"/>
      <c r="X41" s="208"/>
      <c r="Y41" s="208"/>
      <c r="Z41" s="227" t="str">
        <f>IF(ROUND(SUM(IS!V41:Y41),1)=ROUND(IS!Z41,1),"OK","ERROR")</f>
        <v>ERROR</v>
      </c>
      <c r="AA41" s="232"/>
      <c r="AB41" s="208"/>
      <c r="AC41" s="208"/>
      <c r="AD41" s="208"/>
      <c r="AE41" s="208"/>
      <c r="AF41" s="227" t="str">
        <f>IF(ROUND(SUM(IS!AB41:AE41),1)=ROUND(IS!AF41,1),"OK","ERROR")</f>
        <v>ERROR</v>
      </c>
      <c r="AG41" s="229"/>
      <c r="AH41" s="208"/>
      <c r="AI41" s="208"/>
      <c r="AJ41" s="212"/>
      <c r="AK41" s="212"/>
      <c r="AL41" s="227" t="str">
        <f>IF(ROUND(SUM(IS!AH41:AK41),1)=ROUND(IS!AL41,1),"OK","ERROR")</f>
        <v>ERROR</v>
      </c>
      <c r="AM41" s="228"/>
      <c r="AN41" s="212"/>
      <c r="AO41" s="212"/>
      <c r="AP41" s="212"/>
      <c r="AQ41" s="212"/>
      <c r="AR41" s="227" t="str">
        <f>IF(ROUND(SUM(IS!AN41:AQ41),1)=ROUND(IS!AR41,1),"OK","ERROR")</f>
        <v>OK</v>
      </c>
    </row>
    <row r="42" spans="1:44" ht="14.25" customHeight="1" x14ac:dyDescent="0.25">
      <c r="A42" s="84"/>
      <c r="B42" s="90" t="s">
        <v>669</v>
      </c>
      <c r="D42" s="208"/>
      <c r="E42" s="208"/>
      <c r="F42" s="208"/>
      <c r="G42" s="208"/>
      <c r="H42" s="227" t="str">
        <f>IF(ROUND(SUM(IS!D42:G42),1)=ROUND(IS!H42,1),"OK","ERROR")</f>
        <v>ERROR</v>
      </c>
      <c r="I42" s="210"/>
      <c r="J42" s="208"/>
      <c r="K42" s="208"/>
      <c r="L42" s="208"/>
      <c r="M42" s="208"/>
      <c r="N42" s="227" t="str">
        <f>IF(ROUND(SUM(IS!J42:M42),1)=ROUND(IS!N42,1),"OK","ERROR")</f>
        <v>ERROR</v>
      </c>
      <c r="O42" s="210"/>
      <c r="P42" s="208"/>
      <c r="Q42" s="208"/>
      <c r="R42" s="208"/>
      <c r="S42" s="208"/>
      <c r="T42" s="227" t="str">
        <f>IF(ROUND(SUM(IS!P42:S42),1)=ROUND(IS!T42,1),"OK","ERROR")</f>
        <v>ERROR</v>
      </c>
      <c r="U42" s="210"/>
      <c r="V42" s="208"/>
      <c r="W42" s="208"/>
      <c r="X42" s="208"/>
      <c r="Y42" s="208"/>
      <c r="Z42" s="227" t="str">
        <f>IF(ROUND(SUM(IS!V42:Y42),1)=ROUND(IS!Z42,1),"OK","ERROR")</f>
        <v>ERROR</v>
      </c>
      <c r="AA42" s="213"/>
      <c r="AB42" s="208"/>
      <c r="AC42" s="208"/>
      <c r="AD42" s="208"/>
      <c r="AE42" s="208"/>
      <c r="AF42" s="227" t="str">
        <f>IF(ROUND(SUM(IS!AB42:AE42),1)=ROUND(IS!AF42,1),"OK","ERROR")</f>
        <v>ERROR</v>
      </c>
      <c r="AG42" s="211"/>
      <c r="AH42" s="208"/>
      <c r="AI42" s="208"/>
      <c r="AJ42" s="212"/>
      <c r="AK42" s="212"/>
      <c r="AL42" s="227" t="str">
        <f>IF(ROUND(SUM(IS!AH42:AK42),1)=ROUND(IS!AL42,1),"OK","ERROR")</f>
        <v>ERROR</v>
      </c>
      <c r="AM42" s="213"/>
      <c r="AN42" s="212"/>
      <c r="AO42" s="212"/>
      <c r="AP42" s="212"/>
      <c r="AQ42" s="212"/>
      <c r="AR42" s="227" t="str">
        <f>IF(ROUND(SUM(IS!AN42:AQ42),1)=ROUND(IS!AR42,1),"OK","ERROR")</f>
        <v>OK</v>
      </c>
    </row>
    <row r="43" spans="1:44" ht="14.25" customHeight="1" x14ac:dyDescent="0.25">
      <c r="A43" s="73"/>
      <c r="B43" s="76"/>
      <c r="D43" s="208"/>
      <c r="E43" s="208"/>
      <c r="F43" s="208"/>
      <c r="G43" s="208"/>
      <c r="H43" s="220"/>
      <c r="I43" s="210"/>
      <c r="J43" s="208"/>
      <c r="K43" s="208"/>
      <c r="L43" s="208"/>
      <c r="M43" s="208"/>
      <c r="N43" s="220"/>
      <c r="O43" s="210"/>
      <c r="P43" s="208"/>
      <c r="Q43" s="208"/>
      <c r="R43" s="208"/>
      <c r="S43" s="208"/>
      <c r="T43" s="220"/>
      <c r="U43" s="210"/>
      <c r="V43" s="208"/>
      <c r="W43" s="208"/>
      <c r="X43" s="208"/>
      <c r="Y43" s="208"/>
      <c r="Z43" s="220"/>
      <c r="AA43" s="213"/>
      <c r="AB43" s="208"/>
      <c r="AC43" s="208"/>
      <c r="AD43" s="208"/>
      <c r="AE43" s="208"/>
      <c r="AF43" s="220"/>
      <c r="AG43" s="211"/>
      <c r="AH43" s="208"/>
      <c r="AI43" s="208"/>
      <c r="AJ43" s="212"/>
      <c r="AK43" s="212"/>
      <c r="AL43" s="220"/>
      <c r="AM43" s="213"/>
      <c r="AN43" s="212"/>
      <c r="AO43" s="212"/>
      <c r="AP43" s="212"/>
      <c r="AQ43" s="212"/>
      <c r="AR43" s="220"/>
    </row>
    <row r="44" spans="1:44" ht="14.25" customHeight="1" x14ac:dyDescent="0.25">
      <c r="A44" s="44" t="s">
        <v>70</v>
      </c>
      <c r="B44" s="65" t="s">
        <v>738</v>
      </c>
      <c r="D44" s="208"/>
      <c r="E44" s="208"/>
      <c r="F44" s="208"/>
      <c r="G44" s="208"/>
      <c r="H44" s="220"/>
      <c r="I44" s="210"/>
      <c r="J44" s="208"/>
      <c r="K44" s="208"/>
      <c r="L44" s="208"/>
      <c r="M44" s="208"/>
      <c r="N44" s="220"/>
      <c r="O44" s="210"/>
      <c r="P44" s="208"/>
      <c r="Q44" s="208"/>
      <c r="R44" s="208"/>
      <c r="S44" s="208"/>
      <c r="T44" s="220"/>
      <c r="U44" s="210"/>
      <c r="V44" s="208"/>
      <c r="W44" s="208"/>
      <c r="X44" s="208"/>
      <c r="Y44" s="208"/>
      <c r="Z44" s="220"/>
      <c r="AA44" s="213"/>
      <c r="AB44" s="208"/>
      <c r="AC44" s="208"/>
      <c r="AD44" s="208"/>
      <c r="AE44" s="208"/>
      <c r="AF44" s="220"/>
      <c r="AG44" s="211"/>
      <c r="AH44" s="208"/>
      <c r="AI44" s="208"/>
      <c r="AJ44" s="212"/>
      <c r="AK44" s="212"/>
      <c r="AL44" s="220"/>
      <c r="AM44" s="213"/>
      <c r="AN44" s="212"/>
      <c r="AO44" s="212"/>
      <c r="AP44" s="212"/>
      <c r="AQ44" s="212"/>
      <c r="AR44" s="220"/>
    </row>
    <row r="45" spans="1:44" ht="14.25" customHeight="1" x14ac:dyDescent="0.25">
      <c r="A45" s="84"/>
      <c r="B45" s="70" t="s">
        <v>670</v>
      </c>
      <c r="D45" s="208"/>
      <c r="E45" s="208"/>
      <c r="F45" s="208"/>
      <c r="G45" s="208"/>
      <c r="H45" s="220" t="str">
        <f>IF(ROUND(SUM(IS!D45:G45),1)=ROUND(IS!H45,1),"OK","ERROR")</f>
        <v>ERROR</v>
      </c>
      <c r="I45" s="210"/>
      <c r="J45" s="208"/>
      <c r="K45" s="208"/>
      <c r="L45" s="208"/>
      <c r="M45" s="208"/>
      <c r="N45" s="220" t="str">
        <f>IF(ROUND(SUM(IS!J45:M45),1)=ROUND(IS!N45,1),"OK","ERROR")</f>
        <v>ERROR</v>
      </c>
      <c r="O45" s="210"/>
      <c r="P45" s="208"/>
      <c r="Q45" s="208"/>
      <c r="R45" s="208"/>
      <c r="S45" s="208"/>
      <c r="T45" s="220" t="str">
        <f>IF(ROUND(SUM(IS!P45:S45),1)=ROUND(IS!T45,1),"OK","ERROR")</f>
        <v>ERROR</v>
      </c>
      <c r="U45" s="210"/>
      <c r="V45" s="208"/>
      <c r="W45" s="208"/>
      <c r="X45" s="208"/>
      <c r="Y45" s="208"/>
      <c r="Z45" s="220" t="str">
        <f>IF(ROUND(SUM(IS!V45:Y45),1)=ROUND(IS!Z45,1),"OK","ERROR")</f>
        <v>ERROR</v>
      </c>
      <c r="AA45" s="224"/>
      <c r="AB45" s="208"/>
      <c r="AC45" s="208"/>
      <c r="AD45" s="208"/>
      <c r="AE45" s="208"/>
      <c r="AF45" s="220" t="str">
        <f>IF(ROUND(SUM(IS!AB45:AE45),1)=ROUND(IS!AF45,1),"OK","ERROR")</f>
        <v>ERROR</v>
      </c>
      <c r="AG45" s="211"/>
      <c r="AH45" s="208"/>
      <c r="AI45" s="208"/>
      <c r="AJ45" s="212"/>
      <c r="AK45" s="212"/>
      <c r="AL45" s="220" t="str">
        <f>IF(ROUND(SUM(IS!AH45:AK45),1)=ROUND(IS!AL45,1),"OK","ERROR")</f>
        <v>ERROR</v>
      </c>
      <c r="AM45" s="235"/>
      <c r="AN45" s="212"/>
      <c r="AO45" s="212"/>
      <c r="AP45" s="212"/>
      <c r="AQ45" s="212"/>
      <c r="AR45" s="220" t="str">
        <f>IF(ROUND(SUM(IS!AN45:AQ45),1)=ROUND(IS!AR45,1),"OK","ERROR")</f>
        <v>OK</v>
      </c>
    </row>
    <row r="46" spans="1:44" ht="14.25" customHeight="1" x14ac:dyDescent="0.25">
      <c r="A46" s="84"/>
      <c r="B46" s="70" t="s">
        <v>739</v>
      </c>
      <c r="D46" s="208"/>
      <c r="E46" s="208"/>
      <c r="F46" s="208"/>
      <c r="G46" s="208"/>
      <c r="H46" s="220" t="str">
        <f>IF(ROUND(SUM(IS!D46:G46),1)=ROUND(IS!H46,1),"OK","ERROR")</f>
        <v>OK</v>
      </c>
      <c r="I46" s="210"/>
      <c r="J46" s="208"/>
      <c r="K46" s="208"/>
      <c r="L46" s="208"/>
      <c r="M46" s="208"/>
      <c r="N46" s="220" t="str">
        <f>IF(ROUND(SUM(IS!J46:M46),1)=ROUND(IS!N46,1),"OK","ERROR")</f>
        <v>ERROR</v>
      </c>
      <c r="O46" s="210"/>
      <c r="P46" s="208"/>
      <c r="Q46" s="208"/>
      <c r="R46" s="208"/>
      <c r="S46" s="208"/>
      <c r="T46" s="220" t="str">
        <f>IF(ROUND(SUM(IS!P46:S46),1)=ROUND(IS!T46,1),"OK","ERROR")</f>
        <v>ERROR</v>
      </c>
      <c r="U46" s="210"/>
      <c r="V46" s="208"/>
      <c r="W46" s="208"/>
      <c r="X46" s="208"/>
      <c r="Y46" s="208"/>
      <c r="Z46" s="220" t="str">
        <f>IF(ROUND(SUM(IS!V46:Y46),1)=ROUND(IS!Z46,1),"OK","ERROR")</f>
        <v>OK</v>
      </c>
      <c r="AA46" s="213"/>
      <c r="AB46" s="208"/>
      <c r="AC46" s="208"/>
      <c r="AD46" s="208"/>
      <c r="AE46" s="208"/>
      <c r="AF46" s="220" t="str">
        <f>IF(ROUND(SUM(IS!AB46:AE46),1)=ROUND(IS!AF46,1),"OK","ERROR")</f>
        <v>ERROR</v>
      </c>
      <c r="AG46" s="211"/>
      <c r="AH46" s="208"/>
      <c r="AI46" s="208"/>
      <c r="AJ46" s="212"/>
      <c r="AK46" s="212"/>
      <c r="AL46" s="220" t="str">
        <f>IF(ROUND(SUM(IS!AH46:AK46),1)=ROUND(IS!AL46,1),"OK","ERROR")</f>
        <v>ERROR</v>
      </c>
      <c r="AM46" s="236"/>
      <c r="AN46" s="212"/>
      <c r="AO46" s="212"/>
      <c r="AP46" s="212"/>
      <c r="AQ46" s="212"/>
      <c r="AR46" s="220" t="str">
        <f>IF(ROUND(SUM(IS!AN46:AQ46),1)=ROUND(IS!AR46,1),"OK","ERROR")</f>
        <v>OK</v>
      </c>
    </row>
    <row r="47" spans="1:44" ht="14.25" customHeight="1" thickBot="1" x14ac:dyDescent="0.3">
      <c r="A47" s="73"/>
      <c r="B47" s="70" t="s">
        <v>740</v>
      </c>
      <c r="D47" s="208"/>
      <c r="E47" s="208"/>
      <c r="F47" s="208"/>
      <c r="G47" s="208"/>
      <c r="H47" s="237" t="str">
        <f>IF(ROUND(SUM(IS!D47:G47),1)=ROUND(IS!H47,1),"OK","ERROR")</f>
        <v>ERROR</v>
      </c>
      <c r="I47" s="210"/>
      <c r="J47" s="208"/>
      <c r="K47" s="208"/>
      <c r="L47" s="208"/>
      <c r="M47" s="208"/>
      <c r="N47" s="237" t="str">
        <f>IF(ROUND(SUM(IS!J47:M47),1)=ROUND(IS!N47,1),"OK","ERROR")</f>
        <v>ERROR</v>
      </c>
      <c r="O47" s="210"/>
      <c r="P47" s="208"/>
      <c r="Q47" s="208"/>
      <c r="R47" s="208"/>
      <c r="S47" s="208"/>
      <c r="T47" s="237" t="str">
        <f>IF(ROUND(SUM(IS!P47:S47),1)=ROUND(IS!T47,1),"OK","ERROR")</f>
        <v>ERROR</v>
      </c>
      <c r="U47" s="210"/>
      <c r="V47" s="208"/>
      <c r="W47" s="208"/>
      <c r="X47" s="208"/>
      <c r="Y47" s="208"/>
      <c r="Z47" s="237" t="str">
        <f>IF(ROUND(SUM(IS!V47:Y47),1)=ROUND(IS!Z47,1),"OK","ERROR")</f>
        <v>ERROR</v>
      </c>
      <c r="AA47" s="213"/>
      <c r="AB47" s="208"/>
      <c r="AC47" s="208"/>
      <c r="AD47" s="208"/>
      <c r="AE47" s="208"/>
      <c r="AF47" s="237" t="str">
        <f>IF(ROUND(SUM(IS!AB47:AE47),1)=ROUND(IS!AF47,1),"OK","ERROR")</f>
        <v>ERROR</v>
      </c>
      <c r="AG47" s="211"/>
      <c r="AH47" s="208"/>
      <c r="AI47" s="208"/>
      <c r="AJ47" s="212"/>
      <c r="AK47" s="212"/>
      <c r="AL47" s="237" t="str">
        <f>IF(ROUND(SUM(IS!AH47:AK47),1)=ROUND(IS!AL47,1),"OK","ERROR")</f>
        <v>ERROR</v>
      </c>
      <c r="AM47" s="236"/>
      <c r="AN47" s="212"/>
      <c r="AO47" s="212"/>
      <c r="AP47" s="212"/>
      <c r="AQ47" s="212"/>
      <c r="AR47" s="237" t="str">
        <f>IF(ROUND(SUM(IS!AN47:AQ47),1)=ROUND(IS!AR47,1),"OK","ERROR")</f>
        <v>OK</v>
      </c>
    </row>
    <row r="49" spans="1:50" ht="14.25" customHeight="1" x14ac:dyDescent="0.25">
      <c r="A49" s="44" t="s">
        <v>70</v>
      </c>
      <c r="B49" s="65" t="s">
        <v>741</v>
      </c>
      <c r="D49" s="208"/>
      <c r="E49" s="208"/>
      <c r="F49" s="208"/>
      <c r="G49" s="208"/>
      <c r="H49" s="220"/>
      <c r="I49" s="210"/>
      <c r="J49" s="208"/>
      <c r="K49" s="208"/>
      <c r="L49" s="208"/>
      <c r="M49" s="208"/>
      <c r="N49" s="220"/>
      <c r="O49" s="210"/>
      <c r="P49" s="208"/>
      <c r="Q49" s="208"/>
      <c r="R49" s="208"/>
      <c r="S49" s="208"/>
      <c r="T49" s="220"/>
      <c r="U49" s="210"/>
      <c r="V49" s="208"/>
      <c r="W49" s="208"/>
      <c r="X49" s="208"/>
      <c r="Y49" s="208"/>
      <c r="Z49" s="220"/>
      <c r="AA49" s="210"/>
      <c r="AB49" s="208"/>
      <c r="AC49" s="208"/>
      <c r="AD49" s="208"/>
      <c r="AE49" s="208"/>
      <c r="AF49" s="220"/>
      <c r="AG49" s="238"/>
      <c r="AH49" s="208"/>
      <c r="AI49" s="208"/>
      <c r="AJ49" s="212"/>
      <c r="AK49" s="212"/>
      <c r="AL49" s="220"/>
      <c r="AM49" s="210"/>
      <c r="AN49" s="212"/>
      <c r="AO49" s="212"/>
      <c r="AP49" s="212"/>
      <c r="AQ49" s="212"/>
      <c r="AR49" s="220"/>
      <c r="AS49" s="210"/>
      <c r="AT49" s="220"/>
      <c r="AU49" s="239"/>
      <c r="AV49" s="220"/>
      <c r="AW49" s="239"/>
      <c r="AX49" s="220"/>
    </row>
    <row r="50" spans="1:50" ht="14.25" customHeight="1" x14ac:dyDescent="0.25">
      <c r="A50" s="73"/>
      <c r="B50" s="70" t="s">
        <v>742</v>
      </c>
      <c r="D50" s="208"/>
      <c r="E50" s="208"/>
      <c r="F50" s="208"/>
      <c r="G50" s="208"/>
      <c r="H50" s="220" t="str">
        <f>IF(ROUND(SUM(IS!D50:G50),1)=ROUND(IS!H50,1),"OK","ERROR")</f>
        <v>OK</v>
      </c>
      <c r="I50" s="210"/>
      <c r="J50" s="208"/>
      <c r="K50" s="208"/>
      <c r="L50" s="208"/>
      <c r="M50" s="208"/>
      <c r="N50" s="220" t="str">
        <f>IF(ROUND(SUM(IS!J50:M50),1)=ROUND(IS!N50,1),"OK","ERROR")</f>
        <v>OK</v>
      </c>
      <c r="O50" s="210"/>
      <c r="P50" s="208"/>
      <c r="Q50" s="208"/>
      <c r="R50" s="208"/>
      <c r="S50" s="208"/>
      <c r="T50" s="220" t="str">
        <f>IF(ROUND(SUM(IS!P50:S50),1)=ROUND(IS!T50,1),"OK","ERROR")</f>
        <v>OK</v>
      </c>
      <c r="U50" s="210"/>
      <c r="V50" s="208"/>
      <c r="W50" s="208"/>
      <c r="X50" s="208"/>
      <c r="Y50" s="208"/>
      <c r="Z50" s="220" t="str">
        <f>IF(ROUND(SUM(IS!V50:Y50),1)=ROUND(IS!Z50,1),"OK","ERROR")</f>
        <v>OK</v>
      </c>
      <c r="AA50" s="228"/>
      <c r="AB50" s="208"/>
      <c r="AC50" s="208"/>
      <c r="AD50" s="208"/>
      <c r="AE50" s="208"/>
      <c r="AF50" s="220" t="str">
        <f>IF(ROUND(SUM(IS!AB50:AE50),1)=ROUND(IS!AF50,1),"OK","ERROR")</f>
        <v>OK</v>
      </c>
      <c r="AG50" s="229"/>
      <c r="AH50" s="208"/>
      <c r="AI50" s="208"/>
      <c r="AJ50" s="212"/>
      <c r="AK50" s="212"/>
      <c r="AL50" s="220" t="str">
        <f>IF(ROUND(SUM(IS!AH50:AK50),1)=ROUND(IS!AL50,1),"OK","ERROR")</f>
        <v>OK</v>
      </c>
      <c r="AM50" s="228"/>
      <c r="AN50" s="212"/>
      <c r="AO50" s="212"/>
      <c r="AP50" s="212"/>
      <c r="AQ50" s="212"/>
      <c r="AR50" s="220" t="str">
        <f>IF(ROUND(SUM(IS!AN50:AQ50),1)=ROUND(IS!AR50,1),"OK","ERROR")</f>
        <v>OK</v>
      </c>
      <c r="AS50" s="228"/>
      <c r="AT50" s="220"/>
      <c r="AU50" s="230"/>
      <c r="AV50" s="220"/>
      <c r="AW50" s="230"/>
      <c r="AX50" s="220"/>
    </row>
    <row r="51" spans="1:50" ht="14.25" customHeight="1" x14ac:dyDescent="0.25">
      <c r="A51" s="55"/>
      <c r="B51" s="70" t="s">
        <v>743</v>
      </c>
      <c r="D51" s="208"/>
      <c r="E51" s="208"/>
      <c r="F51" s="208"/>
      <c r="G51" s="208"/>
      <c r="H51" s="226" t="str">
        <f>IF(ROUND(SUM(IS!D51:G51),1)=ROUND(IS!H51,1),"OK","ERROR")</f>
        <v>OK</v>
      </c>
      <c r="I51" s="210"/>
      <c r="J51" s="208"/>
      <c r="K51" s="208"/>
      <c r="L51" s="208"/>
      <c r="M51" s="208"/>
      <c r="N51" s="226" t="str">
        <f>IF(ROUND(SUM(IS!J51:M51),1)=ROUND(IS!N51,1),"OK","ERROR")</f>
        <v>ERROR</v>
      </c>
      <c r="O51" s="210"/>
      <c r="P51" s="208"/>
      <c r="Q51" s="208"/>
      <c r="R51" s="208"/>
      <c r="S51" s="208"/>
      <c r="T51" s="226" t="str">
        <f>IF(ROUND(SUM(IS!P51:S51),1)=ROUND(IS!T51,1),"OK","ERROR")</f>
        <v>OK</v>
      </c>
      <c r="U51" s="210"/>
      <c r="V51" s="208"/>
      <c r="W51" s="208"/>
      <c r="X51" s="208"/>
      <c r="Y51" s="208"/>
      <c r="Z51" s="226" t="str">
        <f>IF(ROUND(SUM(IS!V51:Y51),1)=ROUND(IS!Z51,1),"OK","ERROR")</f>
        <v>ERROR</v>
      </c>
      <c r="AA51" s="210"/>
      <c r="AB51" s="208"/>
      <c r="AC51" s="208"/>
      <c r="AD51" s="208"/>
      <c r="AE51" s="208"/>
      <c r="AF51" s="226" t="str">
        <f>IF(ROUND(SUM(IS!AB51:AE51),1)=ROUND(IS!AF51,1),"OK","ERROR")</f>
        <v>ERROR</v>
      </c>
      <c r="AG51" s="238"/>
      <c r="AH51" s="208"/>
      <c r="AI51" s="208"/>
      <c r="AJ51" s="212"/>
      <c r="AK51" s="212"/>
      <c r="AL51" s="226" t="str">
        <f>IF(ROUND(SUM(IS!AH51:AK51),1)=ROUND(IS!AL51,1),"OK","ERROR")</f>
        <v>ERROR</v>
      </c>
      <c r="AM51" s="210"/>
      <c r="AN51" s="212"/>
      <c r="AO51" s="212"/>
      <c r="AP51" s="212"/>
      <c r="AQ51" s="212"/>
      <c r="AR51" s="226" t="str">
        <f>IF(ROUND(SUM(IS!AN51:AQ51),1)=ROUND(IS!AR51,1),"OK","ERROR")</f>
        <v>OK</v>
      </c>
      <c r="AS51" s="210"/>
      <c r="AT51" s="226"/>
      <c r="AU51" s="239"/>
      <c r="AV51" s="226"/>
      <c r="AW51" s="239"/>
      <c r="AX51" s="226"/>
    </row>
    <row r="52" spans="1:50" ht="14.25" customHeight="1" thickBot="1" x14ac:dyDescent="0.3">
      <c r="A52" s="73"/>
      <c r="B52" s="76" t="s">
        <v>744</v>
      </c>
      <c r="D52" s="208"/>
      <c r="E52" s="208"/>
      <c r="F52" s="208"/>
      <c r="G52" s="208"/>
      <c r="H52" s="237" t="str">
        <f>IF(ROUND(SUM(IS!D52:G52),1)=ROUND(IS!H52,1),"OK","ERROR")</f>
        <v>ERROR</v>
      </c>
      <c r="I52" s="210"/>
      <c r="J52" s="208"/>
      <c r="K52" s="208"/>
      <c r="L52" s="208"/>
      <c r="M52" s="208"/>
      <c r="N52" s="237" t="str">
        <f>IF(ROUND(SUM(IS!J52:M52),1)=ROUND(IS!N52,1),"OK","ERROR")</f>
        <v>ERROR</v>
      </c>
      <c r="O52" s="210"/>
      <c r="P52" s="208"/>
      <c r="Q52" s="208"/>
      <c r="R52" s="208"/>
      <c r="S52" s="208"/>
      <c r="T52" s="237" t="str">
        <f>IF(ROUND(SUM(IS!P52:S52),1)=ROUND(IS!T52,1),"OK","ERROR")</f>
        <v>ERROR</v>
      </c>
      <c r="U52" s="210"/>
      <c r="V52" s="208"/>
      <c r="W52" s="208"/>
      <c r="X52" s="208"/>
      <c r="Y52" s="208"/>
      <c r="Z52" s="237" t="str">
        <f>IF(ROUND(SUM(IS!V52:Y52),1)=ROUND(IS!Z52,1),"OK","ERROR")</f>
        <v>ERROR</v>
      </c>
      <c r="AA52" s="210"/>
      <c r="AB52" s="208"/>
      <c r="AC52" s="208"/>
      <c r="AD52" s="208"/>
      <c r="AE52" s="208"/>
      <c r="AF52" s="237" t="str">
        <f>IF(ROUND(SUM(IS!AB52:AE52),1)=ROUND(IS!AF52,1),"OK","ERROR")</f>
        <v>ERROR</v>
      </c>
      <c r="AG52" s="238"/>
      <c r="AH52" s="208"/>
      <c r="AI52" s="208"/>
      <c r="AJ52" s="212"/>
      <c r="AK52" s="212"/>
      <c r="AL52" s="237" t="str">
        <f>IF(ROUND(SUM(IS!AH52:AK52),1)=ROUND(IS!AL52,1),"OK","ERROR")</f>
        <v>ERROR</v>
      </c>
      <c r="AM52" s="210"/>
      <c r="AN52" s="212"/>
      <c r="AO52" s="212"/>
      <c r="AP52" s="212"/>
      <c r="AQ52" s="212"/>
      <c r="AR52" s="237" t="str">
        <f>IF(ROUND(SUM(IS!AN52:AQ52),1)=ROUND(IS!AR52,1),"OK","ERROR")</f>
        <v>OK</v>
      </c>
      <c r="AS52" s="210"/>
      <c r="AT52" s="237"/>
      <c r="AU52" s="239"/>
      <c r="AV52" s="237"/>
      <c r="AW52" s="239"/>
      <c r="AX52" s="237"/>
    </row>
    <row r="53" spans="1:50" ht="14.25" customHeight="1" thickTop="1" x14ac:dyDescent="0.25">
      <c r="A53" s="55"/>
      <c r="B53" s="207"/>
      <c r="D53" s="208"/>
      <c r="E53" s="208"/>
      <c r="F53" s="208"/>
      <c r="G53" s="208"/>
      <c r="H53" s="220"/>
      <c r="I53" s="210"/>
      <c r="J53" s="208"/>
      <c r="K53" s="208"/>
      <c r="L53" s="208"/>
      <c r="M53" s="208"/>
      <c r="N53" s="220"/>
      <c r="O53" s="210"/>
      <c r="P53" s="208"/>
      <c r="Q53" s="208"/>
      <c r="R53" s="208"/>
      <c r="S53" s="208"/>
      <c r="T53" s="220"/>
      <c r="U53" s="210"/>
      <c r="V53" s="208"/>
      <c r="W53" s="208"/>
      <c r="X53" s="208"/>
      <c r="Y53" s="208"/>
      <c r="Z53" s="220"/>
      <c r="AA53" s="210"/>
      <c r="AB53" s="208"/>
      <c r="AC53" s="208"/>
      <c r="AD53" s="208"/>
      <c r="AE53" s="208"/>
      <c r="AF53" s="220"/>
      <c r="AG53" s="238"/>
      <c r="AH53" s="208"/>
      <c r="AI53" s="208"/>
      <c r="AJ53" s="212"/>
      <c r="AK53" s="212"/>
      <c r="AL53" s="220"/>
      <c r="AM53" s="210"/>
      <c r="AN53" s="212"/>
      <c r="AO53" s="212"/>
      <c r="AP53" s="212"/>
      <c r="AQ53" s="212"/>
      <c r="AR53" s="220"/>
      <c r="AS53" s="210"/>
      <c r="AT53" s="220"/>
      <c r="AU53" s="239"/>
      <c r="AV53" s="220"/>
      <c r="AW53" s="239"/>
      <c r="AX53" s="220"/>
    </row>
    <row r="54" spans="1:50" ht="14.25" customHeight="1" x14ac:dyDescent="0.25">
      <c r="A54" s="44" t="s">
        <v>70</v>
      </c>
      <c r="B54" s="65" t="s">
        <v>745</v>
      </c>
      <c r="D54" s="208"/>
      <c r="E54" s="208"/>
      <c r="F54" s="208"/>
      <c r="G54" s="208"/>
      <c r="H54" s="220"/>
      <c r="I54" s="210"/>
      <c r="J54" s="208"/>
      <c r="K54" s="208"/>
      <c r="L54" s="208"/>
      <c r="M54" s="208"/>
      <c r="N54" s="220"/>
      <c r="O54" s="210"/>
      <c r="P54" s="208"/>
      <c r="Q54" s="208"/>
      <c r="R54" s="208"/>
      <c r="S54" s="208"/>
      <c r="T54" s="220"/>
      <c r="U54" s="210"/>
      <c r="V54" s="208"/>
      <c r="W54" s="208"/>
      <c r="X54" s="208"/>
      <c r="Y54" s="208"/>
      <c r="Z54" s="220"/>
      <c r="AA54" s="210"/>
      <c r="AB54" s="208"/>
      <c r="AC54" s="208"/>
      <c r="AD54" s="208"/>
      <c r="AE54" s="208"/>
      <c r="AF54" s="220"/>
      <c r="AG54" s="238"/>
      <c r="AH54" s="208"/>
      <c r="AI54" s="208"/>
      <c r="AJ54" s="212"/>
      <c r="AK54" s="212"/>
      <c r="AL54" s="220"/>
      <c r="AM54" s="210"/>
      <c r="AN54" s="212"/>
      <c r="AO54" s="212"/>
      <c r="AP54" s="212"/>
      <c r="AQ54" s="212"/>
      <c r="AR54" s="220"/>
      <c r="AS54" s="210"/>
      <c r="AT54" s="220"/>
      <c r="AU54" s="239"/>
      <c r="AV54" s="220"/>
      <c r="AW54" s="239"/>
      <c r="AX54" s="220"/>
    </row>
    <row r="55" spans="1:50" ht="14.25" customHeight="1" x14ac:dyDescent="0.25">
      <c r="A55" s="55"/>
      <c r="B55" s="76" t="s">
        <v>746</v>
      </c>
      <c r="D55" s="240"/>
      <c r="E55" s="240"/>
      <c r="F55" s="240"/>
      <c r="G55" s="240"/>
      <c r="H55" s="241" t="str">
        <f>IF(ROUND(AVERAGE(IS!D55:G55),0)-ROUND(IS!H55,0)&lt;0.01*ROUND(IS!H55,0),"OK","ERROR")</f>
        <v>OK</v>
      </c>
      <c r="I55" s="242"/>
      <c r="J55" s="240"/>
      <c r="K55" s="240"/>
      <c r="L55" s="240"/>
      <c r="M55" s="240"/>
      <c r="N55" s="241" t="str">
        <f>IF(ROUND(AVERAGE(IS!J55:M55),0)-ROUND(IS!N55,0)&lt;0.01*ROUND(IS!N55,0),"OK","ERROR")</f>
        <v>OK</v>
      </c>
      <c r="O55" s="242"/>
      <c r="P55" s="240"/>
      <c r="Q55" s="240"/>
      <c r="R55" s="240"/>
      <c r="S55" s="240"/>
      <c r="T55" s="241" t="str">
        <f>IF(ROUND(AVERAGE(IS!P55:S55),0)-ROUND(IS!T55,0)&lt;0.01*ROUND(IS!T55,0),"OK","ERROR")</f>
        <v>OK</v>
      </c>
      <c r="U55" s="242"/>
      <c r="V55" s="240"/>
      <c r="W55" s="240"/>
      <c r="X55" s="240"/>
      <c r="Y55" s="240"/>
      <c r="Z55" s="241" t="str">
        <f>IF(ROUND(AVERAGE(IS!V55:Y55),0)-ROUND(IS!Z55,0)&lt;0.01*ROUND(IS!Z55,0),"OK","ERROR")</f>
        <v>OK</v>
      </c>
      <c r="AA55" s="242"/>
      <c r="AB55" s="240"/>
      <c r="AC55" s="240"/>
      <c r="AD55" s="240"/>
      <c r="AE55" s="240"/>
      <c r="AF55" s="241" t="str">
        <f>IF(ROUND(AVERAGE(IS!AB55:AE55),0)-ROUND(IS!AF55,0)&lt;0.01*ROUND(IS!AF55,0),"OK","ERROR")</f>
        <v>OK</v>
      </c>
      <c r="AG55" s="243"/>
      <c r="AH55" s="240"/>
      <c r="AI55" s="240"/>
      <c r="AJ55" s="244"/>
      <c r="AK55" s="244"/>
      <c r="AL55" s="241" t="str">
        <f>IF(ROUND(AVERAGE(IS!AH55:AK55),0)-ROUND(IS!AL55,0)&lt;0.01*ROUND(IS!AL55,0),"OK","ERROR")</f>
        <v>ERROR</v>
      </c>
      <c r="AM55" s="242"/>
      <c r="AN55" s="244"/>
      <c r="AO55" s="244"/>
      <c r="AP55" s="244"/>
      <c r="AQ55" s="244"/>
      <c r="AR55" s="241" t="e">
        <f>IF(ROUND(AVERAGE(IS!AN55:AQ55),0)-ROUND(IS!AR55,0)&lt;0.01*ROUND(IS!AR55,0),"OK","ERROR")</f>
        <v>#DIV/0!</v>
      </c>
      <c r="AS55" s="242"/>
      <c r="AT55" s="241"/>
      <c r="AU55" s="245"/>
      <c r="AV55" s="241"/>
      <c r="AW55" s="245"/>
      <c r="AX55" s="241"/>
    </row>
    <row r="56" spans="1:50" ht="14.25" customHeight="1" x14ac:dyDescent="0.25">
      <c r="A56" s="73"/>
      <c r="B56" s="76" t="s">
        <v>747</v>
      </c>
      <c r="D56" s="240"/>
      <c r="E56" s="240"/>
      <c r="F56" s="240"/>
      <c r="G56" s="240"/>
      <c r="H56" s="241" t="str">
        <f>IF(ROUND(AVERAGE(IS!D56:G56),0)-ROUND(IS!H56,0)&lt;0.01*ROUND(IS!H56,0),"OK","ERROR")</f>
        <v>OK</v>
      </c>
      <c r="I56" s="242"/>
      <c r="J56" s="240"/>
      <c r="K56" s="240"/>
      <c r="L56" s="240"/>
      <c r="M56" s="240"/>
      <c r="N56" s="241" t="str">
        <f>IF(ROUND(AVERAGE(IS!J56:M56),0)-ROUND(IS!N56,0)&lt;0.01*ROUND(IS!N56,0),"OK","ERROR")</f>
        <v>OK</v>
      </c>
      <c r="O56" s="242"/>
      <c r="P56" s="240"/>
      <c r="Q56" s="240"/>
      <c r="R56" s="240"/>
      <c r="S56" s="240"/>
      <c r="T56" s="241" t="str">
        <f>IF(ROUND(AVERAGE(IS!P56:S56),0)-ROUND(IS!T56,0)&lt;0.01*ROUND(IS!T56,0),"OK","ERROR")</f>
        <v>OK</v>
      </c>
      <c r="U56" s="242"/>
      <c r="V56" s="240"/>
      <c r="W56" s="240"/>
      <c r="X56" s="240"/>
      <c r="Y56" s="240"/>
      <c r="Z56" s="241" t="str">
        <f>IF(ROUND(AVERAGE(IS!V56:Y56),0)-ROUND(IS!Z56,0)&lt;0.01*ROUND(IS!Z56,0),"OK","ERROR")</f>
        <v>OK</v>
      </c>
      <c r="AA56" s="242"/>
      <c r="AB56" s="240"/>
      <c r="AC56" s="240"/>
      <c r="AD56" s="240"/>
      <c r="AE56" s="240"/>
      <c r="AF56" s="241" t="str">
        <f>IF(ROUND(AVERAGE(IS!AB56:AE56),0)-ROUND(IS!AF56,0)&lt;0.01*ROUND(IS!AF56,0),"OK","ERROR")</f>
        <v>OK</v>
      </c>
      <c r="AG56" s="243"/>
      <c r="AH56" s="240"/>
      <c r="AI56" s="240"/>
      <c r="AJ56" s="244"/>
      <c r="AK56" s="244"/>
      <c r="AL56" s="241" t="str">
        <f>IF(ROUND(AVERAGE(IS!AH56:AK56),0)-ROUND(IS!AL56,0)&lt;0.01*ROUND(IS!AL56,0),"OK","ERROR")</f>
        <v>ERROR</v>
      </c>
      <c r="AM56" s="242"/>
      <c r="AN56" s="244"/>
      <c r="AO56" s="244"/>
      <c r="AP56" s="244"/>
      <c r="AQ56" s="244"/>
      <c r="AR56" s="241" t="e">
        <f>IF(ROUND(AVERAGE(IS!AN56:AQ56),0)-ROUND(IS!AR56,0)&lt;0.01*ROUND(IS!AR56,0),"OK","ERROR")</f>
        <v>#DIV/0!</v>
      </c>
      <c r="AS56" s="242"/>
      <c r="AT56" s="241"/>
      <c r="AU56" s="245"/>
      <c r="AV56" s="241"/>
      <c r="AW56" s="245"/>
      <c r="AX56" s="241"/>
    </row>
    <row r="57" spans="1:50" ht="14.25" customHeight="1" x14ac:dyDescent="0.25">
      <c r="A57" s="55"/>
      <c r="B57" s="207"/>
      <c r="D57" s="208"/>
      <c r="E57" s="208"/>
      <c r="F57" s="208"/>
      <c r="G57" s="208"/>
      <c r="H57" s="220"/>
      <c r="I57" s="210"/>
      <c r="J57" s="208"/>
      <c r="K57" s="208"/>
      <c r="L57" s="208"/>
      <c r="M57" s="208"/>
      <c r="N57" s="220"/>
      <c r="O57" s="210"/>
      <c r="P57" s="208"/>
      <c r="Q57" s="208"/>
      <c r="R57" s="208"/>
      <c r="S57" s="208"/>
      <c r="T57" s="220"/>
      <c r="U57" s="210"/>
      <c r="V57" s="208"/>
      <c r="W57" s="208"/>
      <c r="X57" s="208"/>
      <c r="Y57" s="208"/>
      <c r="Z57" s="220"/>
      <c r="AA57" s="210"/>
      <c r="AB57" s="208"/>
      <c r="AC57" s="208"/>
      <c r="AD57" s="208"/>
      <c r="AE57" s="208"/>
      <c r="AF57" s="220"/>
      <c r="AG57" s="238"/>
      <c r="AH57" s="208"/>
      <c r="AI57" s="208"/>
      <c r="AJ57" s="212"/>
      <c r="AK57" s="212"/>
      <c r="AL57" s="220"/>
      <c r="AM57" s="210"/>
      <c r="AN57" s="212"/>
      <c r="AO57" s="212"/>
      <c r="AP57" s="212"/>
      <c r="AQ57" s="212"/>
      <c r="AR57" s="220"/>
      <c r="AS57" s="210"/>
      <c r="AT57" s="220"/>
      <c r="AU57" s="239"/>
      <c r="AV57" s="220"/>
      <c r="AW57" s="239"/>
      <c r="AX57" s="220"/>
    </row>
    <row r="58" spans="1:50" ht="14.25" customHeight="1" x14ac:dyDescent="0.25">
      <c r="A58" s="44" t="s">
        <v>70</v>
      </c>
      <c r="B58" s="65" t="s">
        <v>748</v>
      </c>
      <c r="D58" s="208"/>
      <c r="E58" s="208"/>
      <c r="F58" s="208"/>
      <c r="G58" s="208"/>
      <c r="H58" s="220"/>
      <c r="I58" s="210"/>
      <c r="J58" s="208"/>
      <c r="K58" s="208"/>
      <c r="L58" s="208"/>
      <c r="M58" s="208"/>
      <c r="N58" s="220"/>
      <c r="O58" s="210"/>
      <c r="P58" s="208"/>
      <c r="Q58" s="208"/>
      <c r="R58" s="208"/>
      <c r="S58" s="208"/>
      <c r="T58" s="220"/>
      <c r="U58" s="210"/>
      <c r="V58" s="208"/>
      <c r="W58" s="208"/>
      <c r="X58" s="208"/>
      <c r="Y58" s="208"/>
      <c r="Z58" s="220"/>
      <c r="AA58" s="210"/>
      <c r="AB58" s="208"/>
      <c r="AC58" s="208"/>
      <c r="AD58" s="208"/>
      <c r="AE58" s="208"/>
      <c r="AF58" s="220"/>
      <c r="AG58" s="238"/>
      <c r="AH58" s="208"/>
      <c r="AI58" s="208"/>
      <c r="AJ58" s="212"/>
      <c r="AK58" s="212"/>
      <c r="AL58" s="220"/>
      <c r="AM58" s="210"/>
      <c r="AN58" s="212"/>
      <c r="AO58" s="212"/>
      <c r="AP58" s="212"/>
      <c r="AQ58" s="212"/>
      <c r="AR58" s="220"/>
      <c r="AS58" s="210"/>
      <c r="AT58" s="220"/>
      <c r="AU58" s="239"/>
      <c r="AV58" s="220"/>
      <c r="AW58" s="239"/>
      <c r="AX58" s="220"/>
    </row>
    <row r="59" spans="1:50" ht="14.25" customHeight="1" x14ac:dyDescent="0.25">
      <c r="B59" s="70" t="s">
        <v>749</v>
      </c>
      <c r="D59" s="208"/>
      <c r="E59" s="208"/>
      <c r="F59" s="208"/>
      <c r="G59" s="208"/>
      <c r="H59" s="220" t="str">
        <f>IF(ROUND(AVERAGE(IS!D59:G59),0)-ROUND(IS!H59,0)&lt;0.01*ROUND(IS!H59,0),"OK","ERROR")</f>
        <v>OK</v>
      </c>
      <c r="I59" s="210"/>
      <c r="J59" s="208"/>
      <c r="K59" s="208"/>
      <c r="L59" s="208"/>
      <c r="M59" s="208"/>
      <c r="N59" s="220" t="str">
        <f>IF(ROUND(AVERAGE(IS!J59:M59),0)-ROUND(IS!N59,0)&lt;0.01*ROUND(IS!N59,0),"OK","ERROR")</f>
        <v>OK</v>
      </c>
      <c r="O59" s="210"/>
      <c r="P59" s="208"/>
      <c r="Q59" s="208"/>
      <c r="R59" s="208"/>
      <c r="S59" s="208"/>
      <c r="T59" s="220" t="str">
        <f>IF(ROUND(AVERAGE(IS!P59:S59),0)-ROUND(IS!T59,0)&lt;0.01*ROUND(IS!T59,0),"OK","ERROR")</f>
        <v>OK</v>
      </c>
      <c r="U59" s="210"/>
      <c r="V59" s="208"/>
      <c r="W59" s="208"/>
      <c r="X59" s="208"/>
      <c r="Y59" s="208"/>
      <c r="Z59" s="220" t="str">
        <f>IF(ROUND(AVERAGE(IS!V59:Y59),0)-ROUND(IS!Z59,0)&lt;0.01*ROUND(IS!Z59,0),"OK","ERROR")</f>
        <v>OK</v>
      </c>
      <c r="AA59" s="210"/>
      <c r="AB59" s="208"/>
      <c r="AC59" s="208"/>
      <c r="AD59" s="208"/>
      <c r="AE59" s="208"/>
      <c r="AF59" s="220" t="str">
        <f>IF(ROUND(AVERAGE(IS!AB59:AE59),0)-ROUND(IS!AF59,0)&lt;0.01*ROUND(IS!AF59,0),"OK","ERROR")</f>
        <v>OK</v>
      </c>
      <c r="AG59" s="238"/>
      <c r="AH59" s="208"/>
      <c r="AI59" s="208"/>
      <c r="AJ59" s="212"/>
      <c r="AK59" s="212"/>
      <c r="AL59" s="220" t="str">
        <f>IF(ROUND(AVERAGE(IS!AH59:AK59),0)-ROUND(IS!AL59,0)&lt;0.01*ROUND(IS!AL59,0),"OK","ERROR")</f>
        <v>ERROR</v>
      </c>
      <c r="AM59" s="210"/>
      <c r="AN59" s="212"/>
      <c r="AO59" s="212"/>
      <c r="AP59" s="212"/>
      <c r="AQ59" s="212"/>
      <c r="AR59" s="220" t="e">
        <f>IF(ROUND(AVERAGE(IS!AN59:AQ59),0)-ROUND(IS!AR59,0)&lt;0.01*ROUND(IS!AR59,0),"OK","ERROR")</f>
        <v>#DIV/0!</v>
      </c>
      <c r="AS59" s="210"/>
      <c r="AT59" s="220"/>
      <c r="AU59" s="239"/>
      <c r="AV59" s="220"/>
      <c r="AW59" s="239"/>
      <c r="AX59" s="220"/>
    </row>
    <row r="60" spans="1:50" ht="14.25" customHeight="1" x14ac:dyDescent="0.25">
      <c r="B60" s="70" t="s">
        <v>750</v>
      </c>
      <c r="D60" s="208"/>
      <c r="E60" s="208"/>
      <c r="F60" s="208"/>
      <c r="G60" s="208"/>
      <c r="H60" s="220" t="str">
        <f>IF(ROUND(AVERAGE(IS!D60:G60),0)-ROUND(IS!H60,0)&lt;0.01*ROUND(IS!H60,0),"OK","ERROR")</f>
        <v>OK</v>
      </c>
      <c r="I60" s="210"/>
      <c r="J60" s="208"/>
      <c r="K60" s="208"/>
      <c r="L60" s="208"/>
      <c r="M60" s="208"/>
      <c r="N60" s="220" t="str">
        <f>IF(ROUND(AVERAGE(IS!J60:M60),0)-ROUND(IS!N60,0)&lt;0.01*ROUND(IS!N60,0),"OK","ERROR")</f>
        <v>OK</v>
      </c>
      <c r="O60" s="210"/>
      <c r="P60" s="208"/>
      <c r="Q60" s="208"/>
      <c r="R60" s="208"/>
      <c r="S60" s="208"/>
      <c r="T60" s="220" t="str">
        <f>IF(ROUND(AVERAGE(IS!P60:S60),0)-ROUND(IS!T60,0)&lt;0.01*ROUND(IS!T60,0),"OK","ERROR")</f>
        <v>OK</v>
      </c>
      <c r="U60" s="210"/>
      <c r="V60" s="208"/>
      <c r="W60" s="208"/>
      <c r="X60" s="208"/>
      <c r="Y60" s="208"/>
      <c r="Z60" s="220" t="str">
        <f>IF(ROUND(AVERAGE(IS!V60:Y60),0)-ROUND(IS!Z60,0)&lt;0.01*ROUND(IS!Z60,0),"OK","ERROR")</f>
        <v>OK</v>
      </c>
      <c r="AA60" s="210"/>
      <c r="AB60" s="208"/>
      <c r="AC60" s="208"/>
      <c r="AD60" s="208"/>
      <c r="AE60" s="208"/>
      <c r="AF60" s="220" t="str">
        <f>IF(ROUND(AVERAGE(IS!AB60:AE60),0)-ROUND(IS!AF60,0)&lt;0.01*ROUND(IS!AF60,0),"OK","ERROR")</f>
        <v>OK</v>
      </c>
      <c r="AG60" s="238"/>
      <c r="AH60" s="208"/>
      <c r="AI60" s="208"/>
      <c r="AJ60" s="212"/>
      <c r="AK60" s="212"/>
      <c r="AL60" s="220" t="str">
        <f>IF(ROUND(AVERAGE(IS!AH60:AK60),0)-ROUND(IS!AL60,0)&lt;0.01*ROUND(IS!AL60,0),"OK","ERROR")</f>
        <v>ERROR</v>
      </c>
      <c r="AM60" s="210"/>
      <c r="AN60" s="212"/>
      <c r="AO60" s="212"/>
      <c r="AP60" s="212"/>
      <c r="AQ60" s="212"/>
      <c r="AR60" s="220" t="e">
        <f>IF(ROUND(AVERAGE(IS!AN60:AQ60),0)-ROUND(IS!AR60,0)&lt;0.01*ROUND(IS!AR60,0),"OK","ERROR")</f>
        <v>#DIV/0!</v>
      </c>
      <c r="AS60" s="210"/>
      <c r="AT60" s="220"/>
      <c r="AU60" s="239"/>
      <c r="AV60" s="220"/>
      <c r="AW60" s="239"/>
      <c r="AX60" s="220"/>
    </row>
    <row r="62" spans="1:50" s="41" customFormat="1" ht="15" customHeight="1" x14ac:dyDescent="0.3">
      <c r="B62" s="161" t="s">
        <v>822</v>
      </c>
      <c r="C62" s="18"/>
      <c r="D62" s="202">
        <f>F62</f>
        <v>2020</v>
      </c>
      <c r="E62" s="202">
        <f>F62</f>
        <v>2020</v>
      </c>
      <c r="F62" s="202">
        <v>2020</v>
      </c>
      <c r="G62" s="202">
        <f>F62</f>
        <v>2020</v>
      </c>
      <c r="H62" s="202">
        <f>F62</f>
        <v>2020</v>
      </c>
      <c r="I62" s="18"/>
      <c r="J62" s="202">
        <f>L62</f>
        <v>2021</v>
      </c>
      <c r="K62" s="202">
        <f>L62</f>
        <v>2021</v>
      </c>
      <c r="L62" s="202">
        <v>2021</v>
      </c>
      <c r="M62" s="202">
        <f>L62</f>
        <v>2021</v>
      </c>
      <c r="N62" s="202">
        <f>L62</f>
        <v>2021</v>
      </c>
      <c r="O62" s="169"/>
      <c r="P62" s="202">
        <f>R62</f>
        <v>2022</v>
      </c>
      <c r="Q62" s="202">
        <f>R62</f>
        <v>2022</v>
      </c>
      <c r="R62" s="202">
        <v>2022</v>
      </c>
      <c r="S62" s="202">
        <f>R62</f>
        <v>2022</v>
      </c>
      <c r="T62" s="202">
        <f>R62</f>
        <v>2022</v>
      </c>
      <c r="U62" s="169"/>
      <c r="V62" s="202">
        <f>X62</f>
        <v>2023</v>
      </c>
      <c r="W62" s="202">
        <f>X62</f>
        <v>2023</v>
      </c>
      <c r="X62" s="202">
        <v>2023</v>
      </c>
      <c r="Y62" s="202">
        <f>X62</f>
        <v>2023</v>
      </c>
      <c r="Z62" s="202">
        <f>X62</f>
        <v>2023</v>
      </c>
      <c r="AA62" s="170"/>
      <c r="AB62" s="202">
        <f>AD62</f>
        <v>2024</v>
      </c>
      <c r="AC62" s="202">
        <f>AD62</f>
        <v>2024</v>
      </c>
      <c r="AD62" s="202">
        <v>2024</v>
      </c>
      <c r="AE62" s="202">
        <f>AD62</f>
        <v>2024</v>
      </c>
      <c r="AF62" s="202">
        <f>AD62</f>
        <v>2024</v>
      </c>
      <c r="AG62" s="170"/>
      <c r="AH62" s="202">
        <f>AJ62</f>
        <v>2025</v>
      </c>
      <c r="AI62" s="202">
        <f>AJ62</f>
        <v>2025</v>
      </c>
      <c r="AJ62" s="203">
        <v>2025</v>
      </c>
      <c r="AK62" s="202">
        <f>AJ62</f>
        <v>2025</v>
      </c>
      <c r="AL62" s="202">
        <f>AJ62</f>
        <v>2025</v>
      </c>
      <c r="AM62" s="171"/>
      <c r="AN62" s="202">
        <f>AP62</f>
        <v>2025</v>
      </c>
      <c r="AO62" s="202">
        <f>AP62</f>
        <v>2025</v>
      </c>
      <c r="AP62" s="203">
        <v>2025</v>
      </c>
      <c r="AQ62" s="202">
        <f>AP62</f>
        <v>2025</v>
      </c>
      <c r="AR62" s="202">
        <f>AP62</f>
        <v>2025</v>
      </c>
      <c r="AS62" s="18"/>
      <c r="AT62" s="162"/>
      <c r="AU62" s="18"/>
      <c r="AV62" s="163"/>
      <c r="AW62" s="18"/>
      <c r="AX62" s="163"/>
    </row>
    <row r="63" spans="1:50" s="41" customFormat="1" ht="15" customHeight="1" x14ac:dyDescent="0.3">
      <c r="B63" s="164"/>
      <c r="C63" s="18"/>
      <c r="D63" s="813">
        <v>2020</v>
      </c>
      <c r="E63" s="813"/>
      <c r="F63" s="813"/>
      <c r="G63" s="813"/>
      <c r="H63" s="813"/>
      <c r="I63" s="169"/>
      <c r="J63" s="813">
        <f>D63+1</f>
        <v>2021</v>
      </c>
      <c r="K63" s="813"/>
      <c r="L63" s="813"/>
      <c r="M63" s="813"/>
      <c r="N63" s="813"/>
      <c r="O63" s="169"/>
      <c r="P63" s="813">
        <f>J63+1</f>
        <v>2022</v>
      </c>
      <c r="Q63" s="813"/>
      <c r="R63" s="813"/>
      <c r="S63" s="813"/>
      <c r="T63" s="813"/>
      <c r="U63" s="169"/>
      <c r="V63" s="813">
        <f>P63+1</f>
        <v>2023</v>
      </c>
      <c r="W63" s="813"/>
      <c r="X63" s="813"/>
      <c r="Y63" s="813"/>
      <c r="Z63" s="813"/>
      <c r="AA63" s="169"/>
      <c r="AB63" s="813">
        <f>V63+1</f>
        <v>2024</v>
      </c>
      <c r="AC63" s="813"/>
      <c r="AD63" s="813"/>
      <c r="AE63" s="813"/>
      <c r="AF63" s="813"/>
      <c r="AG63" s="169"/>
      <c r="AH63" s="812">
        <f>AB63+1</f>
        <v>2025</v>
      </c>
      <c r="AI63" s="812"/>
      <c r="AJ63" s="812"/>
      <c r="AK63" s="812"/>
      <c r="AL63" s="812"/>
      <c r="AM63" s="169"/>
      <c r="AN63" s="812">
        <f>AH63+1</f>
        <v>2026</v>
      </c>
      <c r="AO63" s="812"/>
      <c r="AP63" s="812"/>
      <c r="AQ63" s="812"/>
      <c r="AR63" s="812"/>
      <c r="AS63" s="171"/>
      <c r="AT63" s="166">
        <f>AN63+1</f>
        <v>2027</v>
      </c>
      <c r="AU63" s="167"/>
      <c r="AV63" s="166">
        <f>+AT63+1</f>
        <v>2028</v>
      </c>
      <c r="AW63" s="167"/>
      <c r="AX63" s="166">
        <f>+AV63+1</f>
        <v>2029</v>
      </c>
    </row>
    <row r="64" spans="1:50" s="41" customFormat="1" ht="14.25" customHeight="1" x14ac:dyDescent="0.3">
      <c r="B64" s="164"/>
      <c r="C64" s="18"/>
      <c r="D64" s="168" t="s">
        <v>36</v>
      </c>
      <c r="E64" s="168" t="s">
        <v>37</v>
      </c>
      <c r="F64" s="168" t="s">
        <v>38</v>
      </c>
      <c r="G64" s="168" t="s">
        <v>39</v>
      </c>
      <c r="H64" s="168" t="s">
        <v>40</v>
      </c>
      <c r="I64" s="18"/>
      <c r="J64" s="168" t="s">
        <v>36</v>
      </c>
      <c r="K64" s="168" t="s">
        <v>37</v>
      </c>
      <c r="L64" s="168" t="s">
        <v>38</v>
      </c>
      <c r="M64" s="168" t="s">
        <v>39</v>
      </c>
      <c r="N64" s="168" t="s">
        <v>40</v>
      </c>
      <c r="O64" s="165"/>
      <c r="P64" s="168" t="s">
        <v>36</v>
      </c>
      <c r="Q64" s="168" t="s">
        <v>37</v>
      </c>
      <c r="R64" s="168" t="s">
        <v>38</v>
      </c>
      <c r="S64" s="168" t="s">
        <v>39</v>
      </c>
      <c r="T64" s="168" t="s">
        <v>40</v>
      </c>
      <c r="U64" s="165"/>
      <c r="V64" s="168" t="s">
        <v>36</v>
      </c>
      <c r="W64" s="168" t="s">
        <v>37</v>
      </c>
      <c r="X64" s="168" t="s">
        <v>38</v>
      </c>
      <c r="Y64" s="168" t="s">
        <v>39</v>
      </c>
      <c r="Z64" s="168" t="s">
        <v>40</v>
      </c>
      <c r="AA64" s="165"/>
      <c r="AB64" s="168" t="s">
        <v>36</v>
      </c>
      <c r="AC64" s="168" t="s">
        <v>37</v>
      </c>
      <c r="AD64" s="168" t="s">
        <v>38</v>
      </c>
      <c r="AE64" s="168" t="s">
        <v>39</v>
      </c>
      <c r="AF64" s="168" t="s">
        <v>40</v>
      </c>
      <c r="AG64" s="165"/>
      <c r="AH64" s="168" t="s">
        <v>36</v>
      </c>
      <c r="AI64" s="168" t="s">
        <v>37</v>
      </c>
      <c r="AJ64" s="168" t="s">
        <v>38</v>
      </c>
      <c r="AK64" s="168" t="s">
        <v>39</v>
      </c>
      <c r="AL64" s="168" t="s">
        <v>40</v>
      </c>
      <c r="AM64" s="165"/>
      <c r="AN64" s="168" t="s">
        <v>36</v>
      </c>
      <c r="AO64" s="168" t="s">
        <v>37</v>
      </c>
      <c r="AP64" s="168" t="s">
        <v>38</v>
      </c>
      <c r="AQ64" s="168" t="s">
        <v>39</v>
      </c>
      <c r="AR64" s="168" t="s">
        <v>40</v>
      </c>
      <c r="AS64" s="165"/>
      <c r="AT64" s="168" t="s">
        <v>40</v>
      </c>
      <c r="AU64" s="165"/>
      <c r="AV64" s="168" t="s">
        <v>40</v>
      </c>
      <c r="AW64" s="165"/>
      <c r="AX64" s="168" t="s">
        <v>40</v>
      </c>
    </row>
    <row r="67" spans="1:50" ht="14.25" customHeight="1" x14ac:dyDescent="0.25">
      <c r="A67" s="44" t="s">
        <v>70</v>
      </c>
      <c r="B67" s="65" t="s">
        <v>713</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x14ac:dyDescent="0.25">
      <c r="A68" s="55"/>
      <c r="B68" s="76" t="s">
        <v>55</v>
      </c>
      <c r="D68" s="217" t="str">
        <f>IF(ROUND(SUM(IS!D13:D17),0)=IS!D18,"OK","ERROR")</f>
        <v>ERROR</v>
      </c>
      <c r="E68" s="217" t="str">
        <f>IF(ROUND(SUM(IS!E13:E17),0)=IS!E18,"OK","ERROR")</f>
        <v>ERROR</v>
      </c>
      <c r="F68" s="217" t="str">
        <f>IF(ROUND(SUM(IS!F13:F17),0)=IS!F18,"OK","ERROR")</f>
        <v>ERROR</v>
      </c>
      <c r="G68" s="217" t="str">
        <f>IF(ROUND(SUM(IS!G13:G17),0)=IS!G18,"OK","ERROR")</f>
        <v>ERROR</v>
      </c>
      <c r="H68" s="218" t="str">
        <f>IF(ROUND(SUM(IS!H13:H17),0)=IS!H18,"OK","ERROR")</f>
        <v>ERROR</v>
      </c>
      <c r="I68" s="210"/>
      <c r="J68" s="217" t="str">
        <f>IF(ROUND(SUM(IS!J13:J17),0)=IS!J18,"OK","ERROR")</f>
        <v>ERROR</v>
      </c>
      <c r="K68" s="217" t="str">
        <f>IF(ROUND(SUM(IS!K13:K17),0)=IS!K18,"OK","ERROR")</f>
        <v>ERROR</v>
      </c>
      <c r="L68" s="217" t="str">
        <f>IF(ROUND(SUM(IS!L13:L17),0)=IS!L18,"OK","ERROR")</f>
        <v>ERROR</v>
      </c>
      <c r="M68" s="217" t="str">
        <f>IF(ROUND(SUM(IS!M13:M17),0)=IS!M18,"OK","ERROR")</f>
        <v>ERROR</v>
      </c>
      <c r="N68" s="218" t="str">
        <f>IF(ROUND(SUM(IS!N13:N17),0)=IS!N18,"OK","ERROR")</f>
        <v>ERROR</v>
      </c>
      <c r="O68" s="209"/>
      <c r="P68" s="217" t="str">
        <f>IF(ROUND(SUM(IS!P13:P17),0)=IS!P18,"OK","ERROR")</f>
        <v>ERROR</v>
      </c>
      <c r="Q68" s="217" t="str">
        <f>IF(ROUND(SUM(IS!Q13:Q17),0)=IS!Q18,"OK","ERROR")</f>
        <v>ERROR</v>
      </c>
      <c r="R68" s="217" t="str">
        <f>IF(ROUND(SUM(IS!R13:R17),0)=IS!R18,"OK","ERROR")</f>
        <v>ERROR</v>
      </c>
      <c r="S68" s="217" t="str">
        <f>IF(ROUND(SUM(IS!S13:S17),0)=IS!S18,"OK","ERROR")</f>
        <v>ERROR</v>
      </c>
      <c r="T68" s="218" t="str">
        <f>IF(ROUND(SUM(IS!T13:T17),0)=IS!T18,"OK","ERROR")</f>
        <v>ERROR</v>
      </c>
      <c r="U68" s="209"/>
      <c r="V68" s="217" t="str">
        <f>IF(ROUND(SUM(IS!V13:V17),0)=IS!V18,"OK","ERROR")</f>
        <v>ERROR</v>
      </c>
      <c r="W68" s="217" t="str">
        <f>IF(ROUND(SUM(IS!W13:W17),0)=IS!W18,"OK","ERROR")</f>
        <v>ERROR</v>
      </c>
      <c r="X68" s="217" t="str">
        <f>IF(ROUND(SUM(IS!X13:X17),0)=IS!X18,"OK","ERROR")</f>
        <v>ERROR</v>
      </c>
      <c r="Y68" s="217" t="str">
        <f>IF(ROUND(SUM(IS!Y13:Y17),0)=IS!Y18,"OK","ERROR")</f>
        <v>ERROR</v>
      </c>
      <c r="Z68" s="218" t="str">
        <f>IF(ROUND(SUM(IS!Z13:Z17),0)=IS!Z18,"OK","ERROR")</f>
        <v>ERROR</v>
      </c>
      <c r="AA68" s="209"/>
      <c r="AB68" s="217" t="str">
        <f>IF(ROUND(SUM(IS!AB13:AB17),0)=IS!AB18,"OK","ERROR")</f>
        <v>ERROR</v>
      </c>
      <c r="AC68" s="217" t="str">
        <f>IF(ROUND(SUM(IS!AC13:AC17),0)=IS!AC18,"OK","ERROR")</f>
        <v>ERROR</v>
      </c>
      <c r="AD68" s="217" t="str">
        <f>IF(ROUND(SUM(IS!AD13:AD17),0)=IS!AD18,"OK","ERROR")</f>
        <v>ERROR</v>
      </c>
      <c r="AE68" s="217" t="str">
        <f>IF(ROUND(SUM(IS!AE13:AE17),0)=IS!AE18,"OK","ERROR")</f>
        <v>ERROR</v>
      </c>
      <c r="AF68" s="218" t="str">
        <f>IF(ROUND(SUM(IS!AF13:AF17),0)=IS!AF18,"OK","ERROR")</f>
        <v>ERROR</v>
      </c>
      <c r="AG68" s="211"/>
      <c r="AH68" s="217" t="str">
        <f>IF(ROUND(SUM(IS!AH13:AH17),0)=IS!AH18,"OK","ERROR")</f>
        <v>ERROR</v>
      </c>
      <c r="AI68" s="217" t="str">
        <f>IF(ROUND(SUM(IS!AI13:AI17),0)=IS!AI18,"OK","ERROR")</f>
        <v>ERROR</v>
      </c>
      <c r="AJ68" s="217" t="str">
        <f>IF(ROUND(SUM(IS!AJ13:AJ17),0)=IS!AJ18,"OK","ERROR")</f>
        <v>OK</v>
      </c>
      <c r="AK68" s="217" t="str">
        <f>IF(ROUND(SUM(IS!AK13:AK17),0)=IS!AK18,"OK","ERROR")</f>
        <v>OK</v>
      </c>
      <c r="AL68" s="218" t="str">
        <f>IF(ROUND(SUM(IS!AL13:AL17),0)=IS!AL18,"OK","ERROR")</f>
        <v>OK</v>
      </c>
      <c r="AM68" s="213"/>
      <c r="AN68" s="217" t="str">
        <f>IF(ROUND(SUM(IS!AN13:AN17),0)=IS!AN18,"OK","ERROR")</f>
        <v>OK</v>
      </c>
      <c r="AO68" s="217" t="str">
        <f>IF(ROUND(SUM(IS!AO13:AO17),0)=IS!AO18,"OK","ERROR")</f>
        <v>OK</v>
      </c>
      <c r="AP68" s="217" t="str">
        <f>IF(ROUND(SUM(IS!AP13:AP17),0)=IS!AP18,"OK","ERROR")</f>
        <v>OK</v>
      </c>
      <c r="AQ68" s="217" t="str">
        <f>IF(ROUND(SUM(IS!AQ13:AQ17),0)=IS!AQ18,"OK","ERROR")</f>
        <v>OK</v>
      </c>
      <c r="AR68" s="218" t="str">
        <f>IF(ROUND(SUM(IS!AR13:AR17),0)=IS!AR18,"OK","ERROR")</f>
        <v>OK</v>
      </c>
      <c r="AS68" s="213"/>
      <c r="AT68" s="218" t="str">
        <f>IF(ROUND(SUM(IS!AT13:AT17),0)=IS!AT18,"OK","ERROR")</f>
        <v>OK</v>
      </c>
      <c r="AU68" s="215"/>
      <c r="AV68" s="218" t="str">
        <f>IF(ROUND(SUM(IS!AV13:AV17),0)=IS!AV18,"OK","ERROR")</f>
        <v>OK</v>
      </c>
      <c r="AW68" s="215"/>
      <c r="AX68" s="218" t="str">
        <f>IF(ROUND(SUM(IS!AX13:AX17),0)=IS!AX18,"OK","ERROR")</f>
        <v>OK</v>
      </c>
    </row>
    <row r="69" spans="1:50" ht="14.25" customHeight="1" x14ac:dyDescent="0.25">
      <c r="A69" s="55"/>
      <c r="B69" s="64"/>
      <c r="D69" s="208"/>
      <c r="E69" s="208"/>
      <c r="F69" s="208"/>
      <c r="G69" s="208"/>
      <c r="H69" s="209"/>
      <c r="I69" s="210"/>
      <c r="J69" s="208"/>
      <c r="K69" s="208"/>
      <c r="L69" s="208"/>
      <c r="M69" s="208"/>
      <c r="N69" s="209"/>
      <c r="O69" s="209"/>
      <c r="P69" s="208"/>
      <c r="Q69" s="208"/>
      <c r="R69" s="208"/>
      <c r="S69" s="208"/>
      <c r="T69" s="209"/>
      <c r="U69" s="209"/>
      <c r="V69" s="208"/>
      <c r="W69" s="208"/>
      <c r="X69" s="208"/>
      <c r="Y69" s="208"/>
      <c r="Z69" s="209"/>
      <c r="AA69" s="209"/>
      <c r="AB69" s="208"/>
      <c r="AC69" s="208"/>
      <c r="AD69" s="208"/>
      <c r="AE69" s="208"/>
      <c r="AF69" s="209"/>
      <c r="AG69" s="211"/>
      <c r="AH69" s="208"/>
      <c r="AI69" s="208"/>
      <c r="AJ69" s="208"/>
      <c r="AK69" s="208"/>
      <c r="AL69" s="209"/>
      <c r="AM69" s="213"/>
      <c r="AN69" s="208"/>
      <c r="AO69" s="208"/>
      <c r="AP69" s="208"/>
      <c r="AQ69" s="208"/>
      <c r="AR69" s="209"/>
      <c r="AS69" s="213"/>
      <c r="AT69" s="209"/>
      <c r="AU69" s="215"/>
      <c r="AV69" s="209"/>
      <c r="AW69" s="215"/>
      <c r="AX69" s="209"/>
    </row>
    <row r="70" spans="1:50" ht="14.25" customHeight="1" x14ac:dyDescent="0.25">
      <c r="A70" s="44" t="s">
        <v>70</v>
      </c>
      <c r="B70" s="65" t="s">
        <v>719</v>
      </c>
      <c r="D70" s="208"/>
      <c r="E70" s="208"/>
      <c r="F70" s="208"/>
      <c r="G70" s="208"/>
      <c r="H70" s="220"/>
      <c r="I70" s="210"/>
      <c r="J70" s="208"/>
      <c r="K70" s="208"/>
      <c r="L70" s="208"/>
      <c r="M70" s="208"/>
      <c r="N70" s="220"/>
      <c r="O70" s="210"/>
      <c r="P70" s="208"/>
      <c r="Q70" s="208"/>
      <c r="R70" s="208"/>
      <c r="S70" s="208"/>
      <c r="T70" s="220"/>
      <c r="U70" s="210"/>
      <c r="V70" s="208"/>
      <c r="W70" s="208"/>
      <c r="X70" s="208"/>
      <c r="Y70" s="208"/>
      <c r="Z70" s="220"/>
      <c r="AA70" s="213"/>
      <c r="AB70" s="208"/>
      <c r="AC70" s="208"/>
      <c r="AD70" s="208"/>
      <c r="AE70" s="208"/>
      <c r="AF70" s="220"/>
      <c r="AG70" s="211"/>
      <c r="AH70" s="208"/>
      <c r="AI70" s="208"/>
      <c r="AJ70" s="208"/>
      <c r="AK70" s="208"/>
      <c r="AL70" s="220"/>
      <c r="AM70" s="221"/>
      <c r="AN70" s="208"/>
      <c r="AO70" s="208"/>
      <c r="AP70" s="208"/>
      <c r="AQ70" s="208"/>
      <c r="AR70" s="220"/>
      <c r="AS70" s="221"/>
      <c r="AT70" s="220"/>
      <c r="AU70" s="223"/>
      <c r="AV70" s="220"/>
      <c r="AW70" s="223"/>
      <c r="AX70" s="220"/>
    </row>
    <row r="71" spans="1:50" ht="14.25" customHeight="1" x14ac:dyDescent="0.25">
      <c r="A71" s="73"/>
      <c r="B71" s="79" t="s">
        <v>282</v>
      </c>
      <c r="D71" s="208" t="str">
        <f>IF(ROUND(IS!D18,0)-ROUND(SUM(IS!D21:D22),0)=ROUND(IS!D24,0),"OK","ERROR")</f>
        <v>OK</v>
      </c>
      <c r="E71" s="208" t="str">
        <f>IF(ROUND(IS!E18,0)-ROUND(SUM(IS!E21:E22),0)=ROUND(IS!E24,0),"OK","ERROR")</f>
        <v>OK</v>
      </c>
      <c r="F71" s="208" t="str">
        <f>IF(ROUND(IS!F18,0)-ROUND(SUM(IS!F21:F22),0)=ROUND(IS!F24,0),"OK","ERROR")</f>
        <v>OK</v>
      </c>
      <c r="G71" s="208" t="str">
        <f>IF(ROUND(IS!G18,0)-ROUND(SUM(IS!G21:G22),0)=ROUND(IS!G24,0),"OK","ERROR")</f>
        <v>OK</v>
      </c>
      <c r="H71" s="227" t="str">
        <f>IF(ROUND(IS!H18,0)-ROUND(SUM(IS!H21:H22),0)=ROUND(IS!H24,0),"OK","ERROR")</f>
        <v>OK</v>
      </c>
      <c r="I71" s="210"/>
      <c r="J71" s="208" t="str">
        <f>IF(ROUND(IS!J18,0)-ROUND(SUM(IS!J21:J22),0)=ROUND(IS!J24,0),"OK","ERROR")</f>
        <v>OK</v>
      </c>
      <c r="K71" s="208" t="str">
        <f>IF(ROUND(IS!K18,0)-ROUND(SUM(IS!K21:K22),0)=ROUND(IS!K24,0),"OK","ERROR")</f>
        <v>OK</v>
      </c>
      <c r="L71" s="208" t="str">
        <f>IF(ROUND(IS!L18,0)-ROUND(SUM(IS!L21:L22),0)=ROUND(IS!L24,0),"OK","ERROR")</f>
        <v>OK</v>
      </c>
      <c r="M71" s="208" t="str">
        <f>IF(ROUND(IS!M18,0)-ROUND(SUM(IS!M21:M22),0)=ROUND(IS!M24,0),"OK","ERROR")</f>
        <v>OK</v>
      </c>
      <c r="N71" s="227" t="str">
        <f>IF(ROUND(IS!N18,0)-ROUND(SUM(IS!N21:N22),0)=ROUND(IS!N24,0),"OK","ERROR")</f>
        <v>OK</v>
      </c>
      <c r="O71" s="210"/>
      <c r="P71" s="208" t="str">
        <f>IF(ROUND(IS!P18,0)-ROUND(SUM(IS!P21:P22),0)=ROUND(IS!P24,0),"OK","ERROR")</f>
        <v>OK</v>
      </c>
      <c r="Q71" s="208" t="str">
        <f>IF(ROUND(IS!Q18,0)-ROUND(SUM(IS!Q21:Q22),0)=ROUND(IS!Q24,0),"OK","ERROR")</f>
        <v>OK</v>
      </c>
      <c r="R71" s="208" t="str">
        <f>IF(ROUND(IS!R18,0)-ROUND(SUM(IS!R21:R22),0)=ROUND(IS!R24,0),"OK","ERROR")</f>
        <v>OK</v>
      </c>
      <c r="S71" s="208" t="str">
        <f>IF(ROUND(IS!S18,0)-ROUND(SUM(IS!S21:S22),0)=ROUND(IS!S24,0),"OK","ERROR")</f>
        <v>OK</v>
      </c>
      <c r="T71" s="227" t="str">
        <f>IF(ROUND(IS!T18,0)-ROUND(SUM(IS!T21:T22),0)=ROUND(IS!T24,0),"OK","ERROR")</f>
        <v>OK</v>
      </c>
      <c r="U71" s="210"/>
      <c r="V71" s="208" t="str">
        <f>IF(ROUND(IS!V18,0)-ROUND(SUM(IS!V21:V22),0)=ROUND(IS!V24,0),"OK","ERROR")</f>
        <v>OK</v>
      </c>
      <c r="W71" s="208" t="str">
        <f>IF(ROUND(IS!W18,0)-ROUND(SUM(IS!W21:W22),0)=ROUND(IS!W24,0),"OK","ERROR")</f>
        <v>OK</v>
      </c>
      <c r="X71" s="208" t="str">
        <f>IF(ROUND(IS!X18,0)-ROUND(SUM(IS!X21:X22),0)=ROUND(IS!X24,0),"OK","ERROR")</f>
        <v>OK</v>
      </c>
      <c r="Y71" s="208" t="str">
        <f>IF(ROUND(IS!Y18,0)-ROUND(SUM(IS!Y21:Y22),0)=ROUND(IS!Y24,0),"OK","ERROR")</f>
        <v>OK</v>
      </c>
      <c r="Z71" s="227" t="str">
        <f>IF(ROUND(IS!Z18,0)-ROUND(SUM(IS!Z21:Z22),0)=ROUND(IS!Z24,0),"OK","ERROR")</f>
        <v>OK</v>
      </c>
      <c r="AA71" s="213"/>
      <c r="AB71" s="208" t="str">
        <f>IF(ROUND(IS!AB18,0)-ROUND(SUM(IS!AB21:AB22),0)=ROUND(IS!AB24,0),"OK","ERROR")</f>
        <v>OK</v>
      </c>
      <c r="AC71" s="208" t="str">
        <f>IF(ROUND(IS!AC18,0)-ROUND(SUM(IS!AC21:AC22),0)=ROUND(IS!AC24,0),"OK","ERROR")</f>
        <v>OK</v>
      </c>
      <c r="AD71" s="208" t="str">
        <f>IF(ROUND(IS!AD18,0)-ROUND(SUM(IS!AD21:AD22),0)=ROUND(IS!AD24,0),"OK","ERROR")</f>
        <v>OK</v>
      </c>
      <c r="AE71" s="208" t="str">
        <f>IF(ROUND(IS!AE18,0)-ROUND(SUM(IS!AE21:AE22),0)=ROUND(IS!AE24,0),"OK","ERROR")</f>
        <v>OK</v>
      </c>
      <c r="AF71" s="227" t="str">
        <f>IF(ROUND(IS!AF18,0)-ROUND(SUM(IS!AF21:AF22),0)=ROUND(IS!AF24,0),"OK","ERROR")</f>
        <v>OK</v>
      </c>
      <c r="AG71" s="211"/>
      <c r="AH71" s="208" t="str">
        <f>IF(ROUND(IS!AH18,0)-ROUND(SUM(IS!AH21:AH22),0)=ROUND(IS!AH24,0),"OK","ERROR")</f>
        <v>OK</v>
      </c>
      <c r="AI71" s="208" t="str">
        <f>IF(ROUND(IS!AI18,0)-ROUND(SUM(IS!AI21:AI22),0)=ROUND(IS!AI24,0),"OK","ERROR")</f>
        <v>OK</v>
      </c>
      <c r="AJ71" s="208" t="str">
        <f>IF(ROUND(IS!AJ18,0)-ROUND(SUM(IS!AJ21:AJ22),0)=ROUND(IS!AJ24,0),"OK","ERROR")</f>
        <v>OK</v>
      </c>
      <c r="AK71" s="208" t="str">
        <f>IF(ROUND(IS!AK18,0)-ROUND(SUM(IS!AK21:AK22),0)=ROUND(IS!AK24,0),"OK","ERROR")</f>
        <v>OK</v>
      </c>
      <c r="AL71" s="227" t="str">
        <f>IF(ROUND(IS!AL18,0)-ROUND(SUM(IS!AL21:AL22),0)=ROUND(IS!AL24,0),"OK","ERROR")</f>
        <v>OK</v>
      </c>
      <c r="AM71" s="224"/>
      <c r="AN71" s="208" t="str">
        <f>IF(ROUND(IS!AN18,0)-ROUND(SUM(IS!AN21:AN22),0)=ROUND(IS!AN24,0),"OK","ERROR")</f>
        <v>OK</v>
      </c>
      <c r="AO71" s="208" t="str">
        <f>IF(ROUND(IS!AO18,0)-ROUND(SUM(IS!AO21:AO22),0)=ROUND(IS!AO24,0),"OK","ERROR")</f>
        <v>OK</v>
      </c>
      <c r="AP71" s="208" t="str">
        <f>IF(ROUND(IS!AP18,0)-ROUND(SUM(IS!AP21:AP22),0)=ROUND(IS!AP24,0),"OK","ERROR")</f>
        <v>OK</v>
      </c>
      <c r="AQ71" s="208" t="str">
        <f>IF(ROUND(IS!AQ18,0)-ROUND(SUM(IS!AQ21:AQ22),0)=ROUND(IS!AQ24,0),"OK","ERROR")</f>
        <v>OK</v>
      </c>
      <c r="AR71" s="227" t="str">
        <f>IF(ROUND(IS!AR18,0)-ROUND(SUM(IS!AR21:AR22),0)=ROUND(IS!AR24,0),"OK","ERROR")</f>
        <v>OK</v>
      </c>
      <c r="AS71" s="224"/>
      <c r="AT71" s="227" t="str">
        <f>IF(ROUND(IS!AT18,0)-ROUND(SUM(IS!AT21:AT22),0)=ROUND(IS!AT24,0),"OK","ERROR")</f>
        <v>OK</v>
      </c>
      <c r="AU71" s="225"/>
      <c r="AV71" s="227" t="str">
        <f>IF(ROUND(IS!AV18,0)-ROUND(SUM(IS!AV21:AV22),0)=ROUND(IS!AV24,0),"OK","ERROR")</f>
        <v>OK</v>
      </c>
      <c r="AW71" s="225"/>
      <c r="AX71" s="227" t="str">
        <f>IF(ROUND(IS!AX18,0)-ROUND(SUM(IS!AX21:AX22),0)=ROUND(IS!AX24,0),"OK","ERROR")</f>
        <v>OK</v>
      </c>
    </row>
    <row r="72" spans="1:50" ht="14.25" customHeight="1" x14ac:dyDescent="0.25">
      <c r="A72" s="55"/>
      <c r="B72" s="80"/>
      <c r="D72" s="208"/>
      <c r="E72" s="208"/>
      <c r="F72" s="208"/>
      <c r="G72" s="208"/>
      <c r="H72" s="220"/>
      <c r="I72" s="210"/>
      <c r="J72" s="208"/>
      <c r="K72" s="208"/>
      <c r="L72" s="208"/>
      <c r="M72" s="208"/>
      <c r="N72" s="220"/>
      <c r="O72" s="210"/>
      <c r="P72" s="208"/>
      <c r="Q72" s="208"/>
      <c r="R72" s="208"/>
      <c r="S72" s="208"/>
      <c r="T72" s="220"/>
      <c r="U72" s="210"/>
      <c r="V72" s="208"/>
      <c r="W72" s="208"/>
      <c r="X72" s="208"/>
      <c r="Y72" s="208"/>
      <c r="Z72" s="220"/>
      <c r="AA72" s="213"/>
      <c r="AB72" s="208"/>
      <c r="AC72" s="208"/>
      <c r="AD72" s="208"/>
      <c r="AE72" s="208"/>
      <c r="AF72" s="220"/>
      <c r="AG72" s="211"/>
      <c r="AH72" s="208"/>
      <c r="AI72" s="208"/>
      <c r="AJ72" s="208"/>
      <c r="AK72" s="208"/>
      <c r="AL72" s="220"/>
      <c r="AM72" s="224"/>
      <c r="AN72" s="208"/>
      <c r="AO72" s="208"/>
      <c r="AP72" s="208"/>
      <c r="AQ72" s="208"/>
      <c r="AR72" s="220"/>
      <c r="AS72" s="224"/>
      <c r="AT72" s="220"/>
      <c r="AU72" s="225"/>
      <c r="AV72" s="220"/>
      <c r="AW72" s="225"/>
      <c r="AX72" s="220"/>
    </row>
    <row r="73" spans="1:50" ht="14.25" customHeight="1" x14ac:dyDescent="0.25">
      <c r="A73" s="44" t="s">
        <v>70</v>
      </c>
      <c r="B73" s="65" t="s">
        <v>723</v>
      </c>
      <c r="D73" s="208"/>
      <c r="E73" s="208"/>
      <c r="F73" s="208"/>
      <c r="G73" s="208"/>
      <c r="H73" s="220"/>
      <c r="I73" s="210"/>
      <c r="J73" s="208"/>
      <c r="K73" s="208"/>
      <c r="L73" s="208"/>
      <c r="M73" s="208"/>
      <c r="N73" s="220"/>
      <c r="O73" s="210"/>
      <c r="P73" s="208"/>
      <c r="Q73" s="208"/>
      <c r="R73" s="208"/>
      <c r="S73" s="208"/>
      <c r="T73" s="220"/>
      <c r="U73" s="210"/>
      <c r="V73" s="208"/>
      <c r="W73" s="208"/>
      <c r="X73" s="208"/>
      <c r="Y73" s="208"/>
      <c r="Z73" s="220"/>
      <c r="AA73" s="228"/>
      <c r="AB73" s="208"/>
      <c r="AC73" s="208"/>
      <c r="AD73" s="208"/>
      <c r="AE73" s="208"/>
      <c r="AF73" s="220"/>
      <c r="AG73" s="229"/>
      <c r="AH73" s="208"/>
      <c r="AI73" s="208"/>
      <c r="AJ73" s="208"/>
      <c r="AK73" s="208"/>
      <c r="AL73" s="220"/>
      <c r="AM73" s="228"/>
      <c r="AN73" s="208"/>
      <c r="AO73" s="208"/>
      <c r="AP73" s="208"/>
      <c r="AQ73" s="208"/>
      <c r="AR73" s="220"/>
      <c r="AS73" s="228"/>
      <c r="AT73" s="220"/>
      <c r="AU73" s="230"/>
      <c r="AV73" s="220"/>
      <c r="AW73" s="230"/>
      <c r="AX73" s="220"/>
    </row>
    <row r="74" spans="1:50" ht="14.25" customHeight="1" x14ac:dyDescent="0.25">
      <c r="A74" s="55"/>
      <c r="B74" s="79" t="s">
        <v>730</v>
      </c>
      <c r="D74" s="208" t="str">
        <f>IF(ROUND(IS!D24,0)-ROUND(SUM(IS!D31:D32),0)=ROUND(IS!D33,0),"OK","ERROR")</f>
        <v>OK</v>
      </c>
      <c r="E74" s="208" t="str">
        <f>IF(ROUND(IS!E24,0)-ROUND(SUM(IS!E31:E32),0)=ROUND(IS!E33,0),"OK","ERROR")</f>
        <v>OK</v>
      </c>
      <c r="F74" s="208" t="str">
        <f>IF(ROUND(IS!F24,0)-ROUND(SUM(IS!F31:F32),0)=ROUND(IS!F33,0),"OK","ERROR")</f>
        <v>OK</v>
      </c>
      <c r="G74" s="208" t="str">
        <f>IF(ROUND(IS!G24,0)-ROUND(SUM(IS!G31:G32),0)=ROUND(IS!G33,0),"OK","ERROR")</f>
        <v>OK</v>
      </c>
      <c r="H74" s="226" t="str">
        <f>IF(ROUND(IS!H24,0)-ROUND(SUM(IS!H31:H32),0)=ROUND(IS!H33,0),"OK","ERROR")</f>
        <v>OK</v>
      </c>
      <c r="I74" s="210"/>
      <c r="J74" s="208" t="str">
        <f>IF(ROUND(IS!J24,0)-ROUND(SUM(IS!J31:J32),0)=ROUND(IS!J33,0),"OK","ERROR")</f>
        <v>OK</v>
      </c>
      <c r="K74" s="208" t="str">
        <f>IF(ROUND(IS!K24,0)-ROUND(SUM(IS!K31:K32),0)=ROUND(IS!K33,0),"OK","ERROR")</f>
        <v>OK</v>
      </c>
      <c r="L74" s="208" t="str">
        <f>IF(ROUND(IS!L24,0)-ROUND(SUM(IS!L31:L32),0)=ROUND(IS!L33,0),"OK","ERROR")</f>
        <v>OK</v>
      </c>
      <c r="M74" s="208" t="str">
        <f>IF(ROUND(IS!M24,0)-ROUND(SUM(IS!M31:M32),0)=ROUND(IS!M33,0),"OK","ERROR")</f>
        <v>OK</v>
      </c>
      <c r="N74" s="226" t="str">
        <f>IF(ROUND(IS!N24,0)-ROUND(SUM(IS!N31:N32),0)=ROUND(IS!N33,0),"OK","ERROR")</f>
        <v>OK</v>
      </c>
      <c r="O74" s="210"/>
      <c r="P74" s="208" t="str">
        <f>IF(ROUND(IS!P24,0)-ROUND(SUM(IS!P31:P32),0)=ROUND(IS!P33,0),"OK","ERROR")</f>
        <v>OK</v>
      </c>
      <c r="Q74" s="208" t="str">
        <f>IF(ROUND(IS!Q24,0)-ROUND(SUM(IS!Q31:Q32),0)=ROUND(IS!Q33,0),"OK","ERROR")</f>
        <v>OK</v>
      </c>
      <c r="R74" s="208" t="str">
        <f>IF(ROUND(IS!R24,0)-ROUND(SUM(IS!R31:R32),0)=ROUND(IS!R33,0),"OK","ERROR")</f>
        <v>OK</v>
      </c>
      <c r="S74" s="208" t="str">
        <f>IF(ROUND(IS!S24,0)-ROUND(SUM(IS!S31:S32),0)=ROUND(IS!S33,0),"OK","ERROR")</f>
        <v>OK</v>
      </c>
      <c r="T74" s="226" t="str">
        <f>IF(ROUND(IS!T24,0)-ROUND(SUM(IS!T31:T32),0)=ROUND(IS!T33,0),"OK","ERROR")</f>
        <v>OK</v>
      </c>
      <c r="U74" s="210"/>
      <c r="V74" s="208" t="str">
        <f>IF(ROUND(IS!V24,0)-ROUND(SUM(IS!V31:V32),0)=ROUND(IS!V33,0),"OK","ERROR")</f>
        <v>OK</v>
      </c>
      <c r="W74" s="208" t="str">
        <f>IF(ROUND(IS!W24,0)-ROUND(SUM(IS!W31:W32),0)=ROUND(IS!W33,0),"OK","ERROR")</f>
        <v>OK</v>
      </c>
      <c r="X74" s="208" t="str">
        <f>IF(ROUND(IS!X24,0)-ROUND(SUM(IS!X31:X32),0)=ROUND(IS!X33,0),"OK","ERROR")</f>
        <v>OK</v>
      </c>
      <c r="Y74" s="208" t="str">
        <f>IF(ROUND(IS!Y24,0)-ROUND(SUM(IS!Y31:Y32),0)=ROUND(IS!Y33,0),"OK","ERROR")</f>
        <v>OK</v>
      </c>
      <c r="Z74" s="226" t="str">
        <f>IF(ROUND(IS!Z24,0)-ROUND(SUM(IS!Z31:Z32),0)=ROUND(IS!Z33,0),"OK","ERROR")</f>
        <v>OK</v>
      </c>
      <c r="AA74" s="213"/>
      <c r="AB74" s="208" t="str">
        <f>IF(ROUND(IS!AB24,0)-ROUND(SUM(IS!AB31:AB32),0)=ROUND(IS!AB33,0),"OK","ERROR")</f>
        <v>OK</v>
      </c>
      <c r="AC74" s="208" t="str">
        <f>IF(ROUND(IS!AC24,0)-ROUND(SUM(IS!AC31:AC32),0)=ROUND(IS!AC33,0),"OK","ERROR")</f>
        <v>OK</v>
      </c>
      <c r="AD74" s="208" t="str">
        <f>IF(ROUND(IS!AD24,0)-ROUND(SUM(IS!AD31:AD32),0)=ROUND(IS!AD33,0),"OK","ERROR")</f>
        <v>OK</v>
      </c>
      <c r="AE74" s="208" t="str">
        <f>IF(ROUND(IS!AE24,0)-ROUND(SUM(IS!AE31:AE32),0)=ROUND(IS!AE33,0),"OK","ERROR")</f>
        <v>OK</v>
      </c>
      <c r="AF74" s="226" t="str">
        <f>IF(ROUND(IS!AF24,0)-ROUND(SUM(IS!AF31:AF32),0)=ROUND(IS!AF33,0),"OK","ERROR")</f>
        <v>OK</v>
      </c>
      <c r="AG74" s="211"/>
      <c r="AH74" s="208" t="str">
        <f>IF(ROUND(IS!AH24,0)-ROUND(SUM(IS!AH31:AH32),0)=ROUND(IS!AH33,0),"OK","ERROR")</f>
        <v>OK</v>
      </c>
      <c r="AI74" s="208" t="str">
        <f>IF(ROUND(IS!AI24,0)-ROUND(SUM(IS!AI31:AI32),0)=ROUND(IS!AI33,0),"OK","ERROR")</f>
        <v>OK</v>
      </c>
      <c r="AJ74" s="208" t="str">
        <f>IF(ROUND(IS!AJ24,0)-ROUND(SUM(IS!AJ31:AJ32),0)=ROUND(IS!AJ33,0),"OK","ERROR")</f>
        <v>OK</v>
      </c>
      <c r="AK74" s="208" t="str">
        <f>IF(ROUND(IS!AK24,0)-ROUND(SUM(IS!AK31:AK32),0)=ROUND(IS!AK33,0),"OK","ERROR")</f>
        <v>OK</v>
      </c>
      <c r="AL74" s="226" t="str">
        <f>IF(ROUND(IS!AL24,0)-ROUND(SUM(IS!AL31:AL32),0)=ROUND(IS!AL33,0),"OK","ERROR")</f>
        <v>OK</v>
      </c>
      <c r="AM74" s="224"/>
      <c r="AN74" s="208" t="str">
        <f>IF(ROUND(IS!AN24,0)-ROUND(SUM(IS!AN31:AN32),0)=ROUND(IS!AN33,0),"OK","ERROR")</f>
        <v>OK</v>
      </c>
      <c r="AO74" s="208" t="str">
        <f>IF(ROUND(IS!AO24,0)-ROUND(SUM(IS!AO31:AO32),0)=ROUND(IS!AO33,0),"OK","ERROR")</f>
        <v>OK</v>
      </c>
      <c r="AP74" s="208" t="str">
        <f>IF(ROUND(IS!AP24,0)-ROUND(SUM(IS!AP31:AP32),0)=ROUND(IS!AP33,0),"OK","ERROR")</f>
        <v>OK</v>
      </c>
      <c r="AQ74" s="208" t="str">
        <f>IF(ROUND(IS!AQ24,0)-ROUND(SUM(IS!AQ31:AQ32),0)=ROUND(IS!AQ33,0),"OK","ERROR")</f>
        <v>OK</v>
      </c>
      <c r="AR74" s="226" t="str">
        <f>IF(ROUND(IS!AR24,0)-ROUND(SUM(IS!AR31:AR32),0)=ROUND(IS!AR33,0),"OK","ERROR")</f>
        <v>OK</v>
      </c>
      <c r="AS74" s="224"/>
      <c r="AT74" s="226" t="str">
        <f>IF(ROUND(IS!AT24,0)-ROUND(SUM(IS!AT31:AT32),0)=ROUND(IS!AT33,0),"OK","ERROR")</f>
        <v>OK</v>
      </c>
      <c r="AU74" s="225"/>
      <c r="AV74" s="226" t="str">
        <f>IF(ROUND(IS!AV24,0)-ROUND(SUM(IS!AV31:AV32),0)=ROUND(IS!AV33,0),"OK","ERROR")</f>
        <v>OK</v>
      </c>
      <c r="AW74" s="225"/>
      <c r="AX74" s="226" t="str">
        <f>IF(ROUND(IS!AX24,0)-ROUND(SUM(IS!AX31:AX32),0)=ROUND(IS!AX33,0),"OK","ERROR")</f>
        <v>OK</v>
      </c>
    </row>
    <row r="75" spans="1:50" ht="14.25" customHeight="1" x14ac:dyDescent="0.25">
      <c r="A75" s="73"/>
      <c r="B75" s="73"/>
      <c r="D75" s="208"/>
      <c r="E75" s="208"/>
      <c r="F75" s="208"/>
      <c r="G75" s="208"/>
      <c r="H75" s="220"/>
      <c r="I75" s="210"/>
      <c r="J75" s="208"/>
      <c r="K75" s="208"/>
      <c r="L75" s="208"/>
      <c r="M75" s="208"/>
      <c r="N75" s="220"/>
      <c r="O75" s="210"/>
      <c r="P75" s="208"/>
      <c r="Q75" s="208"/>
      <c r="R75" s="208"/>
      <c r="S75" s="208"/>
      <c r="T75" s="220"/>
      <c r="U75" s="210"/>
      <c r="V75" s="208"/>
      <c r="W75" s="208"/>
      <c r="X75" s="208"/>
      <c r="Y75" s="208"/>
      <c r="Z75" s="220"/>
      <c r="AA75" s="228"/>
      <c r="AB75" s="208"/>
      <c r="AC75" s="208"/>
      <c r="AD75" s="208"/>
      <c r="AE75" s="208"/>
      <c r="AF75" s="220"/>
      <c r="AG75" s="229"/>
      <c r="AH75" s="208"/>
      <c r="AI75" s="208"/>
      <c r="AJ75" s="208"/>
      <c r="AK75" s="208"/>
      <c r="AL75" s="220"/>
      <c r="AM75" s="233"/>
      <c r="AN75" s="208"/>
      <c r="AO75" s="208"/>
      <c r="AP75" s="208"/>
      <c r="AQ75" s="208"/>
      <c r="AR75" s="220"/>
      <c r="AS75" s="233"/>
      <c r="AT75" s="220"/>
      <c r="AU75" s="234"/>
      <c r="AV75" s="220"/>
      <c r="AW75" s="234"/>
      <c r="AX75" s="220"/>
    </row>
    <row r="76" spans="1:50" ht="14.25" customHeight="1" x14ac:dyDescent="0.25">
      <c r="A76" s="44" t="s">
        <v>70</v>
      </c>
      <c r="B76" s="65" t="s">
        <v>731</v>
      </c>
      <c r="D76" s="208"/>
      <c r="E76" s="208"/>
      <c r="F76" s="208"/>
      <c r="G76" s="208"/>
      <c r="H76" s="220"/>
      <c r="I76" s="210"/>
      <c r="J76" s="208"/>
      <c r="K76" s="208"/>
      <c r="L76" s="208"/>
      <c r="M76" s="208"/>
      <c r="N76" s="220"/>
      <c r="O76" s="210"/>
      <c r="P76" s="208"/>
      <c r="Q76" s="208"/>
      <c r="R76" s="208"/>
      <c r="S76" s="208"/>
      <c r="T76" s="220"/>
      <c r="U76" s="210"/>
      <c r="V76" s="208"/>
      <c r="W76" s="208"/>
      <c r="X76" s="208"/>
      <c r="Y76" s="208"/>
      <c r="Z76" s="220"/>
      <c r="AA76" s="213"/>
      <c r="AB76" s="208"/>
      <c r="AC76" s="208"/>
      <c r="AD76" s="208"/>
      <c r="AE76" s="208"/>
      <c r="AF76" s="220"/>
      <c r="AG76" s="211"/>
      <c r="AH76" s="208"/>
      <c r="AI76" s="208"/>
      <c r="AJ76" s="208"/>
      <c r="AK76" s="208"/>
      <c r="AL76" s="220"/>
      <c r="AM76" s="224"/>
      <c r="AN76" s="208"/>
      <c r="AO76" s="208"/>
      <c r="AP76" s="208"/>
      <c r="AQ76" s="208"/>
      <c r="AR76" s="220"/>
      <c r="AS76" s="224"/>
      <c r="AT76" s="220"/>
      <c r="AU76" s="225"/>
      <c r="AV76" s="220"/>
      <c r="AW76" s="225"/>
      <c r="AX76" s="220"/>
    </row>
    <row r="77" spans="1:50" ht="14.25" customHeight="1" x14ac:dyDescent="0.25">
      <c r="A77" s="84"/>
      <c r="B77" s="90" t="s">
        <v>669</v>
      </c>
      <c r="D77" s="208" t="str">
        <f>IF(ROUND(IS!D33,0)-ROUND(IS!D41,0)=ROUND(IS!D42,0),"OK","ERROR")</f>
        <v>OK</v>
      </c>
      <c r="E77" s="208" t="str">
        <f>IF(ROUND(IS!E33,0)-ROUND(IS!E41,0)=ROUND(IS!E42,0),"OK","ERROR")</f>
        <v>OK</v>
      </c>
      <c r="F77" s="208" t="str">
        <f>IF(ROUND(IS!F33,0)-ROUND(IS!F41,0)=ROUND(IS!F42,0),"OK","ERROR")</f>
        <v>OK</v>
      </c>
      <c r="G77" s="208" t="str">
        <f>IF(ROUND(IS!G33,0)-ROUND(IS!G41,0)=ROUND(IS!G42,0),"OK","ERROR")</f>
        <v>OK</v>
      </c>
      <c r="H77" s="227" t="str">
        <f>IF(ROUND(IS!H33,0)-ROUND(IS!H41,0)=ROUND(IS!H42,0),"OK","ERROR")</f>
        <v>OK</v>
      </c>
      <c r="I77" s="210"/>
      <c r="J77" s="208" t="str">
        <f>IF(ROUND(IS!J33,0)-ROUND(IS!J41,0)=ROUND(IS!J42,0),"OK","ERROR")</f>
        <v>OK</v>
      </c>
      <c r="K77" s="208" t="str">
        <f>IF(ROUND(IS!K33,0)-ROUND(IS!K41,0)=ROUND(IS!K42,0),"OK","ERROR")</f>
        <v>OK</v>
      </c>
      <c r="L77" s="208" t="str">
        <f>IF(ROUND(IS!L33,0)-ROUND(IS!L41,0)=ROUND(IS!L42,0),"OK","ERROR")</f>
        <v>OK</v>
      </c>
      <c r="M77" s="208" t="str">
        <f>IF(ROUND(IS!M33,0)-ROUND(IS!M41,0)=ROUND(IS!M42,0),"OK","ERROR")</f>
        <v>OK</v>
      </c>
      <c r="N77" s="227" t="str">
        <f>IF(ROUND(IS!N33,0)-ROUND(IS!N41,0)=ROUND(IS!N42,0),"OK","ERROR")</f>
        <v>OK</v>
      </c>
      <c r="O77" s="210"/>
      <c r="P77" s="208" t="str">
        <f>IF(ROUND(IS!P33,0)-ROUND(IS!P41,0)=ROUND(IS!P42,0),"OK","ERROR")</f>
        <v>OK</v>
      </c>
      <c r="Q77" s="208" t="str">
        <f>IF(ROUND(IS!Q33,0)-ROUND(IS!Q41,0)=ROUND(IS!Q42,0),"OK","ERROR")</f>
        <v>OK</v>
      </c>
      <c r="R77" s="208" t="str">
        <f>IF(ROUND(IS!R33,0)-ROUND(IS!R41,0)=ROUND(IS!R42,0),"OK","ERROR")</f>
        <v>OK</v>
      </c>
      <c r="S77" s="208" t="str">
        <f>IF(ROUND(IS!S33,0)-ROUND(IS!S41,0)=ROUND(IS!S42,0),"OK","ERROR")</f>
        <v>OK</v>
      </c>
      <c r="T77" s="227" t="str">
        <f>IF(ROUND(IS!T33,0)-ROUND(IS!T41,0)=ROUND(IS!T42,0),"OK","ERROR")</f>
        <v>OK</v>
      </c>
      <c r="U77" s="210"/>
      <c r="V77" s="208" t="str">
        <f>IF(ROUND(IS!V33,0)-ROUND(IS!V41,0)=ROUND(IS!V42,0),"OK","ERROR")</f>
        <v>OK</v>
      </c>
      <c r="W77" s="208" t="str">
        <f>IF(ROUND(IS!W33,0)-ROUND(IS!W41,0)=ROUND(IS!W42,0),"OK","ERROR")</f>
        <v>OK</v>
      </c>
      <c r="X77" s="208" t="str">
        <f>IF(ROUND(IS!X33,0)-ROUND(IS!X41,0)=ROUND(IS!X42,0),"OK","ERROR")</f>
        <v>OK</v>
      </c>
      <c r="Y77" s="208" t="str">
        <f>IF(ROUND(IS!Y33,0)-ROUND(IS!Y41,0)=ROUND(IS!Y42,0),"OK","ERROR")</f>
        <v>OK</v>
      </c>
      <c r="Z77" s="227" t="str">
        <f>IF(ROUND(IS!Z33,0)-ROUND(IS!Z41,0)=ROUND(IS!Z42,0),"OK","ERROR")</f>
        <v>OK</v>
      </c>
      <c r="AA77" s="213"/>
      <c r="AB77" s="208" t="str">
        <f>IF(ROUND(IS!AB33,0)-ROUND(IS!AB41,0)=ROUND(IS!AB42,0),"OK","ERROR")</f>
        <v>OK</v>
      </c>
      <c r="AC77" s="208" t="str">
        <f>IF(ROUND(IS!AC33,0)-ROUND(IS!AC41,0)=ROUND(IS!AC42,0),"OK","ERROR")</f>
        <v>OK</v>
      </c>
      <c r="AD77" s="208" t="str">
        <f>IF(ROUND(IS!AD33,0)-ROUND(IS!AD41,0)=ROUND(IS!AD42,0),"OK","ERROR")</f>
        <v>OK</v>
      </c>
      <c r="AE77" s="208" t="str">
        <f>IF(ROUND(IS!AE33,0)-ROUND(IS!AE41,0)=ROUND(IS!AE42,0),"OK","ERROR")</f>
        <v>OK</v>
      </c>
      <c r="AF77" s="227" t="str">
        <f>IF(ROUND(IS!AF33,0)-ROUND(IS!AF41,0)=ROUND(IS!AF42,0),"OK","ERROR")</f>
        <v>OK</v>
      </c>
      <c r="AG77" s="211"/>
      <c r="AH77" s="208" t="str">
        <f>IF(ROUND(IS!AH33,0)-ROUND(IS!AH41,0)=ROUND(IS!AH42,0),"OK","ERROR")</f>
        <v>OK</v>
      </c>
      <c r="AI77" s="208" t="str">
        <f>IF(ROUND(IS!AI33,0)-ROUND(IS!AI41,0)=ROUND(IS!AI42,0),"OK","ERROR")</f>
        <v>OK</v>
      </c>
      <c r="AJ77" s="208" t="str">
        <f>IF(ROUND(IS!AJ33,0)-ROUND(IS!AJ41,0)=ROUND(IS!AJ42,0),"OK","ERROR")</f>
        <v>OK</v>
      </c>
      <c r="AK77" s="208" t="str">
        <f>IF(ROUND(IS!AK33,0)-ROUND(IS!AK41,0)=ROUND(IS!AK42,0),"OK","ERROR")</f>
        <v>OK</v>
      </c>
      <c r="AL77" s="227" t="str">
        <f>IF(ROUND(IS!AL33,0)-ROUND(IS!AL41,0)=ROUND(IS!AL42,0),"OK","ERROR")</f>
        <v>OK</v>
      </c>
      <c r="AM77" s="213"/>
      <c r="AN77" s="208" t="str">
        <f>IF(ROUND(IS!AN33,0)-ROUND(IS!AN41,0)=ROUND(IS!AN42,0),"OK","ERROR")</f>
        <v>OK</v>
      </c>
      <c r="AO77" s="208" t="str">
        <f>IF(ROUND(IS!AO33,0)-ROUND(IS!AO41,0)=ROUND(IS!AO42,0),"OK","ERROR")</f>
        <v>OK</v>
      </c>
      <c r="AP77" s="208" t="str">
        <f>IF(ROUND(IS!AP33,0)-ROUND(IS!AP41,0)=ROUND(IS!AP42,0),"OK","ERROR")</f>
        <v>OK</v>
      </c>
      <c r="AQ77" s="208" t="str">
        <f>IF(ROUND(IS!AQ33,0)-ROUND(IS!AQ41,0)=ROUND(IS!AQ42,0),"OK","ERROR")</f>
        <v>OK</v>
      </c>
      <c r="AR77" s="227" t="str">
        <f>IF(ROUND(IS!AR33,0)-ROUND(IS!AR41,0)=ROUND(IS!AR42,0),"OK","ERROR")</f>
        <v>OK</v>
      </c>
      <c r="AS77" s="213"/>
      <c r="AT77" s="227" t="str">
        <f>IF(ROUND(IS!AT33,0)-ROUND(IS!AT41,0)=ROUND(IS!AT42,0),"OK","ERROR")</f>
        <v>OK</v>
      </c>
      <c r="AU77" s="215"/>
      <c r="AV77" s="227" t="str">
        <f>IF(ROUND(IS!AV33,0)-ROUND(IS!AV41,0)=ROUND(IS!AV42,0),"OK","ERROR")</f>
        <v>OK</v>
      </c>
      <c r="AW77" s="215"/>
      <c r="AX77" s="227" t="str">
        <f>IF(ROUND(IS!AX33,0)-ROUND(IS!AX41,0)=ROUND(IS!AX42,0),"OK","ERROR")</f>
        <v>OK</v>
      </c>
    </row>
    <row r="78" spans="1:50" ht="14.25" customHeight="1" x14ac:dyDescent="0.25">
      <c r="A78" s="73"/>
      <c r="B78" s="76"/>
      <c r="D78" s="208"/>
      <c r="E78" s="208"/>
      <c r="F78" s="208"/>
      <c r="G78" s="208"/>
      <c r="H78" s="220"/>
      <c r="I78" s="210"/>
      <c r="J78" s="208"/>
      <c r="K78" s="208"/>
      <c r="L78" s="208"/>
      <c r="M78" s="208"/>
      <c r="N78" s="220"/>
      <c r="O78" s="210"/>
      <c r="P78" s="208"/>
      <c r="Q78" s="208"/>
      <c r="R78" s="208"/>
      <c r="S78" s="208"/>
      <c r="T78" s="220"/>
      <c r="U78" s="210"/>
      <c r="V78" s="208"/>
      <c r="W78" s="208"/>
      <c r="X78" s="208"/>
      <c r="Y78" s="208"/>
      <c r="Z78" s="220"/>
      <c r="AA78" s="213"/>
      <c r="AB78" s="208"/>
      <c r="AC78" s="208"/>
      <c r="AD78" s="208"/>
      <c r="AE78" s="208"/>
      <c r="AF78" s="220"/>
      <c r="AG78" s="211"/>
      <c r="AH78" s="208"/>
      <c r="AI78" s="208"/>
      <c r="AJ78" s="208"/>
      <c r="AK78" s="208"/>
      <c r="AL78" s="220"/>
      <c r="AM78" s="213"/>
      <c r="AN78" s="208"/>
      <c r="AO78" s="208"/>
      <c r="AP78" s="208"/>
      <c r="AQ78" s="208"/>
      <c r="AR78" s="220"/>
      <c r="AS78" s="213"/>
      <c r="AT78" s="220"/>
      <c r="AU78" s="215"/>
      <c r="AV78" s="220"/>
      <c r="AW78" s="215"/>
      <c r="AX78" s="220"/>
    </row>
    <row r="79" spans="1:50" ht="14.25" customHeight="1" x14ac:dyDescent="0.25">
      <c r="A79" s="44" t="s">
        <v>70</v>
      </c>
      <c r="B79" s="65" t="s">
        <v>738</v>
      </c>
      <c r="D79" s="208"/>
      <c r="E79" s="208"/>
      <c r="F79" s="208"/>
      <c r="G79" s="208"/>
      <c r="H79" s="220"/>
      <c r="I79" s="210"/>
      <c r="J79" s="208"/>
      <c r="K79" s="208"/>
      <c r="L79" s="208"/>
      <c r="M79" s="208"/>
      <c r="N79" s="220"/>
      <c r="O79" s="210"/>
      <c r="P79" s="208"/>
      <c r="Q79" s="208"/>
      <c r="R79" s="208"/>
      <c r="S79" s="208"/>
      <c r="T79" s="220"/>
      <c r="U79" s="210"/>
      <c r="V79" s="208"/>
      <c r="W79" s="208"/>
      <c r="X79" s="208"/>
      <c r="Y79" s="208"/>
      <c r="Z79" s="220"/>
      <c r="AA79" s="213"/>
      <c r="AB79" s="208"/>
      <c r="AC79" s="208"/>
      <c r="AD79" s="208"/>
      <c r="AE79" s="208"/>
      <c r="AF79" s="220"/>
      <c r="AG79" s="211"/>
      <c r="AH79" s="208"/>
      <c r="AI79" s="208"/>
      <c r="AJ79" s="208"/>
      <c r="AK79" s="208"/>
      <c r="AL79" s="220"/>
      <c r="AM79" s="213"/>
      <c r="AN79" s="208"/>
      <c r="AO79" s="208"/>
      <c r="AP79" s="208"/>
      <c r="AQ79" s="208"/>
      <c r="AR79" s="220"/>
      <c r="AS79" s="213"/>
      <c r="AT79" s="220"/>
      <c r="AU79" s="215"/>
      <c r="AV79" s="220"/>
      <c r="AW79" s="215"/>
      <c r="AX79" s="220"/>
    </row>
    <row r="80" spans="1:50" ht="14.25" customHeight="1" thickBot="1" x14ac:dyDescent="0.3">
      <c r="A80" s="73"/>
      <c r="B80" s="70" t="s">
        <v>740</v>
      </c>
      <c r="D80" s="208" t="str">
        <f>IF(ROUND(IS!D42,0)-ROUND(SUM(IS!D45:D46),0)=ROUND(IS!D47,0),"OK","ERROR")</f>
        <v>OK</v>
      </c>
      <c r="E80" s="208" t="str">
        <f>IF(ROUND(IS!E42,0)-ROUND(SUM(IS!E45:E46),0)=ROUND(IS!E47,0),"OK","ERROR")</f>
        <v>OK</v>
      </c>
      <c r="F80" s="208" t="str">
        <f>IF(ROUND(IS!F42,0)-ROUND(SUM(IS!F45:F46),0)=ROUND(IS!F47,0),"OK","ERROR")</f>
        <v>OK</v>
      </c>
      <c r="G80" s="208" t="str">
        <f>IF(ROUND(IS!G42,0)-ROUND(SUM(IS!G45:G46),0)=ROUND(IS!G47,0),"OK","ERROR")</f>
        <v>ERROR</v>
      </c>
      <c r="H80" s="237" t="str">
        <f>IF(ROUND(IS!H42,0)-ROUND(SUM(IS!H45:H46),0)=ROUND(IS!H47,0),"OK","ERROR")</f>
        <v>OK</v>
      </c>
      <c r="I80" s="210"/>
      <c r="J80" s="208" t="str">
        <f>IF(ROUND(IS!J42,0)-ROUND(SUM(IS!J45:J46),0)=ROUND(IS!J47,0),"OK","ERROR")</f>
        <v>OK</v>
      </c>
      <c r="K80" s="208" t="str">
        <f>IF(ROUND(IS!K42,0)-ROUND(SUM(IS!K45:K46),0)=ROUND(IS!K47,0),"OK","ERROR")</f>
        <v>OK</v>
      </c>
      <c r="L80" s="208" t="str">
        <f>IF(ROUND(IS!L42,0)-ROUND(SUM(IS!L45:L46),0)=ROUND(IS!L47,0),"OK","ERROR")</f>
        <v>OK</v>
      </c>
      <c r="M80" s="208" t="str">
        <f>IF(ROUND(IS!M42,0)-ROUND(SUM(IS!M45:M46),0)=ROUND(IS!M47,0),"OK","ERROR")</f>
        <v>OK</v>
      </c>
      <c r="N80" s="237" t="str">
        <f>IF(ROUND(IS!N42,0)-ROUND(SUM(IS!N45:N46),0)=ROUND(IS!N47,0),"OK","ERROR")</f>
        <v>OK</v>
      </c>
      <c r="O80" s="210"/>
      <c r="P80" s="208" t="str">
        <f>IF(ROUND(IS!P42,0)-ROUND(SUM(IS!P45:P46),0)=ROUND(IS!P47,0),"OK","ERROR")</f>
        <v>OK</v>
      </c>
      <c r="Q80" s="208" t="str">
        <f>IF(ROUND(IS!Q42,0)-ROUND(SUM(IS!Q45:Q46),0)=ROUND(IS!Q47,0),"OK","ERROR")</f>
        <v>OK</v>
      </c>
      <c r="R80" s="208" t="str">
        <f>IF(ROUND(IS!R42,0)-ROUND(SUM(IS!R45:R46),0)=ROUND(IS!R47,0),"OK","ERROR")</f>
        <v>OK</v>
      </c>
      <c r="S80" s="208" t="str">
        <f>IF(ROUND(IS!S42,0)-ROUND(SUM(IS!S45:S46),0)=ROUND(IS!S47,0),"OK","ERROR")</f>
        <v>OK</v>
      </c>
      <c r="T80" s="237" t="str">
        <f>IF(ROUND(IS!T42,0)-ROUND(SUM(IS!T45:T46),0)=ROUND(IS!T47,0),"OK","ERROR")</f>
        <v>OK</v>
      </c>
      <c r="U80" s="210"/>
      <c r="V80" s="208" t="str">
        <f>IF(ROUND(IS!V42,0)-ROUND(SUM(IS!V45:V46),0)=ROUND(IS!V47,0),"OK","ERROR")</f>
        <v>OK</v>
      </c>
      <c r="W80" s="208" t="str">
        <f>IF(ROUND(IS!W42,0)-ROUND(SUM(IS!W45:W46),0)=ROUND(IS!W47,0),"OK","ERROR")</f>
        <v>OK</v>
      </c>
      <c r="X80" s="208" t="str">
        <f>IF(ROUND(IS!X42,0)-ROUND(SUM(IS!X45:X46),0)=ROUND(IS!X47,0),"OK","ERROR")</f>
        <v>OK</v>
      </c>
      <c r="Y80" s="208" t="str">
        <f>IF(ROUND(IS!Y42,0)-ROUND(SUM(IS!Y45:Y46),0)=ROUND(IS!Y47,0),"OK","ERROR")</f>
        <v>OK</v>
      </c>
      <c r="Z80" s="237" t="str">
        <f>IF(ROUND(IS!Z42,0)-ROUND(SUM(IS!Z45:Z46),0)=ROUND(IS!Z47,0),"OK","ERROR")</f>
        <v>OK</v>
      </c>
      <c r="AA80" s="213"/>
      <c r="AB80" s="208" t="str">
        <f>IF(ROUND(IS!AB42,0)-ROUND(SUM(IS!AB45:AB46),0)=ROUND(IS!AB47,0),"OK","ERROR")</f>
        <v>OK</v>
      </c>
      <c r="AC80" s="208" t="str">
        <f>IF(ROUND(IS!AC42,0)-ROUND(SUM(IS!AC45:AC46),0)=ROUND(IS!AC47,0),"OK","ERROR")</f>
        <v>OK</v>
      </c>
      <c r="AD80" s="208" t="str">
        <f>IF(ROUND(IS!AD42,0)-ROUND(SUM(IS!AD45:AD46),0)=ROUND(IS!AD47,0),"OK","ERROR")</f>
        <v>OK</v>
      </c>
      <c r="AE80" s="208" t="str">
        <f>IF(ROUND(IS!AE42,0)-ROUND(SUM(IS!AE45:AE46),0)=ROUND(IS!AE47,0),"OK","ERROR")</f>
        <v>OK</v>
      </c>
      <c r="AF80" s="237" t="str">
        <f>IF(ROUND(IS!AF42,0)-ROUND(SUM(IS!AF45:AF46),0)=ROUND(IS!AF47,0),"OK","ERROR")</f>
        <v>OK</v>
      </c>
      <c r="AG80" s="211"/>
      <c r="AH80" s="208" t="str">
        <f>IF(ROUND(IS!AH42,0)-ROUND(SUM(IS!AH45:AH46),0)=ROUND(IS!AH47,0),"OK","ERROR")</f>
        <v>OK</v>
      </c>
      <c r="AI80" s="208" t="str">
        <f>IF(ROUND(IS!AI42,0)-ROUND(SUM(IS!AI45:AI46),0)=ROUND(IS!AI47,0),"OK","ERROR")</f>
        <v>OK</v>
      </c>
      <c r="AJ80" s="208" t="str">
        <f>IF(ROUND(IS!AJ42,0)-ROUND(SUM(IS!AJ45:AJ46),0)=ROUND(IS!AJ47,0),"OK","ERROR")</f>
        <v>OK</v>
      </c>
      <c r="AK80" s="208" t="str">
        <f>IF(ROUND(IS!AK42,0)-ROUND(SUM(IS!AK45:AK46),0)=ROUND(IS!AK47,0),"OK","ERROR")</f>
        <v>OK</v>
      </c>
      <c r="AL80" s="237" t="str">
        <f>IF(ROUND(IS!AL42,0)-ROUND(SUM(IS!AL45:AL46),0)=ROUND(IS!AL47,0),"OK","ERROR")</f>
        <v>OK</v>
      </c>
      <c r="AM80" s="236"/>
      <c r="AN80" s="208" t="str">
        <f>IF(ROUND(IS!AN42,0)-ROUND(SUM(IS!AN45:AN46),0)=ROUND(IS!AN47,0),"OK","ERROR")</f>
        <v>OK</v>
      </c>
      <c r="AO80" s="208" t="str">
        <f>IF(ROUND(IS!AO42,0)-ROUND(SUM(IS!AO45:AO46),0)=ROUND(IS!AO47,0),"OK","ERROR")</f>
        <v>OK</v>
      </c>
      <c r="AP80" s="208" t="str">
        <f>IF(ROUND(IS!AP42,0)-ROUND(SUM(IS!AP45:AP46),0)=ROUND(IS!AP47,0),"OK","ERROR")</f>
        <v>OK</v>
      </c>
      <c r="AQ80" s="208" t="str">
        <f>IF(ROUND(IS!AQ42,0)-ROUND(SUM(IS!AQ45:AQ46),0)=ROUND(IS!AQ47,0),"OK","ERROR")</f>
        <v>OK</v>
      </c>
      <c r="AR80" s="237" t="str">
        <f>IF(ROUND(IS!AR42,0)-ROUND(SUM(IS!AR45:AR46),0)=ROUND(IS!AR47,0),"OK","ERROR")</f>
        <v>OK</v>
      </c>
      <c r="AS80" s="213"/>
      <c r="AT80" s="237" t="str">
        <f>IF(ROUND(IS!AT42,0)-ROUND(SUM(IS!AT45:AT46),0)=ROUND(IS!AT47,0),"OK","ERROR")</f>
        <v>OK</v>
      </c>
      <c r="AU80" s="215"/>
      <c r="AV80" s="237" t="str">
        <f>IF(ROUND(IS!AV42,0)-ROUND(SUM(IS!AV45:AV46),0)=ROUND(IS!AV47,0),"OK","ERROR")</f>
        <v>OK</v>
      </c>
      <c r="AW80" s="215"/>
      <c r="AX80" s="237" t="str">
        <f>IF(ROUND(IS!AX42,0)-ROUND(SUM(IS!AX45:AX46),0)=ROUND(IS!AX47,0),"OK","ERROR")</f>
        <v>OK</v>
      </c>
    </row>
    <row r="82" spans="1:50" ht="14.25" customHeight="1" x14ac:dyDescent="0.25">
      <c r="A82" s="44" t="s">
        <v>70</v>
      </c>
      <c r="B82" s="65" t="s">
        <v>741</v>
      </c>
      <c r="D82" s="208"/>
      <c r="E82" s="208"/>
      <c r="F82" s="208"/>
      <c r="G82" s="208"/>
      <c r="H82" s="220"/>
      <c r="I82" s="210"/>
      <c r="J82" s="208"/>
      <c r="K82" s="208"/>
      <c r="L82" s="208"/>
      <c r="M82" s="208"/>
      <c r="N82" s="220"/>
      <c r="O82" s="210"/>
      <c r="P82" s="208"/>
      <c r="Q82" s="208"/>
      <c r="R82" s="208"/>
      <c r="S82" s="208"/>
      <c r="T82" s="220"/>
      <c r="U82" s="210"/>
      <c r="V82" s="208"/>
      <c r="W82" s="208"/>
      <c r="X82" s="208"/>
      <c r="Y82" s="208"/>
      <c r="Z82" s="220"/>
      <c r="AA82" s="210"/>
      <c r="AB82" s="208"/>
      <c r="AC82" s="208"/>
      <c r="AD82" s="208"/>
      <c r="AE82" s="208"/>
      <c r="AF82" s="220"/>
      <c r="AG82" s="238"/>
      <c r="AH82" s="208"/>
      <c r="AI82" s="208"/>
      <c r="AJ82" s="208"/>
      <c r="AK82" s="208"/>
      <c r="AL82" s="220"/>
      <c r="AM82" s="210"/>
      <c r="AN82" s="208"/>
      <c r="AO82" s="208"/>
      <c r="AP82" s="208"/>
      <c r="AQ82" s="208"/>
      <c r="AR82" s="220"/>
      <c r="AS82" s="210"/>
      <c r="AT82" s="220"/>
      <c r="AU82" s="239"/>
      <c r="AV82" s="220"/>
      <c r="AW82" s="239"/>
      <c r="AX82" s="220"/>
    </row>
    <row r="83" spans="1:50" ht="14.25" customHeight="1" thickBot="1" x14ac:dyDescent="0.3">
      <c r="A83" s="73"/>
      <c r="B83" s="76" t="s">
        <v>744</v>
      </c>
      <c r="D83" s="208" t="str">
        <f>IF(ROUND(IS!D47,0)-ROUND(SUM(IS!D50:D51),0)=ROUND(IS!D52,0),"OK","ERROR")</f>
        <v>OK</v>
      </c>
      <c r="E83" s="208" t="str">
        <f>IF(ROUND(IS!E47,0)-ROUND(SUM(IS!E50:E51),0)=ROUND(IS!E52,0),"OK","ERROR")</f>
        <v>OK</v>
      </c>
      <c r="F83" s="208" t="str">
        <f>IF(ROUND(IS!F47,0)-ROUND(SUM(IS!F50:F51),0)=ROUND(IS!F52,0),"OK","ERROR")</f>
        <v>OK</v>
      </c>
      <c r="G83" s="208" t="str">
        <f>IF(ROUND(IS!G47,0)-ROUND(SUM(IS!G50:G51),0)=ROUND(IS!G52,0),"OK","ERROR")</f>
        <v>OK</v>
      </c>
      <c r="H83" s="237" t="str">
        <f>IF(ROUND(IS!H47,0)-ROUND(SUM(IS!H50:H51),0)=ROUND(IS!H52,0),"OK","ERROR")</f>
        <v>OK</v>
      </c>
      <c r="I83" s="210"/>
      <c r="J83" s="208" t="str">
        <f>IF(ROUND(IS!J47,0)-ROUND(SUM(IS!J50:J51),0)=ROUND(IS!J52,0),"OK","ERROR")</f>
        <v>OK</v>
      </c>
      <c r="K83" s="208" t="str">
        <f>IF(ROUND(IS!K47,0)-ROUND(SUM(IS!K50:K51),0)=ROUND(IS!K52,0),"OK","ERROR")</f>
        <v>OK</v>
      </c>
      <c r="L83" s="208" t="str">
        <f>IF(ROUND(IS!L47,0)-ROUND(SUM(IS!L50:L51),0)=ROUND(IS!L52,0),"OK","ERROR")</f>
        <v>OK</v>
      </c>
      <c r="M83" s="208" t="str">
        <f>IF(ROUND(IS!M47,0)-ROUND(SUM(IS!M50:M51),0)=ROUND(IS!M52,0),"OK","ERROR")</f>
        <v>OK</v>
      </c>
      <c r="N83" s="237" t="str">
        <f>IF(ROUND(IS!N47,0)-ROUND(SUM(IS!N50:N51),0)=ROUND(IS!N52,0),"OK","ERROR")</f>
        <v>OK</v>
      </c>
      <c r="O83" s="210"/>
      <c r="P83" s="208" t="str">
        <f>IF(ROUND(IS!P47,0)-ROUND(SUM(IS!P50:P51),0)=ROUND(IS!P52,0),"OK","ERROR")</f>
        <v>OK</v>
      </c>
      <c r="Q83" s="208" t="str">
        <f>IF(ROUND(IS!Q47,0)-ROUND(SUM(IS!Q50:Q51),0)=ROUND(IS!Q52,0),"OK","ERROR")</f>
        <v>OK</v>
      </c>
      <c r="R83" s="208" t="str">
        <f>IF(ROUND(IS!R47,0)-ROUND(SUM(IS!R50:R51),0)=ROUND(IS!R52,0),"OK","ERROR")</f>
        <v>OK</v>
      </c>
      <c r="S83" s="208" t="str">
        <f>IF(ROUND(IS!S47,0)-ROUND(SUM(IS!S50:S51),0)=ROUND(IS!S52,0),"OK","ERROR")</f>
        <v>OK</v>
      </c>
      <c r="T83" s="237" t="str">
        <f>IF(ROUND(IS!T47,0)-ROUND(SUM(IS!T50:T51),0)=ROUND(IS!T52,0),"OK","ERROR")</f>
        <v>OK</v>
      </c>
      <c r="U83" s="210"/>
      <c r="V83" s="208" t="str">
        <f>IF(ROUND(IS!V47,0)-ROUND(SUM(IS!V50:V51),0)=ROUND(IS!V52,0),"OK","ERROR")</f>
        <v>OK</v>
      </c>
      <c r="W83" s="208" t="str">
        <f>IF(ROUND(IS!W47,0)-ROUND(SUM(IS!W50:W51),0)=ROUND(IS!W52,0),"OK","ERROR")</f>
        <v>OK</v>
      </c>
      <c r="X83" s="208" t="str">
        <f>IF(ROUND(IS!X47,0)-ROUND(SUM(IS!X50:X51),0)=ROUND(IS!X52,0),"OK","ERROR")</f>
        <v>OK</v>
      </c>
      <c r="Y83" s="208" t="str">
        <f>IF(ROUND(IS!Y47,0)-ROUND(SUM(IS!Y50:Y51),0)=ROUND(IS!Y52,0),"OK","ERROR")</f>
        <v>OK</v>
      </c>
      <c r="Z83" s="237" t="str">
        <f>IF(ROUND(IS!Z47,0)-ROUND(SUM(IS!Z50:Z51),0)=ROUND(IS!Z52,0),"OK","ERROR")</f>
        <v>OK</v>
      </c>
      <c r="AA83" s="210"/>
      <c r="AB83" s="208" t="str">
        <f>IF(ROUND(IS!AB47,0)-ROUND(SUM(IS!AB50:AB51),0)=ROUND(IS!AB52,0),"OK","ERROR")</f>
        <v>OK</v>
      </c>
      <c r="AC83" s="208" t="str">
        <f>IF(ROUND(IS!AC47,0)-ROUND(SUM(IS!AC50:AC51),0)=ROUND(IS!AC52,0),"OK","ERROR")</f>
        <v>OK</v>
      </c>
      <c r="AD83" s="208" t="str">
        <f>IF(ROUND(IS!AD47,0)-ROUND(SUM(IS!AD50:AD51),0)=ROUND(IS!AD52,0),"OK","ERROR")</f>
        <v>OK</v>
      </c>
      <c r="AE83" s="208" t="str">
        <f>IF(ROUND(IS!AE47,0)-ROUND(SUM(IS!AE50:AE51),0)=ROUND(IS!AE52,0),"OK","ERROR")</f>
        <v>OK</v>
      </c>
      <c r="AF83" s="237" t="str">
        <f>IF(ROUND(IS!AF47,0)-ROUND(SUM(IS!AF50:AF51),0)=ROUND(IS!AF52,0),"OK","ERROR")</f>
        <v>OK</v>
      </c>
      <c r="AG83" s="238"/>
      <c r="AH83" s="208" t="str">
        <f>IF(ROUND(IS!AH47,0)-ROUND(SUM(IS!AH50:AH51),0)=ROUND(IS!AH52,0),"OK","ERROR")</f>
        <v>OK</v>
      </c>
      <c r="AI83" s="208" t="str">
        <f>IF(ROUND(IS!AI47,0)-ROUND(SUM(IS!AI50:AI51),0)=ROUND(IS!AI52,0),"OK","ERROR")</f>
        <v>OK</v>
      </c>
      <c r="AJ83" s="208" t="str">
        <f>IF(ROUND(IS!AJ47,0)-ROUND(SUM(IS!AJ50:AJ51),0)=ROUND(IS!AJ52,0),"OK","ERROR")</f>
        <v>OK</v>
      </c>
      <c r="AK83" s="208" t="str">
        <f>IF(ROUND(IS!AK47,0)-ROUND(SUM(IS!AK50:AK51),0)=ROUND(IS!AK52,0),"OK","ERROR")</f>
        <v>OK</v>
      </c>
      <c r="AL83" s="237" t="str">
        <f>IF(ROUND(IS!AL47,0)-ROUND(SUM(IS!AL50:AL51),0)=ROUND(IS!AL52,0),"OK","ERROR")</f>
        <v>OK</v>
      </c>
      <c r="AM83" s="210"/>
      <c r="AN83" s="208" t="str">
        <f>IF(ROUND(IS!AN47,0)-ROUND(SUM(IS!AN50:AN51),0)=ROUND(IS!AN52,0),"OK","ERROR")</f>
        <v>OK</v>
      </c>
      <c r="AO83" s="208" t="str">
        <f>IF(ROUND(IS!AO47,0)-ROUND(SUM(IS!AO50:AO51),0)=ROUND(IS!AO52,0),"OK","ERROR")</f>
        <v>OK</v>
      </c>
      <c r="AP83" s="208" t="str">
        <f>IF(ROUND(IS!AP47,0)-ROUND(SUM(IS!AP50:AP51),0)=ROUND(IS!AP52,0),"OK","ERROR")</f>
        <v>OK</v>
      </c>
      <c r="AQ83" s="208" t="str">
        <f>IF(ROUND(IS!AQ47,0)-ROUND(SUM(IS!AQ50:AQ51),0)=ROUND(IS!AQ52,0),"OK","ERROR")</f>
        <v>OK</v>
      </c>
      <c r="AR83" s="237" t="str">
        <f>IF(ROUND(IS!AR47,0)-ROUND(SUM(IS!AR50:AR51),0)=ROUND(IS!AR52,0),"OK","ERROR")</f>
        <v>OK</v>
      </c>
      <c r="AS83" s="210"/>
      <c r="AT83" s="237" t="str">
        <f>IF(ROUND(IS!AT47,0)-ROUND(SUM(IS!AT50:AT51),0)=ROUND(IS!AT52,0),"OK","ERROR")</f>
        <v>OK</v>
      </c>
      <c r="AU83" s="239"/>
      <c r="AV83" s="237" t="str">
        <f>IF(ROUND(IS!AV47,0)-ROUND(SUM(IS!AV50:AV51),0)=ROUND(IS!AV52,0),"OK","ERROR")</f>
        <v>OK</v>
      </c>
      <c r="AW83" s="239"/>
      <c r="AX83" s="237" t="str">
        <f>IF(ROUND(IS!AX47,0)-ROUND(SUM(IS!AX50:AX51),0)=ROUND(IS!AX52,0),"OK","ERROR")</f>
        <v>OK</v>
      </c>
    </row>
    <row r="84" spans="1:50" ht="14.25" customHeight="1" thickTop="1" x14ac:dyDescent="0.25">
      <c r="A84" s="55"/>
      <c r="D84" s="208"/>
      <c r="E84" s="208"/>
      <c r="F84" s="208"/>
      <c r="G84" s="208"/>
      <c r="H84" s="220"/>
      <c r="I84" s="210"/>
      <c r="J84" s="208"/>
      <c r="K84" s="208"/>
      <c r="L84" s="208"/>
      <c r="M84" s="208"/>
      <c r="N84" s="220"/>
      <c r="O84" s="210"/>
      <c r="P84" s="208"/>
      <c r="Q84" s="208"/>
      <c r="R84" s="208"/>
      <c r="S84" s="208"/>
      <c r="T84" s="220"/>
      <c r="U84" s="210"/>
      <c r="V84" s="208"/>
      <c r="W84" s="208"/>
      <c r="X84" s="208"/>
      <c r="Y84" s="208"/>
      <c r="Z84" s="220"/>
      <c r="AA84" s="210"/>
      <c r="AB84" s="208"/>
      <c r="AC84" s="208"/>
      <c r="AD84" s="208"/>
      <c r="AE84" s="208"/>
      <c r="AF84" s="220"/>
      <c r="AG84" s="238"/>
      <c r="AH84" s="208"/>
      <c r="AI84" s="208"/>
      <c r="AJ84" s="208"/>
      <c r="AK84" s="208"/>
      <c r="AL84" s="220"/>
      <c r="AM84" s="210"/>
      <c r="AN84" s="208"/>
      <c r="AO84" s="208"/>
      <c r="AP84" s="208"/>
      <c r="AQ84" s="208"/>
      <c r="AR84" s="220"/>
      <c r="AS84" s="210"/>
      <c r="AT84" s="220"/>
      <c r="AU84" s="239"/>
      <c r="AV84" s="220"/>
      <c r="AW84" s="239"/>
      <c r="AX84" s="220"/>
    </row>
    <row r="85" spans="1:50" ht="14.25" customHeight="1" x14ac:dyDescent="0.25">
      <c r="A85" s="44" t="s">
        <v>70</v>
      </c>
      <c r="B85" s="65" t="s">
        <v>745</v>
      </c>
      <c r="D85" s="208"/>
      <c r="E85" s="208"/>
      <c r="F85" s="208"/>
      <c r="G85" s="208"/>
      <c r="H85" s="220"/>
      <c r="I85" s="210"/>
      <c r="J85" s="208"/>
      <c r="K85" s="208"/>
      <c r="L85" s="208"/>
      <c r="M85" s="208"/>
      <c r="N85" s="220"/>
      <c r="O85" s="210"/>
      <c r="P85" s="208"/>
      <c r="Q85" s="208"/>
      <c r="R85" s="208"/>
      <c r="S85" s="208"/>
      <c r="T85" s="220"/>
      <c r="U85" s="210"/>
      <c r="V85" s="208"/>
      <c r="W85" s="208"/>
      <c r="X85" s="208"/>
      <c r="Y85" s="208"/>
      <c r="Z85" s="220"/>
      <c r="AA85" s="210"/>
      <c r="AB85" s="208"/>
      <c r="AC85" s="208"/>
      <c r="AD85" s="208"/>
      <c r="AE85" s="208"/>
      <c r="AF85" s="220"/>
      <c r="AG85" s="238"/>
      <c r="AH85" s="208"/>
      <c r="AI85" s="208"/>
      <c r="AJ85" s="208"/>
      <c r="AK85" s="208"/>
      <c r="AL85" s="220"/>
      <c r="AM85" s="210"/>
      <c r="AN85" s="208"/>
      <c r="AO85" s="208"/>
      <c r="AP85" s="208"/>
      <c r="AQ85" s="208"/>
      <c r="AR85" s="220"/>
      <c r="AS85" s="210"/>
      <c r="AT85" s="220"/>
      <c r="AU85" s="239"/>
      <c r="AV85" s="220"/>
      <c r="AW85" s="239"/>
      <c r="AX85" s="220"/>
    </row>
    <row r="86" spans="1:50" ht="14.25" customHeight="1" x14ac:dyDescent="0.25">
      <c r="A86" s="55"/>
      <c r="B86" s="76" t="s">
        <v>746</v>
      </c>
      <c r="D86" s="240" t="str">
        <f>IF(ROUND(IS!D52/IS!D59,1)=ROUND(IS!D55,1),"OK","ERROR")</f>
        <v>OK</v>
      </c>
      <c r="E86" s="240" t="str">
        <f>IF(ROUND(IS!E52/IS!E59,1)=ROUND(IS!E55,1),"OK","ERROR")</f>
        <v>OK</v>
      </c>
      <c r="F86" s="240" t="str">
        <f>IF(ROUND(IS!F52/IS!F59,1)=ROUND(IS!F55,1),"OK","ERROR")</f>
        <v>OK</v>
      </c>
      <c r="G86" s="240" t="str">
        <f>IF(ROUND(IS!G52/IS!G59,1)=ROUND(IS!G55,1),"OK","ERROR")</f>
        <v>OK</v>
      </c>
      <c r="H86" s="241" t="str">
        <f>IF(ROUND(IS!H52/IS!H59,1)=ROUND(IS!H55,1),"OK","ERROR")</f>
        <v>OK</v>
      </c>
      <c r="I86" s="242"/>
      <c r="J86" s="240" t="str">
        <f>IF(ROUND(IS!J52/IS!J59,1)=ROUND(IS!J55,1),"OK","ERROR")</f>
        <v>OK</v>
      </c>
      <c r="K86" s="240" t="str">
        <f>IF(ROUND(IS!K52/IS!K59,1)=ROUND(IS!K55,1),"OK","ERROR")</f>
        <v>OK</v>
      </c>
      <c r="L86" s="240" t="str">
        <f>IF(ROUND(IS!L52/IS!L59,1)=ROUND(IS!L55,1),"OK","ERROR")</f>
        <v>OK</v>
      </c>
      <c r="M86" s="240" t="str">
        <f>IF(ROUND(IS!M52/IS!M59,1)=ROUND(IS!M55,1),"OK","ERROR")</f>
        <v>OK</v>
      </c>
      <c r="N86" s="241" t="str">
        <f>IF(ROUND(IS!N52/IS!N59,1)=ROUND(IS!N55,1),"OK","ERROR")</f>
        <v>OK</v>
      </c>
      <c r="O86" s="242"/>
      <c r="P86" s="240" t="str">
        <f>IF(ROUND(IS!P52/IS!P59,1)=ROUND(IS!P55,1),"OK","ERROR")</f>
        <v>OK</v>
      </c>
      <c r="Q86" s="240" t="str">
        <f>IF(ROUND(IS!Q52/IS!Q59,1)=ROUND(IS!Q55,1),"OK","ERROR")</f>
        <v>OK</v>
      </c>
      <c r="R86" s="240" t="str">
        <f>IF(ROUND(IS!R52/IS!R59,1)=ROUND(IS!R55,1),"OK","ERROR")</f>
        <v>OK</v>
      </c>
      <c r="S86" s="240" t="str">
        <f>IF(ROUND(IS!S52/IS!S59,1)=ROUND(IS!S55,1),"OK","ERROR")</f>
        <v>OK</v>
      </c>
      <c r="T86" s="241" t="str">
        <f>IF(ROUND(IS!T52/IS!T59,1)=ROUND(IS!T55,1),"OK","ERROR")</f>
        <v>OK</v>
      </c>
      <c r="U86" s="242"/>
      <c r="V86" s="240" t="str">
        <f>IF(ROUND(IS!V52/IS!V59,1)=ROUND(IS!V55,1),"OK","ERROR")</f>
        <v>OK</v>
      </c>
      <c r="W86" s="240" t="str">
        <f>IF(ROUND(IS!W52/IS!W59,1)=ROUND(IS!W55,1),"OK","ERROR")</f>
        <v>OK</v>
      </c>
      <c r="X86" s="240" t="str">
        <f>IF(ROUND(IS!X52/IS!X59,1)=ROUND(IS!X55,1),"OK","ERROR")</f>
        <v>OK</v>
      </c>
      <c r="Y86" s="240" t="str">
        <f>IF(ROUND(IS!Y52/IS!Y59,1)=ROUND(IS!Y55,1),"OK","ERROR")</f>
        <v>OK</v>
      </c>
      <c r="Z86" s="241" t="str">
        <f>IF(ROUND(IS!Z52/IS!Z59,1)=ROUND(IS!Z55,1),"OK","ERROR")</f>
        <v>OK</v>
      </c>
      <c r="AA86" s="242"/>
      <c r="AB86" s="240" t="str">
        <f>IF(ROUND(IS!AB52/IS!AB59,1)=ROUND(IS!AB55,1),"OK","ERROR")</f>
        <v>OK</v>
      </c>
      <c r="AC86" s="240" t="str">
        <f>IF(ROUND(IS!AC52/IS!AC59,1)=ROUND(IS!AC55,1),"OK","ERROR")</f>
        <v>OK</v>
      </c>
      <c r="AD86" s="240" t="str">
        <f>IF(ROUND(IS!AD52/IS!AD59,1)=ROUND(IS!AD55,1),"OK","ERROR")</f>
        <v>OK</v>
      </c>
      <c r="AE86" s="240" t="str">
        <f>IF(ROUND(IS!AE52/IS!AE59,1)=ROUND(IS!AE55,1),"OK","ERROR")</f>
        <v>OK</v>
      </c>
      <c r="AF86" s="241" t="str">
        <f>IF(ROUND(IS!AF52/IS!AF59,1)=ROUND(IS!AF55,1),"OK","ERROR")</f>
        <v>OK</v>
      </c>
      <c r="AG86" s="243"/>
      <c r="AH86" s="240" t="str">
        <f>IF(ROUND(IS!AH52/IS!AH59,1)=ROUND(IS!AH55,1),"OK","ERROR")</f>
        <v>OK</v>
      </c>
      <c r="AI86" s="240" t="str">
        <f>IF(ROUND(IS!AI52/IS!AI59,1)=ROUND(IS!AI55,1),"OK","ERROR")</f>
        <v>OK</v>
      </c>
      <c r="AJ86" s="240" t="e">
        <f>IF(ROUND(IS!AJ52/IS!AJ59,1)=ROUND(IS!AJ55,1),"OK","ERROR")</f>
        <v>#DIV/0!</v>
      </c>
      <c r="AK86" s="240" t="e">
        <f>IF(ROUND(IS!AK52/IS!AK59,1)=ROUND(IS!AK55,1),"OK","ERROR")</f>
        <v>#DIV/0!</v>
      </c>
      <c r="AL86" s="241" t="e">
        <f>IF(ROUND(IS!AL52/IS!AL59,1)=ROUND(IS!AL55,1),"OK","ERROR")</f>
        <v>#DIV/0!</v>
      </c>
      <c r="AM86" s="242"/>
      <c r="AN86" s="240" t="e">
        <f>IF(ROUND(IS!AN52/IS!AN59,1)=ROUND(IS!AN55,1),"OK","ERROR")</f>
        <v>#DIV/0!</v>
      </c>
      <c r="AO86" s="240" t="e">
        <f>IF(ROUND(IS!AO52/IS!AO59,1)=ROUND(IS!AO55,1),"OK","ERROR")</f>
        <v>#DIV/0!</v>
      </c>
      <c r="AP86" s="240" t="e">
        <f>IF(ROUND(IS!AP52/IS!AP59,1)=ROUND(IS!AP55,1),"OK","ERROR")</f>
        <v>#DIV/0!</v>
      </c>
      <c r="AQ86" s="240" t="e">
        <f>IF(ROUND(IS!AQ52/IS!AQ59,1)=ROUND(IS!AQ55,1),"OK","ERROR")</f>
        <v>#DIV/0!</v>
      </c>
      <c r="AR86" s="241" t="e">
        <f>IF(ROUND(IS!AR52/IS!AR59,1)=ROUND(IS!AR55,1),"OK","ERROR")</f>
        <v>#DIV/0!</v>
      </c>
      <c r="AS86" s="242"/>
      <c r="AT86" s="241" t="e">
        <f>IF(ROUND(IS!AT52/IS!AT59,1)=ROUND(IS!AT55,1),"OK","ERROR")</f>
        <v>#DIV/0!</v>
      </c>
      <c r="AU86" s="245"/>
      <c r="AV86" s="241" t="e">
        <f>IF(ROUND(IS!AV52/IS!AV59,1)=ROUND(IS!AV55,1),"OK","ERROR")</f>
        <v>#DIV/0!</v>
      </c>
      <c r="AW86" s="245"/>
      <c r="AX86" s="241" t="e">
        <f>IF(ROUND(IS!AX52/IS!AX59,1)=ROUND(IS!AX55,1),"OK","ERROR")</f>
        <v>#DIV/0!</v>
      </c>
    </row>
    <row r="87" spans="1:50" ht="14.25" customHeight="1" x14ac:dyDescent="0.25">
      <c r="A87" s="73"/>
      <c r="B87" s="76" t="s">
        <v>747</v>
      </c>
      <c r="D87" s="240" t="str">
        <f>IF(ROUND(IS!D52/IS!D60,1)=ROUND(IS!D56,1),"OK","ERROR")</f>
        <v>OK</v>
      </c>
      <c r="E87" s="240" t="str">
        <f>IF(ROUND(IS!E52/IS!E60,1)=ROUND(IS!E56,1),"OK","ERROR")</f>
        <v>OK</v>
      </c>
      <c r="F87" s="240" t="str">
        <f>IF(ROUND(IS!F52/IS!F60,1)=ROUND(IS!F56,1),"OK","ERROR")</f>
        <v>OK</v>
      </c>
      <c r="G87" s="240" t="str">
        <f>IF(ROUND(IS!G52/IS!G60,1)=ROUND(IS!G56,1),"OK","ERROR")</f>
        <v>OK</v>
      </c>
      <c r="H87" s="241" t="str">
        <f>IF(ROUND(IS!H52/IS!H60,1)=ROUND(IS!H56,1),"OK","ERROR")</f>
        <v>OK</v>
      </c>
      <c r="I87" s="242"/>
      <c r="J87" s="240" t="str">
        <f>IF(ROUND(IS!J52/IS!J60,1)=ROUND(IS!J56,1),"OK","ERROR")</f>
        <v>OK</v>
      </c>
      <c r="K87" s="240" t="str">
        <f>IF(ROUND(IS!K52/IS!K60,1)=ROUND(IS!K56,1),"OK","ERROR")</f>
        <v>OK</v>
      </c>
      <c r="L87" s="240" t="str">
        <f>IF(ROUND(IS!L52/IS!L60,1)=ROUND(IS!L56,1),"OK","ERROR")</f>
        <v>OK</v>
      </c>
      <c r="M87" s="240" t="str">
        <f>IF(ROUND(IS!M52/IS!M60,1)=ROUND(IS!M56,1),"OK","ERROR")</f>
        <v>OK</v>
      </c>
      <c r="N87" s="241" t="str">
        <f>IF(ROUND(IS!N52/IS!N60,1)=ROUND(IS!N56,1),"OK","ERROR")</f>
        <v>OK</v>
      </c>
      <c r="O87" s="242"/>
      <c r="P87" s="240" t="str">
        <f>IF(ROUND(IS!P52/IS!P60,1)=ROUND(IS!P56,1),"OK","ERROR")</f>
        <v>OK</v>
      </c>
      <c r="Q87" s="240" t="str">
        <f>IF(ROUND(IS!Q52/IS!Q60,1)=ROUND(IS!Q56,1),"OK","ERROR")</f>
        <v>OK</v>
      </c>
      <c r="R87" s="240" t="str">
        <f>IF(ROUND(IS!R52/IS!R60,1)=ROUND(IS!R56,1),"OK","ERROR")</f>
        <v>OK</v>
      </c>
      <c r="S87" s="240" t="str">
        <f>IF(ROUND(IS!S52/IS!S60,1)=ROUND(IS!S56,1),"OK","ERROR")</f>
        <v>OK</v>
      </c>
      <c r="T87" s="241" t="str">
        <f>IF(ROUND(IS!T52/IS!T60,1)=ROUND(IS!T56,1),"OK","ERROR")</f>
        <v>OK</v>
      </c>
      <c r="U87" s="242"/>
      <c r="V87" s="240" t="str">
        <f>IF(ROUND(IS!V52/IS!V60,1)=ROUND(IS!V56,1),"OK","ERROR")</f>
        <v>ERROR</v>
      </c>
      <c r="W87" s="240" t="str">
        <f>IF(ROUND(IS!W52/IS!W60,1)=ROUND(IS!W56,1),"OK","ERROR")</f>
        <v>OK</v>
      </c>
      <c r="X87" s="240" t="str">
        <f>IF(ROUND(IS!X52/IS!X60,1)=ROUND(IS!X56,1),"OK","ERROR")</f>
        <v>OK</v>
      </c>
      <c r="Y87" s="240" t="str">
        <f>IF(ROUND(IS!Y52/IS!Y60,1)=ROUND(IS!Y56,1),"OK","ERROR")</f>
        <v>OK</v>
      </c>
      <c r="Z87" s="241" t="str">
        <f>IF(ROUND(IS!Z52/IS!Z60,1)=ROUND(IS!Z56,1),"OK","ERROR")</f>
        <v>OK</v>
      </c>
      <c r="AA87" s="242"/>
      <c r="AB87" s="240" t="str">
        <f>IF(ROUND(IS!AB52/IS!AB60,1)=ROUND(IS!AB56,1),"OK","ERROR")</f>
        <v>OK</v>
      </c>
      <c r="AC87" s="240" t="str">
        <f>IF(ROUND(IS!AC52/IS!AC60,1)=ROUND(IS!AC56,1),"OK","ERROR")</f>
        <v>OK</v>
      </c>
      <c r="AD87" s="240" t="str">
        <f>IF(ROUND(IS!AD52/IS!AD60,1)=ROUND(IS!AD56,1),"OK","ERROR")</f>
        <v>OK</v>
      </c>
      <c r="AE87" s="240" t="str">
        <f>IF(ROUND(IS!AE52/IS!AE60,1)=ROUND(IS!AE56,1),"OK","ERROR")</f>
        <v>OK</v>
      </c>
      <c r="AF87" s="241" t="str">
        <f>IF(ROUND(IS!AF52/IS!AF60,1)=ROUND(IS!AF56,1),"OK","ERROR")</f>
        <v>OK</v>
      </c>
      <c r="AG87" s="243"/>
      <c r="AH87" s="240" t="str">
        <f>IF(ROUND(IS!AH52/IS!AH60,1)=ROUND(IS!AH56,1),"OK","ERROR")</f>
        <v>OK</v>
      </c>
      <c r="AI87" s="240" t="str">
        <f>IF(ROUND(IS!AI52/IS!AI60,1)=ROUND(IS!AI56,1),"OK","ERROR")</f>
        <v>OK</v>
      </c>
      <c r="AJ87" s="240" t="e">
        <f>IF(ROUND(IS!AJ52/IS!AJ60,1)=ROUND(IS!AJ56,1),"OK","ERROR")</f>
        <v>#DIV/0!</v>
      </c>
      <c r="AK87" s="240" t="e">
        <f>IF(ROUND(IS!AK52/IS!AK60,1)=ROUND(IS!AK56,1),"OK","ERROR")</f>
        <v>#DIV/0!</v>
      </c>
      <c r="AL87" s="241" t="e">
        <f>IF(ROUND(IS!AL52/IS!AL60,1)=ROUND(IS!AL56,1),"OK","ERROR")</f>
        <v>#DIV/0!</v>
      </c>
      <c r="AM87" s="242"/>
      <c r="AN87" s="240" t="e">
        <f>IF(ROUND(IS!AN52/IS!AN60,1)=ROUND(IS!AN56,1),"OK","ERROR")</f>
        <v>#DIV/0!</v>
      </c>
      <c r="AO87" s="240" t="e">
        <f>IF(ROUND(IS!AO52/IS!AO60,1)=ROUND(IS!AO56,1),"OK","ERROR")</f>
        <v>#DIV/0!</v>
      </c>
      <c r="AP87" s="240" t="e">
        <f>IF(ROUND(IS!AP52/IS!AP60,1)=ROUND(IS!AP56,1),"OK","ERROR")</f>
        <v>#DIV/0!</v>
      </c>
      <c r="AQ87" s="240" t="e">
        <f>IF(ROUND(IS!AQ52/IS!AQ60,1)=ROUND(IS!AQ56,1),"OK","ERROR")</f>
        <v>#DIV/0!</v>
      </c>
      <c r="AR87" s="241" t="e">
        <f>IF(ROUND(IS!AR52/IS!AR60,1)=ROUND(IS!AR56,1),"OK","ERROR")</f>
        <v>#DIV/0!</v>
      </c>
      <c r="AS87" s="242"/>
      <c r="AT87" s="241" t="e">
        <f>IF(ROUND(IS!AT52/IS!AT60,1)=ROUND(IS!AT56,1),"OK","ERROR")</f>
        <v>#DIV/0!</v>
      </c>
      <c r="AU87" s="245"/>
      <c r="AV87" s="241" t="e">
        <f>IF(ROUND(IS!AV52/IS!AV60,1)=ROUND(IS!AV56,1),"OK","ERROR")</f>
        <v>#DIV/0!</v>
      </c>
      <c r="AW87" s="245"/>
      <c r="AX87" s="241" t="e">
        <f>IF(ROUND(IS!AX52/IS!AX60,1)=ROUND(IS!AX56,1),"OK","ERROR")</f>
        <v>#DIV/0!</v>
      </c>
    </row>
    <row r="89" spans="1:50" s="41" customFormat="1" ht="15" customHeight="1" x14ac:dyDescent="0.3">
      <c r="B89" s="161" t="s">
        <v>823</v>
      </c>
      <c r="C89" s="18"/>
      <c r="D89" s="202">
        <f>F89</f>
        <v>2020</v>
      </c>
      <c r="E89" s="202">
        <f>F89</f>
        <v>2020</v>
      </c>
      <c r="F89" s="202">
        <v>2020</v>
      </c>
      <c r="G89" s="202">
        <f>F89</f>
        <v>2020</v>
      </c>
      <c r="H89" s="202">
        <f>F89</f>
        <v>2020</v>
      </c>
      <c r="I89" s="18"/>
      <c r="J89" s="202">
        <f>L89</f>
        <v>2021</v>
      </c>
      <c r="K89" s="202">
        <f>L89</f>
        <v>2021</v>
      </c>
      <c r="L89" s="202">
        <v>2021</v>
      </c>
      <c r="M89" s="202">
        <f>L89</f>
        <v>2021</v>
      </c>
      <c r="N89" s="202">
        <f>L89</f>
        <v>2021</v>
      </c>
      <c r="O89" s="169"/>
      <c r="P89" s="202">
        <f>R89</f>
        <v>2022</v>
      </c>
      <c r="Q89" s="202">
        <f>R89</f>
        <v>2022</v>
      </c>
      <c r="R89" s="202">
        <v>2022</v>
      </c>
      <c r="S89" s="202">
        <f>R89</f>
        <v>2022</v>
      </c>
      <c r="T89" s="202">
        <f>R89</f>
        <v>2022</v>
      </c>
      <c r="U89" s="169"/>
      <c r="V89" s="202">
        <f>X89</f>
        <v>2023</v>
      </c>
      <c r="W89" s="202">
        <f>X89</f>
        <v>2023</v>
      </c>
      <c r="X89" s="202">
        <v>2023</v>
      </c>
      <c r="Y89" s="202">
        <f>X89</f>
        <v>2023</v>
      </c>
      <c r="Z89" s="202">
        <f>X89</f>
        <v>2023</v>
      </c>
      <c r="AA89" s="170"/>
      <c r="AB89" s="202">
        <f>AD89</f>
        <v>2024</v>
      </c>
      <c r="AC89" s="202">
        <f>AD89</f>
        <v>2024</v>
      </c>
      <c r="AD89" s="202">
        <v>2024</v>
      </c>
      <c r="AE89" s="202">
        <f>AD89</f>
        <v>2024</v>
      </c>
      <c r="AF89" s="202">
        <f>AD89</f>
        <v>2024</v>
      </c>
      <c r="AG89" s="170"/>
      <c r="AH89" s="202">
        <f>AJ89</f>
        <v>2025</v>
      </c>
      <c r="AI89" s="202">
        <f>AJ89</f>
        <v>2025</v>
      </c>
      <c r="AJ89" s="203">
        <v>2025</v>
      </c>
      <c r="AK89" s="202">
        <f>AJ89</f>
        <v>2025</v>
      </c>
      <c r="AL89" s="202">
        <f>AJ89</f>
        <v>2025</v>
      </c>
      <c r="AM89" s="171"/>
      <c r="AN89" s="202">
        <f>AP89</f>
        <v>2025</v>
      </c>
      <c r="AO89" s="202">
        <f>AP89</f>
        <v>2025</v>
      </c>
      <c r="AP89" s="203">
        <v>2025</v>
      </c>
      <c r="AQ89" s="202">
        <f>AP89</f>
        <v>2025</v>
      </c>
      <c r="AR89" s="202">
        <f>AP89</f>
        <v>2025</v>
      </c>
      <c r="AS89" s="18"/>
      <c r="AT89" s="162"/>
      <c r="AU89" s="18"/>
      <c r="AV89" s="163"/>
      <c r="AW89" s="18"/>
      <c r="AX89" s="163"/>
    </row>
    <row r="90" spans="1:50" s="41" customFormat="1" ht="15" customHeight="1" x14ac:dyDescent="0.3">
      <c r="B90" s="164"/>
      <c r="C90" s="18"/>
      <c r="D90" s="813">
        <v>2020</v>
      </c>
      <c r="E90" s="813"/>
      <c r="F90" s="813"/>
      <c r="G90" s="813"/>
      <c r="H90" s="813"/>
      <c r="I90" s="169"/>
      <c r="J90" s="813">
        <f>D90+1</f>
        <v>2021</v>
      </c>
      <c r="K90" s="813"/>
      <c r="L90" s="813"/>
      <c r="M90" s="813"/>
      <c r="N90" s="813"/>
      <c r="O90" s="169"/>
      <c r="P90" s="813">
        <f>J90+1</f>
        <v>2022</v>
      </c>
      <c r="Q90" s="813"/>
      <c r="R90" s="813"/>
      <c r="S90" s="813"/>
      <c r="T90" s="813"/>
      <c r="U90" s="169"/>
      <c r="V90" s="813">
        <f>P90+1</f>
        <v>2023</v>
      </c>
      <c r="W90" s="813"/>
      <c r="X90" s="813"/>
      <c r="Y90" s="813"/>
      <c r="Z90" s="813"/>
      <c r="AA90" s="169"/>
      <c r="AB90" s="813">
        <f>V90+1</f>
        <v>2024</v>
      </c>
      <c r="AC90" s="813"/>
      <c r="AD90" s="813"/>
      <c r="AE90" s="813"/>
      <c r="AF90" s="813"/>
      <c r="AG90" s="169"/>
      <c r="AH90" s="812">
        <f>AB90+1</f>
        <v>2025</v>
      </c>
      <c r="AI90" s="812"/>
      <c r="AJ90" s="812"/>
      <c r="AK90" s="812"/>
      <c r="AL90" s="812"/>
      <c r="AM90" s="169"/>
      <c r="AN90" s="812">
        <f>AH90+1</f>
        <v>2026</v>
      </c>
      <c r="AO90" s="812"/>
      <c r="AP90" s="812"/>
      <c r="AQ90" s="812"/>
      <c r="AR90" s="812"/>
      <c r="AS90" s="171"/>
      <c r="AT90" s="166">
        <f>AN90+1</f>
        <v>2027</v>
      </c>
      <c r="AU90" s="167"/>
      <c r="AV90" s="166">
        <f>+AT90+1</f>
        <v>2028</v>
      </c>
      <c r="AW90" s="167"/>
      <c r="AX90" s="166">
        <f>+AV90+1</f>
        <v>2029</v>
      </c>
    </row>
    <row r="91" spans="1:50" s="41" customFormat="1" ht="15" customHeight="1" x14ac:dyDescent="0.3">
      <c r="B91" s="164"/>
      <c r="C91" s="18"/>
      <c r="D91" s="168" t="s">
        <v>36</v>
      </c>
      <c r="E91" s="168" t="s">
        <v>37</v>
      </c>
      <c r="F91" s="168" t="s">
        <v>38</v>
      </c>
      <c r="G91" s="168" t="s">
        <v>39</v>
      </c>
      <c r="H91" s="168" t="s">
        <v>40</v>
      </c>
      <c r="I91" s="18"/>
      <c r="J91" s="168" t="s">
        <v>36</v>
      </c>
      <c r="K91" s="168" t="s">
        <v>37</v>
      </c>
      <c r="L91" s="168" t="s">
        <v>38</v>
      </c>
      <c r="M91" s="168" t="s">
        <v>39</v>
      </c>
      <c r="N91" s="168" t="s">
        <v>40</v>
      </c>
      <c r="O91" s="165"/>
      <c r="P91" s="168" t="s">
        <v>36</v>
      </c>
      <c r="Q91" s="168" t="s">
        <v>37</v>
      </c>
      <c r="R91" s="168" t="s">
        <v>38</v>
      </c>
      <c r="S91" s="168" t="s">
        <v>39</v>
      </c>
      <c r="T91" s="168" t="s">
        <v>40</v>
      </c>
      <c r="U91" s="165"/>
      <c r="V91" s="168" t="s">
        <v>36</v>
      </c>
      <c r="W91" s="168" t="s">
        <v>37</v>
      </c>
      <c r="X91" s="168" t="s">
        <v>38</v>
      </c>
      <c r="Y91" s="168" t="s">
        <v>39</v>
      </c>
      <c r="Z91" s="168" t="s">
        <v>40</v>
      </c>
      <c r="AA91" s="165"/>
      <c r="AB91" s="168" t="s">
        <v>36</v>
      </c>
      <c r="AC91" s="168" t="s">
        <v>37</v>
      </c>
      <c r="AD91" s="168" t="s">
        <v>38</v>
      </c>
      <c r="AE91" s="168" t="s">
        <v>39</v>
      </c>
      <c r="AF91" s="168" t="s">
        <v>40</v>
      </c>
      <c r="AG91" s="165"/>
      <c r="AH91" s="168" t="s">
        <v>36</v>
      </c>
      <c r="AI91" s="168" t="s">
        <v>37</v>
      </c>
      <c r="AJ91" s="168" t="s">
        <v>38</v>
      </c>
      <c r="AK91" s="168" t="s">
        <v>39</v>
      </c>
      <c r="AL91" s="168" t="s">
        <v>40</v>
      </c>
      <c r="AM91" s="165"/>
      <c r="AN91" s="168" t="s">
        <v>36</v>
      </c>
      <c r="AO91" s="168" t="s">
        <v>37</v>
      </c>
      <c r="AP91" s="168" t="s">
        <v>38</v>
      </c>
      <c r="AQ91" s="168" t="s">
        <v>39</v>
      </c>
      <c r="AR91" s="168" t="s">
        <v>40</v>
      </c>
      <c r="AS91" s="165"/>
      <c r="AT91" s="168" t="s">
        <v>40</v>
      </c>
      <c r="AU91" s="165"/>
      <c r="AV91" s="168" t="s">
        <v>40</v>
      </c>
      <c r="AW91" s="165"/>
      <c r="AX91" s="168" t="s">
        <v>40</v>
      </c>
    </row>
    <row r="92" spans="1:50" s="41" customFormat="1" ht="4.3499999999999996" customHeight="1" x14ac:dyDescent="0.3">
      <c r="A92" s="43"/>
      <c r="B92" s="176"/>
      <c r="C92" s="35"/>
      <c r="D92" s="177"/>
      <c r="E92" s="177"/>
      <c r="F92" s="177"/>
      <c r="G92" s="177"/>
      <c r="H92" s="177"/>
      <c r="I92" s="35"/>
      <c r="J92" s="177"/>
      <c r="K92" s="177"/>
      <c r="L92" s="177"/>
      <c r="M92" s="177"/>
      <c r="N92" s="177"/>
      <c r="O92" s="178"/>
      <c r="P92" s="177"/>
      <c r="Q92" s="177"/>
      <c r="R92" s="177"/>
      <c r="S92" s="177"/>
      <c r="T92" s="177"/>
      <c r="U92" s="178"/>
      <c r="V92" s="177"/>
      <c r="W92" s="177"/>
      <c r="X92" s="177"/>
      <c r="Y92" s="177"/>
      <c r="Z92" s="177"/>
      <c r="AA92" s="178"/>
      <c r="AB92" s="177"/>
      <c r="AC92" s="177"/>
      <c r="AD92" s="177"/>
      <c r="AE92" s="177"/>
      <c r="AF92" s="177"/>
      <c r="AG92" s="178"/>
      <c r="AH92" s="177"/>
      <c r="AI92" s="177"/>
      <c r="AJ92" s="177"/>
      <c r="AK92" s="177"/>
      <c r="AL92" s="179"/>
      <c r="AM92" s="180"/>
      <c r="AN92" s="179"/>
      <c r="AO92" s="179"/>
      <c r="AP92" s="179"/>
      <c r="AQ92" s="179"/>
      <c r="AR92" s="179"/>
      <c r="AS92" s="180"/>
      <c r="AT92" s="179"/>
      <c r="AU92" s="180"/>
      <c r="AV92" s="179"/>
      <c r="AW92" s="180"/>
      <c r="AX92" s="179"/>
    </row>
    <row r="93" spans="1:50" s="41" customFormat="1" ht="4.3499999999999996" customHeight="1" x14ac:dyDescent="0.3">
      <c r="A93" s="43"/>
      <c r="B93" s="172"/>
      <c r="C93" s="19"/>
      <c r="D93" s="173"/>
      <c r="E93" s="173"/>
      <c r="F93" s="173"/>
      <c r="G93" s="173"/>
      <c r="H93" s="173"/>
      <c r="I93" s="19"/>
      <c r="J93" s="173"/>
      <c r="K93" s="173"/>
      <c r="L93" s="173"/>
      <c r="M93" s="173"/>
      <c r="N93" s="173"/>
      <c r="O93" s="174"/>
      <c r="P93" s="173"/>
      <c r="Q93" s="173"/>
      <c r="R93" s="173"/>
      <c r="S93" s="173"/>
      <c r="T93" s="173"/>
      <c r="U93" s="174"/>
      <c r="V93" s="173"/>
      <c r="W93" s="173"/>
      <c r="X93" s="173"/>
      <c r="Y93" s="173"/>
      <c r="Z93" s="173"/>
      <c r="AA93" s="174"/>
      <c r="AB93" s="173"/>
      <c r="AC93" s="173"/>
      <c r="AD93" s="173"/>
      <c r="AE93" s="173"/>
      <c r="AF93" s="173"/>
      <c r="AG93" s="204"/>
      <c r="AH93" s="173"/>
      <c r="AI93" s="173"/>
      <c r="AJ93" s="173"/>
      <c r="AK93" s="173"/>
      <c r="AL93" s="175"/>
      <c r="AM93" s="34"/>
      <c r="AN93" s="175"/>
      <c r="AO93" s="175"/>
      <c r="AP93" s="175"/>
      <c r="AQ93" s="175"/>
      <c r="AR93" s="175"/>
      <c r="AS93" s="34"/>
      <c r="AT93" s="175"/>
      <c r="AU93" s="34"/>
      <c r="AV93" s="175"/>
      <c r="AW93" s="34"/>
      <c r="AX93" s="175"/>
    </row>
    <row r="94" spans="1:50" s="41" customFormat="1" ht="15" customHeight="1" x14ac:dyDescent="0.3">
      <c r="A94" s="44"/>
      <c r="B94" s="106" t="s">
        <v>754</v>
      </c>
      <c r="C94" s="17"/>
      <c r="D94" s="208"/>
      <c r="E94" s="208"/>
      <c r="F94" s="208"/>
      <c r="G94" s="208"/>
      <c r="H94" s="216"/>
      <c r="I94" s="248"/>
      <c r="J94" s="249"/>
      <c r="K94" s="249"/>
      <c r="L94" s="249"/>
      <c r="M94" s="249"/>
      <c r="N94" s="250"/>
      <c r="O94" s="250"/>
      <c r="P94" s="249"/>
      <c r="Q94" s="249"/>
      <c r="R94" s="249"/>
      <c r="S94" s="249"/>
      <c r="T94" s="250"/>
      <c r="U94" s="250"/>
      <c r="V94" s="249"/>
      <c r="W94" s="249"/>
      <c r="X94" s="249"/>
      <c r="Y94" s="249"/>
      <c r="Z94" s="250"/>
      <c r="AA94" s="250"/>
      <c r="AB94" s="251"/>
      <c r="AC94" s="251"/>
      <c r="AD94" s="251"/>
      <c r="AE94" s="251"/>
      <c r="AF94" s="250"/>
      <c r="AG94" s="252"/>
      <c r="AH94" s="253"/>
      <c r="AI94" s="253"/>
      <c r="AJ94" s="253"/>
      <c r="AK94" s="253"/>
      <c r="AL94" s="250"/>
      <c r="AM94" s="254"/>
      <c r="AN94" s="253"/>
      <c r="AO94" s="253"/>
      <c r="AP94" s="253"/>
      <c r="AQ94" s="253"/>
      <c r="AR94" s="250"/>
      <c r="AS94" s="254"/>
      <c r="AT94" s="250"/>
      <c r="AU94" s="254"/>
      <c r="AV94" s="250"/>
      <c r="AW94" s="255"/>
      <c r="AX94" s="255"/>
    </row>
    <row r="95" spans="1:50" s="113" customFormat="1" ht="15" customHeight="1" x14ac:dyDescent="0.3">
      <c r="B95" s="114"/>
      <c r="C95" s="115"/>
      <c r="D95" s="208"/>
      <c r="E95" s="208"/>
      <c r="F95" s="208"/>
      <c r="G95" s="208"/>
      <c r="H95" s="216"/>
      <c r="I95" s="256"/>
      <c r="J95" s="249"/>
      <c r="K95" s="249"/>
      <c r="L95" s="249"/>
      <c r="M95" s="249"/>
      <c r="N95" s="250"/>
      <c r="O95" s="256"/>
      <c r="P95" s="249"/>
      <c r="Q95" s="249"/>
      <c r="R95" s="249"/>
      <c r="S95" s="249"/>
      <c r="T95" s="250"/>
      <c r="U95" s="256"/>
      <c r="V95" s="249"/>
      <c r="W95" s="249"/>
      <c r="X95" s="249"/>
      <c r="Y95" s="249"/>
      <c r="Z95" s="250"/>
      <c r="AA95" s="257"/>
      <c r="AB95" s="251"/>
      <c r="AC95" s="251"/>
      <c r="AD95" s="251"/>
      <c r="AE95" s="251"/>
      <c r="AF95" s="250"/>
      <c r="AG95" s="258"/>
      <c r="AH95" s="259"/>
      <c r="AI95" s="259"/>
      <c r="AJ95" s="259"/>
      <c r="AK95" s="259"/>
      <c r="AL95" s="250"/>
      <c r="AM95" s="260"/>
      <c r="AN95" s="259"/>
      <c r="AO95" s="259"/>
      <c r="AP95" s="259"/>
      <c r="AQ95" s="259"/>
      <c r="AR95" s="250"/>
      <c r="AS95" s="260"/>
      <c r="AT95" s="250"/>
      <c r="AU95" s="260"/>
      <c r="AV95" s="250"/>
      <c r="AW95" s="261"/>
      <c r="AX95" s="261"/>
    </row>
    <row r="96" spans="1:50" s="41" customFormat="1" ht="15" customHeight="1" x14ac:dyDescent="0.3">
      <c r="A96" s="44" t="s">
        <v>70</v>
      </c>
      <c r="B96" s="114" t="s">
        <v>755</v>
      </c>
      <c r="C96" s="17"/>
      <c r="D96" s="208"/>
      <c r="E96" s="208"/>
      <c r="F96" s="208"/>
      <c r="G96" s="208"/>
      <c r="H96" s="220"/>
      <c r="I96" s="248"/>
      <c r="J96" s="262"/>
      <c r="K96" s="262"/>
      <c r="L96" s="262"/>
      <c r="M96" s="262"/>
      <c r="N96" s="250"/>
      <c r="O96" s="248"/>
      <c r="P96" s="262"/>
      <c r="Q96" s="262"/>
      <c r="R96" s="262"/>
      <c r="S96" s="262"/>
      <c r="T96" s="250"/>
      <c r="U96" s="248"/>
      <c r="V96" s="262"/>
      <c r="W96" s="262"/>
      <c r="X96" s="262"/>
      <c r="Y96" s="262"/>
      <c r="Z96" s="250"/>
      <c r="AA96" s="263"/>
      <c r="AB96" s="264"/>
      <c r="AC96" s="264"/>
      <c r="AD96" s="264"/>
      <c r="AE96" s="264"/>
      <c r="AF96" s="250"/>
      <c r="AG96" s="265"/>
      <c r="AH96" s="266"/>
      <c r="AI96" s="266"/>
      <c r="AJ96" s="266"/>
      <c r="AK96" s="266"/>
      <c r="AL96" s="250"/>
      <c r="AM96" s="267"/>
      <c r="AN96" s="266"/>
      <c r="AO96" s="266"/>
      <c r="AP96" s="266"/>
      <c r="AQ96" s="266"/>
      <c r="AR96" s="250"/>
      <c r="AS96" s="267"/>
      <c r="AT96" s="250"/>
      <c r="AU96" s="267"/>
      <c r="AV96" s="250"/>
      <c r="AW96" s="255"/>
      <c r="AX96" s="255"/>
    </row>
    <row r="97" spans="1:50" s="41" customFormat="1" ht="15" customHeight="1" x14ac:dyDescent="0.3">
      <c r="A97" s="44"/>
      <c r="B97" s="127" t="s">
        <v>756</v>
      </c>
      <c r="C97" s="17"/>
      <c r="D97" s="208" t="str">
        <f>IF(ROUND(BS!D15,0)=ROUND(SUM(BS!D16:D17),0),"OK","ERROR")</f>
        <v>OK</v>
      </c>
      <c r="E97" s="208" t="str">
        <f>IF(ROUND(BS!E15,0)=ROUND(SUM(BS!E16:E17),0),"OK","ERROR")</f>
        <v>OK</v>
      </c>
      <c r="F97" s="208" t="str">
        <f>IF(ROUND(BS!F15,0)=ROUND(SUM(BS!F16:F17),0),"OK","ERROR")</f>
        <v>OK</v>
      </c>
      <c r="G97" s="208" t="str">
        <f>IF(ROUND(BS!G15,0)=ROUND(SUM(BS!G16:G17),0),"OK","ERROR")</f>
        <v>OK</v>
      </c>
      <c r="H97" s="220" t="str">
        <f>IF(ROUND(BS!H15,0)=ROUND(SUM(BS!H16:H17),0),"OK","ERROR")</f>
        <v>OK</v>
      </c>
      <c r="I97" s="248"/>
      <c r="J97" s="208" t="str">
        <f>IF(ROUND(BS!J15,0)=ROUND(SUM(BS!J16:J17),0),"OK","ERROR")</f>
        <v>OK</v>
      </c>
      <c r="K97" s="208" t="str">
        <f>IF(ROUND(BS!K15,0)=ROUND(SUM(BS!K16:K17),0),"OK","ERROR")</f>
        <v>OK</v>
      </c>
      <c r="L97" s="208" t="str">
        <f>IF(ROUND(BS!L15,0)=ROUND(SUM(BS!L16:L17),0),"OK","ERROR")</f>
        <v>OK</v>
      </c>
      <c r="M97" s="208" t="str">
        <f>IF(ROUND(BS!M15,0)=ROUND(SUM(BS!M16:M17),0),"OK","ERROR")</f>
        <v>OK</v>
      </c>
      <c r="N97" s="220" t="str">
        <f>IF(ROUND(BS!N15,0)=ROUND(SUM(BS!N16:N17),0),"OK","ERROR")</f>
        <v>OK</v>
      </c>
      <c r="O97" s="248"/>
      <c r="P97" s="208" t="str">
        <f>IF(ROUND(BS!P15,0)=ROUND(SUM(BS!P16:P17),0),"OK","ERROR")</f>
        <v>OK</v>
      </c>
      <c r="Q97" s="208" t="str">
        <f>IF(ROUND(BS!Q15,0)=ROUND(SUM(BS!Q16:Q17),0),"OK","ERROR")</f>
        <v>OK</v>
      </c>
      <c r="R97" s="208" t="str">
        <f>IF(ROUND(BS!R15,0)=ROUND(SUM(BS!R16:R17),0),"OK","ERROR")</f>
        <v>OK</v>
      </c>
      <c r="S97" s="208" t="str">
        <f>IF(ROUND(BS!S15,0)=ROUND(SUM(BS!S16:S17),0),"OK","ERROR")</f>
        <v>OK</v>
      </c>
      <c r="T97" s="220" t="str">
        <f>IF(ROUND(BS!T15,0)=ROUND(SUM(BS!T16:T17),0),"OK","ERROR")</f>
        <v>OK</v>
      </c>
      <c r="U97" s="248"/>
      <c r="V97" s="208" t="str">
        <f>IF(ROUND(BS!V15,0)=ROUND(SUM(BS!V16:V17),0),"OK","ERROR")</f>
        <v>OK</v>
      </c>
      <c r="W97" s="208" t="str">
        <f>IF(ROUND(BS!W15,0)=ROUND(SUM(BS!W16:W17),0),"OK","ERROR")</f>
        <v>OK</v>
      </c>
      <c r="X97" s="208" t="str">
        <f>IF(ROUND(BS!X15,0)=ROUND(SUM(BS!X16:X17),0),"OK","ERROR")</f>
        <v>OK</v>
      </c>
      <c r="Y97" s="208" t="str">
        <f>IF(ROUND(BS!Y15,0)=ROUND(SUM(BS!Y16:Y17),0),"OK","ERROR")</f>
        <v>OK</v>
      </c>
      <c r="Z97" s="220" t="str">
        <f>IF(ROUND(BS!Z15,0)=ROUND(SUM(BS!Z16:Z17),0),"OK","ERROR")</f>
        <v>OK</v>
      </c>
      <c r="AA97" s="263"/>
      <c r="AB97" s="208" t="str">
        <f>IF(ROUND(BS!AB15,0)=ROUND(SUM(BS!AB16:AB17),0),"OK","ERROR")</f>
        <v>OK</v>
      </c>
      <c r="AC97" s="208" t="str">
        <f>IF(ROUND(BS!AC15,0)=ROUND(SUM(BS!AC16:AC17),0),"OK","ERROR")</f>
        <v>OK</v>
      </c>
      <c r="AD97" s="208" t="str">
        <f>IF(ROUND(BS!AD15,0)=ROUND(SUM(BS!AD16:AD17),0),"OK","ERROR")</f>
        <v>OK</v>
      </c>
      <c r="AE97" s="208" t="str">
        <f>IF(ROUND(BS!AE15,0)=ROUND(SUM(BS!AE16:AE17),0),"OK","ERROR")</f>
        <v>OK</v>
      </c>
      <c r="AF97" s="220" t="str">
        <f>IF(ROUND(BS!AF15,0)=ROUND(SUM(BS!AF16:AF17),0),"OK","ERROR")</f>
        <v>OK</v>
      </c>
      <c r="AG97" s="265"/>
      <c r="AH97" s="208" t="str">
        <f>IF(ROUND(BS!AH15,0)=ROUND(SUM(BS!AH16:AH17),0),"OK","ERROR")</f>
        <v>OK</v>
      </c>
      <c r="AI97" s="208" t="str">
        <f>IF(ROUND(BS!AI15,0)=ROUND(SUM(BS!AI16:AI17),0),"OK","ERROR")</f>
        <v>OK</v>
      </c>
      <c r="AJ97" s="208" t="str">
        <f>IF(ROUND(BS!AJ15,0)=ROUND(SUM(BS!AJ16:AJ17),0),"OK","ERROR")</f>
        <v>OK</v>
      </c>
      <c r="AK97" s="208" t="str">
        <f>IF(ROUND(BS!AK15,0)=ROUND(SUM(BS!AK16:AK17),0),"OK","ERROR")</f>
        <v>OK</v>
      </c>
      <c r="AL97" s="220" t="str">
        <f>IF(ROUND(BS!AL15,0)=ROUND(SUM(BS!AL16:AL17),0),"OK","ERROR")</f>
        <v>OK</v>
      </c>
      <c r="AM97" s="267"/>
      <c r="AN97" s="208" t="str">
        <f>IF(ROUND(BS!AN15,0)=ROUND(SUM(BS!AN16:AN17),0),"OK","ERROR")</f>
        <v>OK</v>
      </c>
      <c r="AO97" s="208" t="str">
        <f>IF(ROUND(BS!AO15,0)=ROUND(SUM(BS!AO16:AO17),0),"OK","ERROR")</f>
        <v>OK</v>
      </c>
      <c r="AP97" s="208" t="str">
        <f>IF(ROUND(BS!AP15,0)=ROUND(SUM(BS!AP16:AP17),0),"OK","ERROR")</f>
        <v>OK</v>
      </c>
      <c r="AQ97" s="208" t="str">
        <f>IF(ROUND(BS!AQ15,0)=ROUND(SUM(BS!AQ16:AQ17),0),"OK","ERROR")</f>
        <v>OK</v>
      </c>
      <c r="AR97" s="220" t="str">
        <f>IF(ROUND(BS!AR15,0)=ROUND(SUM(BS!AR16:AR17),0),"OK","ERROR")</f>
        <v>OK</v>
      </c>
      <c r="AS97" s="267"/>
      <c r="AT97" s="220" t="str">
        <f>IF(ROUND(BS!AT15,0)=ROUND(SUM(BS!AT16:AT17),0),"OK","ERROR")</f>
        <v>OK</v>
      </c>
      <c r="AU97" s="267"/>
      <c r="AV97" s="220" t="str">
        <f>IF(ROUND(BS!AV15,0)=ROUND(SUM(BS!AV16:AV17),0),"OK","ERROR")</f>
        <v>OK</v>
      </c>
      <c r="AW97" s="255"/>
      <c r="AX97" s="220" t="str">
        <f>IF(ROUND(BS!AX15,0)=ROUND(SUM(BS!AX16:AX17),0),"OK","ERROR")</f>
        <v>OK</v>
      </c>
    </row>
    <row r="98" spans="1:50" s="135" customFormat="1" ht="15" customHeight="1" x14ac:dyDescent="0.25">
      <c r="A98" s="84"/>
      <c r="B98" s="59" t="s">
        <v>761</v>
      </c>
      <c r="C98" s="26"/>
      <c r="D98" s="217" t="str">
        <f>IF(ROUND(BS!D21,0)=ROUND(SUM(BS!D16:D20),0),"OK","ERROR")</f>
        <v>OK</v>
      </c>
      <c r="E98" s="217" t="str">
        <f>IF(ROUND(BS!E21,0)=ROUND(SUM(BS!E16:E20),0),"OK","ERROR")</f>
        <v>OK</v>
      </c>
      <c r="F98" s="217" t="str">
        <f>IF(ROUND(BS!F21,0)=ROUND(SUM(BS!F16:F20),0),"OK","ERROR")</f>
        <v>OK</v>
      </c>
      <c r="G98" s="217" t="str">
        <f>IF(ROUND(BS!G21,0)=ROUND(SUM(BS!G16:G20),0),"OK","ERROR")</f>
        <v>OK</v>
      </c>
      <c r="H98" s="227" t="str">
        <f>IF(ROUND(BS!H21,0)=ROUND(SUM(BS!H16:H20),0),"OK","ERROR")</f>
        <v>OK</v>
      </c>
      <c r="I98" s="268"/>
      <c r="J98" s="217" t="str">
        <f>IF(ROUND(BS!J21,0)=ROUND(SUM(BS!J16:J20),0),"OK","ERROR")</f>
        <v>OK</v>
      </c>
      <c r="K98" s="217" t="str">
        <f>IF(ROUND(BS!K21,0)=ROUND(SUM(BS!K16:K20),0),"OK","ERROR")</f>
        <v>OK</v>
      </c>
      <c r="L98" s="217" t="str">
        <f>IF(ROUND(BS!L21,0)=ROUND(SUM(BS!L16:L20),0),"OK","ERROR")</f>
        <v>OK</v>
      </c>
      <c r="M98" s="217" t="str">
        <f>IF(ROUND(BS!M21,0)=ROUND(SUM(BS!M16:M20),0),"OK","ERROR")</f>
        <v>OK</v>
      </c>
      <c r="N98" s="227" t="str">
        <f>IF(ROUND(BS!N21,0)=ROUND(SUM(BS!N16:N20),0),"OK","ERROR")</f>
        <v>OK</v>
      </c>
      <c r="O98" s="268"/>
      <c r="P98" s="217" t="str">
        <f>IF(ROUND(BS!P21,0)=ROUND(SUM(BS!P16:P20),0),"OK","ERROR")</f>
        <v>OK</v>
      </c>
      <c r="Q98" s="217" t="str">
        <f>IF(ROUND(BS!Q21,0)=ROUND(SUM(BS!Q16:Q20),0),"OK","ERROR")</f>
        <v>OK</v>
      </c>
      <c r="R98" s="217" t="str">
        <f>IF(ROUND(BS!R21,0)=ROUND(SUM(BS!R16:R20),0),"OK","ERROR")</f>
        <v>OK</v>
      </c>
      <c r="S98" s="217" t="str">
        <f>IF(ROUND(BS!S21,0)=ROUND(SUM(BS!S16:S20),0),"OK","ERROR")</f>
        <v>OK</v>
      </c>
      <c r="T98" s="227" t="str">
        <f>IF(ROUND(BS!T21,0)=ROUND(SUM(BS!T16:T20),0),"OK","ERROR")</f>
        <v>OK</v>
      </c>
      <c r="U98" s="268"/>
      <c r="V98" s="217" t="str">
        <f>IF(ROUND(BS!V21,0)=ROUND(SUM(BS!V16:V20),0),"OK","ERROR")</f>
        <v>OK</v>
      </c>
      <c r="W98" s="217" t="str">
        <f>IF(ROUND(BS!W21,0)=ROUND(SUM(BS!W16:W20),0),"OK","ERROR")</f>
        <v>OK</v>
      </c>
      <c r="X98" s="217" t="str">
        <f>IF(ROUND(BS!X21,0)=ROUND(SUM(BS!X16:X20),0),"OK","ERROR")</f>
        <v>OK</v>
      </c>
      <c r="Y98" s="217" t="str">
        <f>IF(ROUND(BS!Y21,0)=ROUND(SUM(BS!Y16:Y20),0),"OK","ERROR")</f>
        <v>OK</v>
      </c>
      <c r="Z98" s="227" t="str">
        <f>IF(ROUND(BS!Z21,0)=ROUND(SUM(BS!Z16:Z20),0),"OK","ERROR")</f>
        <v>OK</v>
      </c>
      <c r="AA98" s="269"/>
      <c r="AB98" s="217" t="str">
        <f>IF(ROUND(BS!AB21,0)=ROUND(SUM(BS!AB16:AB20),0),"OK","ERROR")</f>
        <v>OK</v>
      </c>
      <c r="AC98" s="217" t="str">
        <f>IF(ROUND(BS!AC21,0)=ROUND(SUM(BS!AC16:AC20),0),"OK","ERROR")</f>
        <v>OK</v>
      </c>
      <c r="AD98" s="217" t="str">
        <f>IF(ROUND(BS!AD21,0)=ROUND(SUM(BS!AD16:AD20),0),"OK","ERROR")</f>
        <v>OK</v>
      </c>
      <c r="AE98" s="217" t="str">
        <f>IF(ROUND(BS!AE21,0)=ROUND(SUM(BS!AE16:AE20),0),"OK","ERROR")</f>
        <v>OK</v>
      </c>
      <c r="AF98" s="227" t="str">
        <f>IF(ROUND(BS!AF21,0)=ROUND(SUM(BS!AF16:AF20),0),"OK","ERROR")</f>
        <v>OK</v>
      </c>
      <c r="AG98" s="270"/>
      <c r="AH98" s="217" t="str">
        <f>IF(ROUND(BS!AH21,0)=ROUND(SUM(BS!AH16:AH20),0),"OK","ERROR")</f>
        <v>OK</v>
      </c>
      <c r="AI98" s="217" t="str">
        <f>IF(ROUND(BS!AI21,0)=ROUND(SUM(BS!AI16:AI20),0),"OK","ERROR")</f>
        <v>OK</v>
      </c>
      <c r="AJ98" s="217" t="str">
        <f>IF(ROUND(BS!AJ21,0)=ROUND(SUM(BS!AJ16:AJ20),0),"OK","ERROR")</f>
        <v>OK</v>
      </c>
      <c r="AK98" s="217" t="str">
        <f>IF(ROUND(BS!AK21,0)=ROUND(SUM(BS!AK16:AK20),0),"OK","ERROR")</f>
        <v>OK</v>
      </c>
      <c r="AL98" s="227" t="str">
        <f>IF(ROUND(BS!AL21,0)=ROUND(SUM(BS!AL16:AL20),0),"OK","ERROR")</f>
        <v>OK</v>
      </c>
      <c r="AM98" s="271"/>
      <c r="AN98" s="217" t="str">
        <f>IF(ROUND(BS!AN21,0)=ROUND(SUM(BS!AN16:AN20),0),"OK","ERROR")</f>
        <v>OK</v>
      </c>
      <c r="AO98" s="217" t="str">
        <f>IF(ROUND(BS!AO21,0)=ROUND(SUM(BS!AO16:AO20),0),"OK","ERROR")</f>
        <v>OK</v>
      </c>
      <c r="AP98" s="217" t="str">
        <f>IF(ROUND(BS!AP21,0)=ROUND(SUM(BS!AP16:AP20),0),"OK","ERROR")</f>
        <v>OK</v>
      </c>
      <c r="AQ98" s="217" t="str">
        <f>IF(ROUND(BS!AQ21,0)=ROUND(SUM(BS!AQ16:AQ20),0),"OK","ERROR")</f>
        <v>OK</v>
      </c>
      <c r="AR98" s="227" t="str">
        <f>IF(ROUND(BS!AR21,0)=ROUND(SUM(BS!AR16:AR20),0),"OK","ERROR")</f>
        <v>OK</v>
      </c>
      <c r="AS98" s="271"/>
      <c r="AT98" s="227" t="str">
        <f>IF(ROUND(BS!AT21,0)=ROUND(SUM(BS!AT16:AT20),0),"OK","ERROR")</f>
        <v>OK</v>
      </c>
      <c r="AU98" s="271"/>
      <c r="AV98" s="227" t="str">
        <f>IF(ROUND(BS!AV21,0)=ROUND(SUM(BS!AV16:AV20),0),"OK","ERROR")</f>
        <v>OK</v>
      </c>
      <c r="AW98" s="272"/>
      <c r="AX98" s="227" t="str">
        <f>IF(ROUND(BS!AX21,0)=ROUND(SUM(BS!AX16:AX20),0),"OK","ERROR")</f>
        <v>OK</v>
      </c>
    </row>
    <row r="99" spans="1:50" s="41" customFormat="1" ht="15" customHeight="1" x14ac:dyDescent="0.3">
      <c r="A99" s="43"/>
      <c r="B99" s="136"/>
      <c r="C99" s="17"/>
      <c r="D99" s="208"/>
      <c r="E99" s="208"/>
      <c r="F99" s="208"/>
      <c r="G99" s="208"/>
      <c r="H99" s="220"/>
      <c r="I99" s="248"/>
      <c r="J99" s="208"/>
      <c r="K99" s="208"/>
      <c r="L99" s="208"/>
      <c r="M99" s="208"/>
      <c r="N99" s="220"/>
      <c r="O99" s="248"/>
      <c r="P99" s="208"/>
      <c r="Q99" s="208"/>
      <c r="R99" s="208"/>
      <c r="S99" s="208"/>
      <c r="T99" s="220"/>
      <c r="U99" s="248"/>
      <c r="V99" s="208"/>
      <c r="W99" s="208"/>
      <c r="X99" s="208"/>
      <c r="Y99" s="208"/>
      <c r="Z99" s="220"/>
      <c r="AA99" s="263"/>
      <c r="AB99" s="208"/>
      <c r="AC99" s="208"/>
      <c r="AD99" s="208"/>
      <c r="AE99" s="208"/>
      <c r="AF99" s="220"/>
      <c r="AG99" s="265"/>
      <c r="AH99" s="208"/>
      <c r="AI99" s="208"/>
      <c r="AJ99" s="208"/>
      <c r="AK99" s="208"/>
      <c r="AL99" s="220"/>
      <c r="AM99" s="267"/>
      <c r="AN99" s="208"/>
      <c r="AO99" s="208"/>
      <c r="AP99" s="208"/>
      <c r="AQ99" s="208"/>
      <c r="AR99" s="220"/>
      <c r="AS99" s="267"/>
      <c r="AT99" s="220"/>
      <c r="AU99" s="267"/>
      <c r="AV99" s="220"/>
      <c r="AW99" s="255"/>
      <c r="AX99" s="220"/>
    </row>
    <row r="100" spans="1:50" s="113" customFormat="1" ht="15" customHeight="1" x14ac:dyDescent="0.25">
      <c r="A100" s="44" t="s">
        <v>70</v>
      </c>
      <c r="B100" s="45" t="s">
        <v>762</v>
      </c>
      <c r="C100" s="115"/>
      <c r="D100" s="208"/>
      <c r="E100" s="208"/>
      <c r="F100" s="208"/>
      <c r="G100" s="208"/>
      <c r="H100" s="220"/>
      <c r="I100" s="256"/>
      <c r="J100" s="208"/>
      <c r="K100" s="208"/>
      <c r="L100" s="208"/>
      <c r="M100" s="208"/>
      <c r="N100" s="220"/>
      <c r="O100" s="256"/>
      <c r="P100" s="208"/>
      <c r="Q100" s="208"/>
      <c r="R100" s="208"/>
      <c r="S100" s="208"/>
      <c r="T100" s="220"/>
      <c r="U100" s="256"/>
      <c r="V100" s="208"/>
      <c r="W100" s="208"/>
      <c r="X100" s="208"/>
      <c r="Y100" s="208"/>
      <c r="Z100" s="220"/>
      <c r="AA100" s="273"/>
      <c r="AB100" s="208"/>
      <c r="AC100" s="208"/>
      <c r="AD100" s="208"/>
      <c r="AE100" s="208"/>
      <c r="AF100" s="220"/>
      <c r="AG100" s="274"/>
      <c r="AH100" s="208"/>
      <c r="AI100" s="208"/>
      <c r="AJ100" s="208"/>
      <c r="AK100" s="208"/>
      <c r="AL100" s="220"/>
      <c r="AM100" s="273"/>
      <c r="AN100" s="208"/>
      <c r="AO100" s="208"/>
      <c r="AP100" s="208"/>
      <c r="AQ100" s="208"/>
      <c r="AR100" s="220"/>
      <c r="AS100" s="273"/>
      <c r="AT100" s="220"/>
      <c r="AU100" s="273"/>
      <c r="AV100" s="220"/>
      <c r="AW100" s="261"/>
      <c r="AX100" s="220"/>
    </row>
    <row r="101" spans="1:50" s="113" customFormat="1" ht="15" customHeight="1" x14ac:dyDescent="0.25">
      <c r="A101" s="44"/>
      <c r="B101" s="127" t="s">
        <v>582</v>
      </c>
      <c r="C101" s="115"/>
      <c r="D101" s="208" t="str">
        <f>IF(ROUND(BS!D24,0)=ROUND(BS!D25-BS!D26,0),"OK","ERROR")</f>
        <v>ERROR</v>
      </c>
      <c r="E101" s="208" t="str">
        <f>IF(ROUND(BS!E24,0)=ROUND(BS!E25-BS!E26,0),"OK","ERROR")</f>
        <v>ERROR</v>
      </c>
      <c r="F101" s="208" t="str">
        <f>IF(ROUND(BS!F24,0)=ROUND(BS!F25-BS!F26,0),"OK","ERROR")</f>
        <v>ERROR</v>
      </c>
      <c r="G101" s="208" t="str">
        <f>IF(ROUND(BS!G24,0)=ROUND(BS!G25-BS!G26,0),"OK","ERROR")</f>
        <v>OK</v>
      </c>
      <c r="H101" s="220" t="str">
        <f>IF(ROUND(BS!H24,0)=ROUND(BS!H25-BS!H26,0),"OK","ERROR")</f>
        <v>OK</v>
      </c>
      <c r="I101" s="256"/>
      <c r="J101" s="208" t="str">
        <f>IF(ROUND(BS!J24,0)=ROUND(BS!J25-BS!J26,0),"OK","ERROR")</f>
        <v>ERROR</v>
      </c>
      <c r="K101" s="208" t="str">
        <f>IF(ROUND(BS!K24,0)=ROUND(BS!K25-BS!K26,0),"OK","ERROR")</f>
        <v>ERROR</v>
      </c>
      <c r="L101" s="208" t="str">
        <f>IF(ROUND(BS!L24,0)=ROUND(BS!L25-BS!L26,0),"OK","ERROR")</f>
        <v>ERROR</v>
      </c>
      <c r="M101" s="208" t="str">
        <f>IF(ROUND(BS!M24,0)=ROUND(BS!M25-BS!M26,0),"OK","ERROR")</f>
        <v>OK</v>
      </c>
      <c r="N101" s="220" t="str">
        <f>IF(ROUND(BS!N24,0)=ROUND(BS!N25-BS!N26,0),"OK","ERROR")</f>
        <v>OK</v>
      </c>
      <c r="O101" s="256"/>
      <c r="P101" s="208" t="str">
        <f>IF(ROUND(BS!P24,0)=ROUND(BS!P25-BS!P26,0),"OK","ERROR")</f>
        <v>ERROR</v>
      </c>
      <c r="Q101" s="208" t="str">
        <f>IF(ROUND(BS!Q24,0)=ROUND(BS!Q25-BS!Q26,0),"OK","ERROR")</f>
        <v>ERROR</v>
      </c>
      <c r="R101" s="208" t="str">
        <f>IF(ROUND(BS!R24,0)=ROUND(BS!R25-BS!R26,0),"OK","ERROR")</f>
        <v>ERROR</v>
      </c>
      <c r="S101" s="208" t="str">
        <f>IF(ROUND(BS!S24,0)=ROUND(BS!S25-BS!S26,0),"OK","ERROR")</f>
        <v>OK</v>
      </c>
      <c r="T101" s="220" t="str">
        <f>IF(ROUND(BS!T24,0)=ROUND(BS!T25-BS!T26,0),"OK","ERROR")</f>
        <v>OK</v>
      </c>
      <c r="U101" s="256"/>
      <c r="V101" s="208" t="str">
        <f>IF(ROUND(BS!V24,0)=ROUND(BS!V25-BS!V26,0),"OK","ERROR")</f>
        <v>ERROR</v>
      </c>
      <c r="W101" s="208" t="str">
        <f>IF(ROUND(BS!W24,0)=ROUND(BS!W25-BS!W26,0),"OK","ERROR")</f>
        <v>ERROR</v>
      </c>
      <c r="X101" s="208" t="str">
        <f>IF(ROUND(BS!X24,0)=ROUND(BS!X25-BS!X26,0),"OK","ERROR")</f>
        <v>ERROR</v>
      </c>
      <c r="Y101" s="208" t="str">
        <f>IF(ROUND(BS!Y24,0)=ROUND(BS!Y25-BS!Y26,0),"OK","ERROR")</f>
        <v>OK</v>
      </c>
      <c r="Z101" s="220" t="str">
        <f>IF(ROUND(BS!Z24,0)=ROUND(BS!Z25-BS!Z26,0),"OK","ERROR")</f>
        <v>OK</v>
      </c>
      <c r="AA101" s="273"/>
      <c r="AB101" s="208" t="str">
        <f>IF(ROUND(BS!AB24,0)=ROUND(BS!AB25-BS!AB26,0),"OK","ERROR")</f>
        <v>ERROR</v>
      </c>
      <c r="AC101" s="208" t="str">
        <f>IF(ROUND(BS!AC24,0)=ROUND(BS!AC25-BS!AC26,0),"OK","ERROR")</f>
        <v>ERROR</v>
      </c>
      <c r="AD101" s="208" t="str">
        <f>IF(ROUND(BS!AD24,0)=ROUND(BS!AD25-BS!AD26,0),"OK","ERROR")</f>
        <v>ERROR</v>
      </c>
      <c r="AE101" s="208" t="str">
        <f>IF(ROUND(BS!AE24,0)=ROUND(BS!AE25-BS!AE26,0),"OK","ERROR")</f>
        <v>OK</v>
      </c>
      <c r="AF101" s="220" t="str">
        <f>IF(ROUND(BS!AF24,0)=ROUND(BS!AF25-BS!AF26,0),"OK","ERROR")</f>
        <v>OK</v>
      </c>
      <c r="AG101" s="274"/>
      <c r="AH101" s="208" t="str">
        <f>IF(ROUND(BS!AH24,0)=ROUND(BS!AH25-BS!AH26,0),"OK","ERROR")</f>
        <v>ERROR</v>
      </c>
      <c r="AI101" s="208" t="str">
        <f>IF(ROUND(BS!AI24,0)=ROUND(BS!AI25-BS!AI26,0),"OK","ERROR")</f>
        <v>ERROR</v>
      </c>
      <c r="AJ101" s="208" t="str">
        <f>IF(ROUND(BS!AJ24,0)=ROUND(BS!AJ25-BS!AJ26,0),"OK","ERROR")</f>
        <v>OK</v>
      </c>
      <c r="AK101" s="208" t="str">
        <f>IF(ROUND(BS!AK24,0)=ROUND(BS!AK25-BS!AK26,0),"OK","ERROR")</f>
        <v>OK</v>
      </c>
      <c r="AL101" s="220" t="str">
        <f>IF(ROUND(BS!AL24,0)=ROUND(BS!AL25-BS!AL26,0),"OK","ERROR")</f>
        <v>OK</v>
      </c>
      <c r="AM101" s="273"/>
      <c r="AN101" s="208" t="str">
        <f>IF(ROUND(BS!AN24,0)=ROUND(BS!AN25-BS!AN26,0),"OK","ERROR")</f>
        <v>OK</v>
      </c>
      <c r="AO101" s="208" t="str">
        <f>IF(ROUND(BS!AO24,0)=ROUND(BS!AO25-BS!AO26,0),"OK","ERROR")</f>
        <v>OK</v>
      </c>
      <c r="AP101" s="208" t="str">
        <f>IF(ROUND(BS!AP24,0)=ROUND(BS!AP25-BS!AP26,0),"OK","ERROR")</f>
        <v>OK</v>
      </c>
      <c r="AQ101" s="208" t="str">
        <f>IF(ROUND(BS!AQ24,0)=ROUND(BS!AQ25-BS!AQ26,0),"OK","ERROR")</f>
        <v>OK</v>
      </c>
      <c r="AR101" s="220" t="str">
        <f>IF(ROUND(BS!AR24,0)=ROUND(BS!AR25-BS!AR26,0),"OK","ERROR")</f>
        <v>OK</v>
      </c>
      <c r="AS101" s="273"/>
      <c r="AT101" s="220" t="str">
        <f>IF(ROUND(BS!AT24,0)=ROUND(BS!AT25-BS!AT26,0),"OK","ERROR")</f>
        <v>OK</v>
      </c>
      <c r="AU101" s="273"/>
      <c r="AV101" s="220" t="str">
        <f>IF(ROUND(BS!AV24,0)=ROUND(BS!AV25-BS!AV26,0),"OK","ERROR")</f>
        <v>OK</v>
      </c>
      <c r="AW101" s="261"/>
      <c r="AX101" s="220" t="str">
        <f>IF(ROUND(BS!AX24,0)=ROUND(BS!AX25-BS!AX26,0),"OK","ERROR")</f>
        <v>OK</v>
      </c>
    </row>
    <row r="102" spans="1:50" s="113" customFormat="1" ht="15" customHeight="1" x14ac:dyDescent="0.25">
      <c r="A102" s="44"/>
      <c r="B102" s="127" t="s">
        <v>584</v>
      </c>
      <c r="C102" s="115"/>
      <c r="D102" s="208" t="str">
        <f>IF(ROUND(BS!D27,0)=ROUND(SUM(BS!D27:D29),0),"OK","ERROR")</f>
        <v>ERROR</v>
      </c>
      <c r="E102" s="208" t="str">
        <f>IF(ROUND(BS!E27,0)=ROUND(SUM(BS!E27:E29),0),"OK","ERROR")</f>
        <v>ERROR</v>
      </c>
      <c r="F102" s="208" t="str">
        <f>IF(ROUND(BS!F27,0)=ROUND(SUM(BS!F27:F29),0),"OK","ERROR")</f>
        <v>ERROR</v>
      </c>
      <c r="G102" s="208" t="str">
        <f>IF(ROUND(BS!G27,0)=ROUND(SUM(BS!G27:G29),0),"OK","ERROR")</f>
        <v>ERROR</v>
      </c>
      <c r="H102" s="220" t="str">
        <f>IF(ROUND(BS!H27,0)=ROUND(SUM(BS!H27:H29),0),"OK","ERROR")</f>
        <v>ERROR</v>
      </c>
      <c r="I102" s="256"/>
      <c r="J102" s="208" t="str">
        <f>IF(ROUND(BS!J27,0)=ROUND(SUM(BS!J27:J29),0),"OK","ERROR")</f>
        <v>ERROR</v>
      </c>
      <c r="K102" s="208" t="str">
        <f>IF(ROUND(BS!K27,0)=ROUND(SUM(BS!K27:K29),0),"OK","ERROR")</f>
        <v>ERROR</v>
      </c>
      <c r="L102" s="208" t="str">
        <f>IF(ROUND(BS!L27,0)=ROUND(SUM(BS!L27:L29),0),"OK","ERROR")</f>
        <v>ERROR</v>
      </c>
      <c r="M102" s="208" t="str">
        <f>IF(ROUND(BS!M27,0)=ROUND(SUM(BS!M27:M29),0),"OK","ERROR")</f>
        <v>ERROR</v>
      </c>
      <c r="N102" s="220" t="str">
        <f>IF(ROUND(BS!N27,0)=ROUND(SUM(BS!N27:N29),0),"OK","ERROR")</f>
        <v>ERROR</v>
      </c>
      <c r="O102" s="256"/>
      <c r="P102" s="208" t="str">
        <f>IF(ROUND(BS!P27,0)=ROUND(SUM(BS!P27:P29),0),"OK","ERROR")</f>
        <v>ERROR</v>
      </c>
      <c r="Q102" s="208" t="str">
        <f>IF(ROUND(BS!Q27,0)=ROUND(SUM(BS!Q27:Q29),0),"OK","ERROR")</f>
        <v>ERROR</v>
      </c>
      <c r="R102" s="208" t="str">
        <f>IF(ROUND(BS!R27,0)=ROUND(SUM(BS!R27:R29),0),"OK","ERROR")</f>
        <v>ERROR</v>
      </c>
      <c r="S102" s="208" t="str">
        <f>IF(ROUND(BS!S27,0)=ROUND(SUM(BS!S27:S29),0),"OK","ERROR")</f>
        <v>ERROR</v>
      </c>
      <c r="T102" s="220" t="str">
        <f>IF(ROUND(BS!T27,0)=ROUND(SUM(BS!T27:T29),0),"OK","ERROR")</f>
        <v>ERROR</v>
      </c>
      <c r="U102" s="256"/>
      <c r="V102" s="208" t="str">
        <f>IF(ROUND(BS!V27,0)=ROUND(SUM(BS!V27:V29),0),"OK","ERROR")</f>
        <v>ERROR</v>
      </c>
      <c r="W102" s="208" t="str">
        <f>IF(ROUND(BS!W27,0)=ROUND(SUM(BS!W27:W29),0),"OK","ERROR")</f>
        <v>ERROR</v>
      </c>
      <c r="X102" s="208" t="str">
        <f>IF(ROUND(BS!X27,0)=ROUND(SUM(BS!X27:X29),0),"OK","ERROR")</f>
        <v>ERROR</v>
      </c>
      <c r="Y102" s="208" t="str">
        <f>IF(ROUND(BS!Y27,0)=ROUND(SUM(BS!Y27:Y29),0),"OK","ERROR")</f>
        <v>ERROR</v>
      </c>
      <c r="Z102" s="220" t="str">
        <f>IF(ROUND(BS!Z27,0)=ROUND(SUM(BS!Z27:Z29),0),"OK","ERROR")</f>
        <v>ERROR</v>
      </c>
      <c r="AA102" s="273"/>
      <c r="AB102" s="208" t="str">
        <f>IF(ROUND(BS!AB27,0)=ROUND(SUM(BS!AB27:AB29),0),"OK","ERROR")</f>
        <v>ERROR</v>
      </c>
      <c r="AC102" s="208" t="str">
        <f>IF(ROUND(BS!AC27,0)=ROUND(SUM(BS!AC27:AC29),0),"OK","ERROR")</f>
        <v>ERROR</v>
      </c>
      <c r="AD102" s="208" t="str">
        <f>IF(ROUND(BS!AD27,0)=ROUND(SUM(BS!AD27:AD29),0),"OK","ERROR")</f>
        <v>ERROR</v>
      </c>
      <c r="AE102" s="208" t="str">
        <f>IF(ROUND(BS!AE27,0)=ROUND(SUM(BS!AE27:AE29),0),"OK","ERROR")</f>
        <v>ERROR</v>
      </c>
      <c r="AF102" s="220" t="str">
        <f>IF(ROUND(BS!AF27,0)=ROUND(SUM(BS!AF27:AF29),0),"OK","ERROR")</f>
        <v>ERROR</v>
      </c>
      <c r="AG102" s="274"/>
      <c r="AH102" s="208" t="str">
        <f>IF(ROUND(BS!AH27,0)=ROUND(SUM(BS!AH27:AH29),0),"OK","ERROR")</f>
        <v>ERROR</v>
      </c>
      <c r="AI102" s="208" t="str">
        <f>IF(ROUND(BS!AI27,0)=ROUND(SUM(BS!AI27:AI29),0),"OK","ERROR")</f>
        <v>ERROR</v>
      </c>
      <c r="AJ102" s="208" t="str">
        <f>IF(ROUND(BS!AJ27,0)=ROUND(SUM(BS!AJ27:AJ29),0),"OK","ERROR")</f>
        <v>OK</v>
      </c>
      <c r="AK102" s="208" t="str">
        <f>IF(ROUND(BS!AK27,0)=ROUND(SUM(BS!AK27:AK29),0),"OK","ERROR")</f>
        <v>OK</v>
      </c>
      <c r="AL102" s="220" t="str">
        <f>IF(ROUND(BS!AL27,0)=ROUND(SUM(BS!AL27:AL29),0),"OK","ERROR")</f>
        <v>OK</v>
      </c>
      <c r="AM102" s="273"/>
      <c r="AN102" s="208" t="str">
        <f>IF(ROUND(BS!AN27,0)=ROUND(SUM(BS!AN27:AN29),0),"OK","ERROR")</f>
        <v>OK</v>
      </c>
      <c r="AO102" s="208" t="str">
        <f>IF(ROUND(BS!AO27,0)=ROUND(SUM(BS!AO27:AO29),0),"OK","ERROR")</f>
        <v>OK</v>
      </c>
      <c r="AP102" s="208" t="str">
        <f>IF(ROUND(BS!AP27,0)=ROUND(SUM(BS!AP27:AP29),0),"OK","ERROR")</f>
        <v>OK</v>
      </c>
      <c r="AQ102" s="208" t="str">
        <f>IF(ROUND(BS!AQ27,0)=ROUND(SUM(BS!AQ27:AQ29),0),"OK","ERROR")</f>
        <v>OK</v>
      </c>
      <c r="AR102" s="220" t="str">
        <f>IF(ROUND(BS!AR27,0)=ROUND(SUM(BS!AR27:AR29),0),"OK","ERROR")</f>
        <v>OK</v>
      </c>
      <c r="AS102" s="273"/>
      <c r="AT102" s="220" t="str">
        <f>IF(ROUND(BS!AT27,0)=ROUND(SUM(BS!AT27:AT29),0),"OK","ERROR")</f>
        <v>OK</v>
      </c>
      <c r="AU102" s="273"/>
      <c r="AV102" s="220" t="str">
        <f>IF(ROUND(BS!AV27,0)=ROUND(SUM(BS!AV27:AV29),0),"OK","ERROR")</f>
        <v>OK</v>
      </c>
      <c r="AW102" s="261"/>
      <c r="AX102" s="220" t="str">
        <f>IF(ROUND(BS!AX27,0)=ROUND(SUM(BS!AX27:AX29),0),"OK","ERROR")</f>
        <v>OK</v>
      </c>
    </row>
    <row r="103" spans="1:50" s="41" customFormat="1" ht="15" customHeight="1" x14ac:dyDescent="0.3">
      <c r="A103" s="43"/>
      <c r="B103" s="138" t="s">
        <v>767</v>
      </c>
      <c r="C103" s="17"/>
      <c r="D103" s="217" t="str">
        <f>IF(ROUND(BS!D31,0)=ROUND(SUM(BS!D24,BS!D27,BS!D30),0),"OK","ERROR")</f>
        <v>OK</v>
      </c>
      <c r="E103" s="217" t="str">
        <f>IF(ROUND(BS!E31,0)=ROUND(SUM(BS!E24,BS!E27,BS!E30),0),"OK","ERROR")</f>
        <v>OK</v>
      </c>
      <c r="F103" s="217" t="str">
        <f>IF(ROUND(BS!F31,0)=ROUND(SUM(BS!F24,BS!F27,BS!F30),0),"OK","ERROR")</f>
        <v>OK</v>
      </c>
      <c r="G103" s="217" t="str">
        <f>IF(ROUND(BS!G31,0)=ROUND(SUM(BS!G24,BS!G27,BS!G30),0),"OK","ERROR")</f>
        <v>OK</v>
      </c>
      <c r="H103" s="226" t="str">
        <f>IF(ROUND(BS!H31,0)=ROUND(SUM(BS!H24,BS!H27,BS!H30),0),"OK","ERROR")</f>
        <v>OK</v>
      </c>
      <c r="I103" s="248"/>
      <c r="J103" s="217" t="str">
        <f>IF(ROUND(BS!J31,0)=ROUND(SUM(BS!J24,BS!J27,BS!J30),0),"OK","ERROR")</f>
        <v>OK</v>
      </c>
      <c r="K103" s="217" t="str">
        <f>IF(ROUND(BS!K31,0)=ROUND(SUM(BS!K24,BS!K27,BS!K30),0),"OK","ERROR")</f>
        <v>OK</v>
      </c>
      <c r="L103" s="217" t="str">
        <f>IF(ROUND(BS!L31,0)=ROUND(SUM(BS!L24,BS!L27,BS!L30),0),"OK","ERROR")</f>
        <v>OK</v>
      </c>
      <c r="M103" s="217" t="str">
        <f>IF(ROUND(BS!M31,0)=ROUND(SUM(BS!M24,BS!M27,BS!M30),0),"OK","ERROR")</f>
        <v>OK</v>
      </c>
      <c r="N103" s="226" t="str">
        <f>IF(ROUND(BS!N31,0)=ROUND(SUM(BS!N24,BS!N27,BS!N30),0),"OK","ERROR")</f>
        <v>OK</v>
      </c>
      <c r="O103" s="248"/>
      <c r="P103" s="217" t="str">
        <f>IF(ROUND(BS!P31,0)=ROUND(SUM(BS!P24,BS!P27,BS!P30),0),"OK","ERROR")</f>
        <v>OK</v>
      </c>
      <c r="Q103" s="217" t="str">
        <f>IF(ROUND(BS!Q31,0)=ROUND(SUM(BS!Q24,BS!Q27,BS!Q30),0),"OK","ERROR")</f>
        <v>OK</v>
      </c>
      <c r="R103" s="217" t="str">
        <f>IF(ROUND(BS!R31,0)=ROUND(SUM(BS!R24,BS!R27,BS!R30),0),"OK","ERROR")</f>
        <v>OK</v>
      </c>
      <c r="S103" s="217" t="str">
        <f>IF(ROUND(BS!S31,0)=ROUND(SUM(BS!S24,BS!S27,BS!S30),0),"OK","ERROR")</f>
        <v>OK</v>
      </c>
      <c r="T103" s="226" t="str">
        <f>IF(ROUND(BS!T31,0)=ROUND(SUM(BS!T24,BS!T27,BS!T30),0),"OK","ERROR")</f>
        <v>OK</v>
      </c>
      <c r="U103" s="248"/>
      <c r="V103" s="217" t="str">
        <f>IF(ROUND(BS!V31,0)=ROUND(SUM(BS!V24,BS!V27,BS!V30),0),"OK","ERROR")</f>
        <v>OK</v>
      </c>
      <c r="W103" s="217" t="str">
        <f>IF(ROUND(BS!W31,0)=ROUND(SUM(BS!W24,BS!W27,BS!W30),0),"OK","ERROR")</f>
        <v>OK</v>
      </c>
      <c r="X103" s="217" t="str">
        <f>IF(ROUND(BS!X31,0)=ROUND(SUM(BS!X24,BS!X27,BS!X30),0),"OK","ERROR")</f>
        <v>OK</v>
      </c>
      <c r="Y103" s="217" t="str">
        <f>IF(ROUND(BS!Y31,0)=ROUND(SUM(BS!Y24,BS!Y27,BS!Y30),0),"OK","ERROR")</f>
        <v>OK</v>
      </c>
      <c r="Z103" s="226" t="str">
        <f>IF(ROUND(BS!Z31,0)=ROUND(SUM(BS!Z24,BS!Z27,BS!Z30),0),"OK","ERROR")</f>
        <v>OK</v>
      </c>
      <c r="AA103" s="263"/>
      <c r="AB103" s="217" t="str">
        <f>IF(ROUND(BS!AB31,0)=ROUND(SUM(BS!AB24,BS!AB27,BS!AB30),0),"OK","ERROR")</f>
        <v>OK</v>
      </c>
      <c r="AC103" s="217" t="str">
        <f>IF(ROUND(BS!AC31,0)=ROUND(SUM(BS!AC24,BS!AC27,BS!AC30),0),"OK","ERROR")</f>
        <v>OK</v>
      </c>
      <c r="AD103" s="217" t="str">
        <f>IF(ROUND(BS!AD31,0)=ROUND(SUM(BS!AD24,BS!AD27,BS!AD30),0),"OK","ERROR")</f>
        <v>OK</v>
      </c>
      <c r="AE103" s="217" t="str">
        <f>IF(ROUND(BS!AE31,0)=ROUND(SUM(BS!AE24,BS!AE27,BS!AE30),0),"OK","ERROR")</f>
        <v>OK</v>
      </c>
      <c r="AF103" s="226" t="str">
        <f>IF(ROUND(BS!AF31,0)=ROUND(SUM(BS!AF24,BS!AF27,BS!AF30),0),"OK","ERROR")</f>
        <v>OK</v>
      </c>
      <c r="AG103" s="265"/>
      <c r="AH103" s="217" t="str">
        <f>IF(ROUND(BS!AH31,0)=ROUND(SUM(BS!AH24,BS!AH27,BS!AH30),0),"OK","ERROR")</f>
        <v>OK</v>
      </c>
      <c r="AI103" s="217" t="str">
        <f>IF(ROUND(BS!AI31,0)=ROUND(SUM(BS!AI24,BS!AI27,BS!AI30),0),"OK","ERROR")</f>
        <v>OK</v>
      </c>
      <c r="AJ103" s="217" t="str">
        <f>IF(ROUND(BS!AJ31,0)=ROUND(SUM(BS!AJ24,BS!AJ27,BS!AJ30),0),"OK","ERROR")</f>
        <v>OK</v>
      </c>
      <c r="AK103" s="217" t="str">
        <f>IF(ROUND(BS!AK31,0)=ROUND(SUM(BS!AK24,BS!AK27,BS!AK30),0),"OK","ERROR")</f>
        <v>OK</v>
      </c>
      <c r="AL103" s="226" t="str">
        <f>IF(ROUND(BS!AL31,0)=ROUND(SUM(BS!AL24,BS!AL27,BS!AL30),0),"OK","ERROR")</f>
        <v>OK</v>
      </c>
      <c r="AM103" s="275"/>
      <c r="AN103" s="217" t="str">
        <f>IF(ROUND(BS!AN31,0)=ROUND(SUM(BS!AN24,BS!AN27,BS!AN30),0),"OK","ERROR")</f>
        <v>OK</v>
      </c>
      <c r="AO103" s="217" t="str">
        <f>IF(ROUND(BS!AO31,0)=ROUND(SUM(BS!AO24,BS!AO27,BS!AO30),0),"OK","ERROR")</f>
        <v>OK</v>
      </c>
      <c r="AP103" s="217" t="str">
        <f>IF(ROUND(BS!AP31,0)=ROUND(SUM(BS!AP24,BS!AP27,BS!AP30),0),"OK","ERROR")</f>
        <v>OK</v>
      </c>
      <c r="AQ103" s="217" t="str">
        <f>IF(ROUND(BS!AQ31,0)=ROUND(SUM(BS!AQ24,BS!AQ27,BS!AQ30),0),"OK","ERROR")</f>
        <v>OK</v>
      </c>
      <c r="AR103" s="226" t="str">
        <f>IF(ROUND(BS!AR31,0)=ROUND(SUM(BS!AR24,BS!AR27,BS!AR30),0),"OK","ERROR")</f>
        <v>OK</v>
      </c>
      <c r="AS103" s="275"/>
      <c r="AT103" s="226" t="str">
        <f>IF(ROUND(BS!AT31,0)=ROUND(SUM(BS!AT24,BS!AT27,BS!AT30),0),"OK","ERROR")</f>
        <v>OK</v>
      </c>
      <c r="AU103" s="275"/>
      <c r="AV103" s="226" t="str">
        <f>IF(ROUND(BS!AV31,0)=ROUND(SUM(BS!AV24,BS!AV27,BS!AV30),0),"OK","ERROR")</f>
        <v>OK</v>
      </c>
      <c r="AW103" s="255"/>
      <c r="AX103" s="226" t="str">
        <f>IF(ROUND(BS!AX31,0)=ROUND(SUM(BS!AX24,BS!AX27,BS!AX30),0),"OK","ERROR")</f>
        <v>OK</v>
      </c>
    </row>
    <row r="104" spans="1:50" s="113" customFormat="1" ht="15" customHeight="1" thickBot="1" x14ac:dyDescent="0.3">
      <c r="B104" s="140" t="s">
        <v>768</v>
      </c>
      <c r="C104" s="115"/>
      <c r="D104" s="217" t="str">
        <f>IF(ROUND(SUM(BS!D21,BS!D31),0)=ROUND(BS!D32,0),"OK","ERROR")</f>
        <v>OK</v>
      </c>
      <c r="E104" s="217" t="str">
        <f>IF(ROUND(SUM(BS!E21,BS!E31),0)=ROUND(BS!E32,0),"OK","ERROR")</f>
        <v>OK</v>
      </c>
      <c r="F104" s="217" t="str">
        <f>IF(ROUND(SUM(BS!F21,BS!F31),0)=ROUND(BS!F32,0),"OK","ERROR")</f>
        <v>OK</v>
      </c>
      <c r="G104" s="217" t="str">
        <f>IF(ROUND(SUM(BS!G21,BS!G31),0)=ROUND(BS!G32,0),"OK","ERROR")</f>
        <v>OK</v>
      </c>
      <c r="H104" s="237" t="str">
        <f>IF(ROUND(SUM(BS!H21,BS!H31),0)=ROUND(BS!H32,0),"OK","ERROR")</f>
        <v>OK</v>
      </c>
      <c r="I104" s="256"/>
      <c r="J104" s="217" t="str">
        <f>IF(ROUND(SUM(BS!J21,BS!J31),0)=ROUND(BS!J32,0),"OK","ERROR")</f>
        <v>OK</v>
      </c>
      <c r="K104" s="217" t="str">
        <f>IF(ROUND(SUM(BS!K21,BS!K31),0)=ROUND(BS!K32,0),"OK","ERROR")</f>
        <v>OK</v>
      </c>
      <c r="L104" s="217" t="str">
        <f>IF(ROUND(SUM(BS!L21,BS!L31),0)=ROUND(BS!L32,0),"OK","ERROR")</f>
        <v>OK</v>
      </c>
      <c r="M104" s="217" t="str">
        <f>IF(ROUND(SUM(BS!M21,BS!M31),0)=ROUND(BS!M32,0),"OK","ERROR")</f>
        <v>OK</v>
      </c>
      <c r="N104" s="237" t="str">
        <f>IF(ROUND(SUM(BS!N21,BS!N31),0)=ROUND(BS!N32,0),"OK","ERROR")</f>
        <v>OK</v>
      </c>
      <c r="O104" s="256"/>
      <c r="P104" s="217" t="str">
        <f>IF(ROUND(SUM(BS!P21,BS!P31),0)=ROUND(BS!P32,0),"OK","ERROR")</f>
        <v>OK</v>
      </c>
      <c r="Q104" s="217" t="str">
        <f>IF(ROUND(SUM(BS!Q21,BS!Q31),0)=ROUND(BS!Q32,0),"OK","ERROR")</f>
        <v>OK</v>
      </c>
      <c r="R104" s="217" t="str">
        <f>IF(ROUND(SUM(BS!R21,BS!R31),0)=ROUND(BS!R32,0),"OK","ERROR")</f>
        <v>OK</v>
      </c>
      <c r="S104" s="217" t="str">
        <f>IF(ROUND(SUM(BS!S21,BS!S31),0)=ROUND(BS!S32,0),"OK","ERROR")</f>
        <v>OK</v>
      </c>
      <c r="T104" s="237" t="str">
        <f>IF(ROUND(SUM(BS!T21,BS!T31),0)=ROUND(BS!T32,0),"OK","ERROR")</f>
        <v>OK</v>
      </c>
      <c r="U104" s="256"/>
      <c r="V104" s="217" t="str">
        <f>IF(ROUND(SUM(BS!V21,BS!V31),0)=ROUND(BS!V32,0),"OK","ERROR")</f>
        <v>OK</v>
      </c>
      <c r="W104" s="217" t="str">
        <f>IF(ROUND(SUM(BS!W21,BS!W31),0)=ROUND(BS!W32,0),"OK","ERROR")</f>
        <v>OK</v>
      </c>
      <c r="X104" s="217" t="str">
        <f>IF(ROUND(SUM(BS!X21,BS!X31),0)=ROUND(BS!X32,0),"OK","ERROR")</f>
        <v>OK</v>
      </c>
      <c r="Y104" s="217" t="str">
        <f>IF(ROUND(SUM(BS!Y21,BS!Y31),0)=ROUND(BS!Y32,0),"OK","ERROR")</f>
        <v>OK</v>
      </c>
      <c r="Z104" s="237" t="str">
        <f>IF(ROUND(SUM(BS!Z21,BS!Z31),0)=ROUND(BS!Z32,0),"OK","ERROR")</f>
        <v>OK</v>
      </c>
      <c r="AA104" s="276"/>
      <c r="AB104" s="217" t="str">
        <f>IF(ROUND(SUM(BS!AB21,BS!AB31),0)=ROUND(BS!AB32,0),"OK","ERROR")</f>
        <v>OK</v>
      </c>
      <c r="AC104" s="217" t="str">
        <f>IF(ROUND(SUM(BS!AC21,BS!AC31),0)=ROUND(BS!AC32,0),"OK","ERROR")</f>
        <v>OK</v>
      </c>
      <c r="AD104" s="217" t="str">
        <f>IF(ROUND(SUM(BS!AD21,BS!AD31),0)=ROUND(BS!AD32,0),"OK","ERROR")</f>
        <v>OK</v>
      </c>
      <c r="AE104" s="217" t="str">
        <f>IF(ROUND(SUM(BS!AE21,BS!AE31),0)=ROUND(BS!AE32,0),"OK","ERROR")</f>
        <v>OK</v>
      </c>
      <c r="AF104" s="237" t="str">
        <f>IF(ROUND(SUM(BS!AF21,BS!AF31),0)=ROUND(BS!AF32,0),"OK","ERROR")</f>
        <v>OK</v>
      </c>
      <c r="AG104" s="274"/>
      <c r="AH104" s="217" t="str">
        <f>IF(ROUND(SUM(BS!AH21,BS!AH31),0)=ROUND(BS!AH32,0),"OK","ERROR")</f>
        <v>OK</v>
      </c>
      <c r="AI104" s="217" t="str">
        <f>IF(ROUND(SUM(BS!AI21,BS!AI31),0)=ROUND(BS!AI32,0),"OK","ERROR")</f>
        <v>OK</v>
      </c>
      <c r="AJ104" s="217" t="str">
        <f>IF(ROUND(SUM(BS!AJ21,BS!AJ31),0)=ROUND(BS!AJ32,0),"OK","ERROR")</f>
        <v>OK</v>
      </c>
      <c r="AK104" s="217" t="str">
        <f>IF(ROUND(SUM(BS!AK21,BS!AK31),0)=ROUND(BS!AK32,0),"OK","ERROR")</f>
        <v>OK</v>
      </c>
      <c r="AL104" s="237" t="str">
        <f>IF(ROUND(SUM(BS!AL21,BS!AL31),0)=ROUND(BS!AL32,0),"OK","ERROR")</f>
        <v>OK</v>
      </c>
      <c r="AM104" s="273"/>
      <c r="AN104" s="217" t="str">
        <f>IF(ROUND(SUM(BS!AN21,BS!AN31),0)=ROUND(BS!AN32,0),"OK","ERROR")</f>
        <v>OK</v>
      </c>
      <c r="AO104" s="217" t="str">
        <f>IF(ROUND(SUM(BS!AO21,BS!AO31),0)=ROUND(BS!AO32,0),"OK","ERROR")</f>
        <v>OK</v>
      </c>
      <c r="AP104" s="217" t="str">
        <f>IF(ROUND(SUM(BS!AP21,BS!AP31),0)=ROUND(BS!AP32,0),"OK","ERROR")</f>
        <v>OK</v>
      </c>
      <c r="AQ104" s="217" t="str">
        <f>IF(ROUND(SUM(BS!AQ21,BS!AQ31),0)=ROUND(BS!AQ32,0),"OK","ERROR")</f>
        <v>OK</v>
      </c>
      <c r="AR104" s="237" t="str">
        <f>IF(ROUND(SUM(BS!AR21,BS!AR31),0)=ROUND(BS!AR32,0),"OK","ERROR")</f>
        <v>OK</v>
      </c>
      <c r="AS104" s="273"/>
      <c r="AT104" s="237" t="str">
        <f>IF(ROUND(SUM(BS!AT21,BS!AT31),0)=ROUND(BS!AT32,0),"OK","ERROR")</f>
        <v>OK</v>
      </c>
      <c r="AU104" s="273"/>
      <c r="AV104" s="237" t="str">
        <f>IF(ROUND(SUM(BS!AV21,BS!AV31),0)=ROUND(BS!AV32,0),"OK","ERROR")</f>
        <v>OK</v>
      </c>
      <c r="AW104" s="261"/>
      <c r="AX104" s="237" t="str">
        <f>IF(ROUND(SUM(BS!AX21,BS!AX31),0)=ROUND(BS!AX32,0),"OK","ERROR")</f>
        <v>OK</v>
      </c>
    </row>
    <row r="105" spans="1:50" s="147" customFormat="1" ht="15" customHeight="1" thickTop="1" x14ac:dyDescent="0.3">
      <c r="A105" s="142"/>
      <c r="B105" s="143"/>
      <c r="C105" s="27"/>
      <c r="D105" s="208"/>
      <c r="E105" s="208"/>
      <c r="F105" s="208"/>
      <c r="G105" s="208"/>
      <c r="H105" s="220"/>
      <c r="I105" s="277"/>
      <c r="J105" s="208"/>
      <c r="K105" s="208"/>
      <c r="L105" s="208"/>
      <c r="M105" s="208"/>
      <c r="N105" s="220"/>
      <c r="O105" s="277"/>
      <c r="P105" s="208"/>
      <c r="Q105" s="208"/>
      <c r="R105" s="208"/>
      <c r="S105" s="208"/>
      <c r="T105" s="220"/>
      <c r="U105" s="277"/>
      <c r="V105" s="208"/>
      <c r="W105" s="208"/>
      <c r="X105" s="208"/>
      <c r="Y105" s="208"/>
      <c r="Z105" s="220"/>
      <c r="AA105" s="278"/>
      <c r="AB105" s="208"/>
      <c r="AC105" s="208"/>
      <c r="AD105" s="208"/>
      <c r="AE105" s="208"/>
      <c r="AF105" s="220"/>
      <c r="AG105" s="279"/>
      <c r="AH105" s="208"/>
      <c r="AI105" s="208"/>
      <c r="AJ105" s="208"/>
      <c r="AK105" s="208"/>
      <c r="AL105" s="220"/>
      <c r="AM105" s="280"/>
      <c r="AN105" s="208"/>
      <c r="AO105" s="208"/>
      <c r="AP105" s="208"/>
      <c r="AQ105" s="208"/>
      <c r="AR105" s="220"/>
      <c r="AS105" s="280"/>
      <c r="AT105" s="220"/>
      <c r="AU105" s="280"/>
      <c r="AV105" s="220"/>
      <c r="AW105" s="281"/>
      <c r="AX105" s="220"/>
    </row>
    <row r="106" spans="1:50" s="113" customFormat="1" ht="15" customHeight="1" x14ac:dyDescent="0.25">
      <c r="A106" s="44"/>
      <c r="B106" s="64" t="s">
        <v>769</v>
      </c>
      <c r="C106" s="115"/>
      <c r="D106" s="208"/>
      <c r="E106" s="208"/>
      <c r="F106" s="208"/>
      <c r="G106" s="208"/>
      <c r="H106" s="220"/>
      <c r="I106" s="256"/>
      <c r="J106" s="208"/>
      <c r="K106" s="208"/>
      <c r="L106" s="208"/>
      <c r="M106" s="208"/>
      <c r="N106" s="220"/>
      <c r="O106" s="256"/>
      <c r="P106" s="208"/>
      <c r="Q106" s="208"/>
      <c r="R106" s="208"/>
      <c r="S106" s="208"/>
      <c r="T106" s="220"/>
      <c r="U106" s="256"/>
      <c r="V106" s="208"/>
      <c r="W106" s="208"/>
      <c r="X106" s="208"/>
      <c r="Y106" s="208"/>
      <c r="Z106" s="220"/>
      <c r="AA106" s="257"/>
      <c r="AB106" s="208"/>
      <c r="AC106" s="208"/>
      <c r="AD106" s="208"/>
      <c r="AE106" s="208"/>
      <c r="AF106" s="220"/>
      <c r="AG106" s="258"/>
      <c r="AH106" s="208"/>
      <c r="AI106" s="208"/>
      <c r="AJ106" s="208"/>
      <c r="AK106" s="208"/>
      <c r="AL106" s="220"/>
      <c r="AM106" s="257"/>
      <c r="AN106" s="208"/>
      <c r="AO106" s="208"/>
      <c r="AP106" s="208"/>
      <c r="AQ106" s="208"/>
      <c r="AR106" s="220"/>
      <c r="AS106" s="257"/>
      <c r="AT106" s="220"/>
      <c r="AU106" s="257"/>
      <c r="AV106" s="220"/>
      <c r="AW106" s="261"/>
      <c r="AX106" s="220"/>
    </row>
    <row r="107" spans="1:50" s="147" customFormat="1" ht="15" customHeight="1" x14ac:dyDescent="0.3">
      <c r="A107" s="142"/>
      <c r="B107" s="143"/>
      <c r="C107" s="27"/>
      <c r="D107" s="208"/>
      <c r="E107" s="208"/>
      <c r="F107" s="208"/>
      <c r="G107" s="208"/>
      <c r="H107" s="220"/>
      <c r="I107" s="277"/>
      <c r="J107" s="208"/>
      <c r="K107" s="208"/>
      <c r="L107" s="208"/>
      <c r="M107" s="208"/>
      <c r="N107" s="220"/>
      <c r="O107" s="277"/>
      <c r="P107" s="208"/>
      <c r="Q107" s="208"/>
      <c r="R107" s="208"/>
      <c r="S107" s="208"/>
      <c r="T107" s="220"/>
      <c r="U107" s="277"/>
      <c r="V107" s="208"/>
      <c r="W107" s="208"/>
      <c r="X107" s="208"/>
      <c r="Y107" s="208"/>
      <c r="Z107" s="220"/>
      <c r="AA107" s="278"/>
      <c r="AB107" s="208"/>
      <c r="AC107" s="208"/>
      <c r="AD107" s="208"/>
      <c r="AE107" s="208"/>
      <c r="AF107" s="220"/>
      <c r="AG107" s="279"/>
      <c r="AH107" s="208"/>
      <c r="AI107" s="208"/>
      <c r="AJ107" s="208"/>
      <c r="AK107" s="208"/>
      <c r="AL107" s="220"/>
      <c r="AM107" s="282"/>
      <c r="AN107" s="208"/>
      <c r="AO107" s="208"/>
      <c r="AP107" s="208"/>
      <c r="AQ107" s="208"/>
      <c r="AR107" s="220"/>
      <c r="AS107" s="275"/>
      <c r="AT107" s="220"/>
      <c r="AU107" s="275"/>
      <c r="AV107" s="220"/>
      <c r="AW107" s="281"/>
      <c r="AX107" s="220"/>
    </row>
    <row r="108" spans="1:50" s="113" customFormat="1" ht="15" customHeight="1" x14ac:dyDescent="0.25">
      <c r="A108" s="44" t="s">
        <v>70</v>
      </c>
      <c r="B108" s="114" t="s">
        <v>770</v>
      </c>
      <c r="C108" s="115"/>
      <c r="D108" s="208"/>
      <c r="E108" s="208"/>
      <c r="F108" s="208"/>
      <c r="G108" s="208"/>
      <c r="H108" s="220"/>
      <c r="I108" s="256"/>
      <c r="J108" s="208"/>
      <c r="K108" s="208"/>
      <c r="L108" s="208"/>
      <c r="M108" s="208"/>
      <c r="N108" s="220"/>
      <c r="O108" s="256"/>
      <c r="P108" s="208"/>
      <c r="Q108" s="208"/>
      <c r="R108" s="208"/>
      <c r="S108" s="208"/>
      <c r="T108" s="220"/>
      <c r="U108" s="256"/>
      <c r="V108" s="208"/>
      <c r="W108" s="208"/>
      <c r="X108" s="208"/>
      <c r="Y108" s="208"/>
      <c r="Z108" s="220"/>
      <c r="AA108" s="257"/>
      <c r="AB108" s="208"/>
      <c r="AC108" s="208"/>
      <c r="AD108" s="208"/>
      <c r="AE108" s="208"/>
      <c r="AF108" s="220"/>
      <c r="AG108" s="258"/>
      <c r="AH108" s="208"/>
      <c r="AI108" s="208"/>
      <c r="AJ108" s="208"/>
      <c r="AK108" s="208"/>
      <c r="AL108" s="220"/>
      <c r="AM108" s="283"/>
      <c r="AN108" s="208"/>
      <c r="AO108" s="208"/>
      <c r="AP108" s="208"/>
      <c r="AQ108" s="208"/>
      <c r="AR108" s="220"/>
      <c r="AS108" s="257"/>
      <c r="AT108" s="220"/>
      <c r="AU108" s="257"/>
      <c r="AV108" s="220"/>
      <c r="AW108" s="261"/>
      <c r="AX108" s="220"/>
    </row>
    <row r="109" spans="1:50" s="113" customFormat="1" ht="15" customHeight="1" x14ac:dyDescent="0.25">
      <c r="B109" s="138" t="s">
        <v>775</v>
      </c>
      <c r="C109" s="115"/>
      <c r="D109" s="217" t="str">
        <f>IF(ROUND(BS!D41,0)=ROUND(SUM(BS!D37:D40),0),"OK","ERROR")</f>
        <v>OK</v>
      </c>
      <c r="E109" s="217" t="str">
        <f>IF(ROUND(BS!E41,0)=ROUND(SUM(BS!E37:E40),0),"OK","ERROR")</f>
        <v>OK</v>
      </c>
      <c r="F109" s="217" t="str">
        <f>IF(ROUND(BS!F41,0)=ROUND(SUM(BS!F37:F40),0),"OK","ERROR")</f>
        <v>OK</v>
      </c>
      <c r="G109" s="217" t="str">
        <f>IF(ROUND(BS!G41,0)=ROUND(SUM(BS!G37:G40),0),"OK","ERROR")</f>
        <v>OK</v>
      </c>
      <c r="H109" s="227" t="str">
        <f>IF(ROUND(BS!H41,0)=ROUND(SUM(BS!H37:H40),0),"OK","ERROR")</f>
        <v>OK</v>
      </c>
      <c r="I109" s="256"/>
      <c r="J109" s="217" t="str">
        <f>IF(ROUND(BS!J41,0)=ROUND(SUM(BS!J37:J40),0),"OK","ERROR")</f>
        <v>OK</v>
      </c>
      <c r="K109" s="217" t="str">
        <f>IF(ROUND(BS!K41,0)=ROUND(SUM(BS!K37:K40),0),"OK","ERROR")</f>
        <v>OK</v>
      </c>
      <c r="L109" s="217" t="str">
        <f>IF(ROUND(BS!L41,0)=ROUND(SUM(BS!L37:L40),0),"OK","ERROR")</f>
        <v>OK</v>
      </c>
      <c r="M109" s="217" t="str">
        <f>IF(ROUND(BS!M41,0)=ROUND(SUM(BS!M37:M40),0),"OK","ERROR")</f>
        <v>OK</v>
      </c>
      <c r="N109" s="227" t="str">
        <f>IF(ROUND(BS!N41,0)=ROUND(SUM(BS!N37:N40),0),"OK","ERROR")</f>
        <v>OK</v>
      </c>
      <c r="O109" s="256"/>
      <c r="P109" s="217" t="str">
        <f>IF(ROUND(BS!P41,0)=ROUND(SUM(BS!P37:P40),0),"OK","ERROR")</f>
        <v>OK</v>
      </c>
      <c r="Q109" s="217" t="str">
        <f>IF(ROUND(BS!Q41,0)=ROUND(SUM(BS!Q37:Q40),0),"OK","ERROR")</f>
        <v>OK</v>
      </c>
      <c r="R109" s="217" t="str">
        <f>IF(ROUND(BS!R41,0)=ROUND(SUM(BS!R37:R40),0),"OK","ERROR")</f>
        <v>OK</v>
      </c>
      <c r="S109" s="217" t="str">
        <f>IF(ROUND(BS!S41,0)=ROUND(SUM(BS!S37:S40),0),"OK","ERROR")</f>
        <v>OK</v>
      </c>
      <c r="T109" s="227" t="str">
        <f>IF(ROUND(BS!T41,0)=ROUND(SUM(BS!T37:T40),0),"OK","ERROR")</f>
        <v>OK</v>
      </c>
      <c r="U109" s="256"/>
      <c r="V109" s="217" t="str">
        <f>IF(ROUND(BS!V41,0)=ROUND(SUM(BS!V37:V40),0),"OK","ERROR")</f>
        <v>OK</v>
      </c>
      <c r="W109" s="217" t="str">
        <f>IF(ROUND(BS!W41,0)=ROUND(SUM(BS!W37:W40),0),"OK","ERROR")</f>
        <v>OK</v>
      </c>
      <c r="X109" s="217" t="str">
        <f>IF(ROUND(BS!X41,0)=ROUND(SUM(BS!X37:X40),0),"OK","ERROR")</f>
        <v>OK</v>
      </c>
      <c r="Y109" s="217" t="str">
        <f>IF(ROUND(BS!Y41,0)=ROUND(SUM(BS!Y37:Y40),0),"OK","ERROR")</f>
        <v>OK</v>
      </c>
      <c r="Z109" s="227" t="str">
        <f>IF(ROUND(BS!Z41,0)=ROUND(SUM(BS!Z37:Z40),0),"OK","ERROR")</f>
        <v>OK</v>
      </c>
      <c r="AA109" s="273"/>
      <c r="AB109" s="217" t="str">
        <f>IF(ROUND(BS!AB41,0)=ROUND(SUM(BS!AB37:AB40),0),"OK","ERROR")</f>
        <v>OK</v>
      </c>
      <c r="AC109" s="217" t="str">
        <f>IF(ROUND(BS!AC41,0)=ROUND(SUM(BS!AC37:AC40),0),"OK","ERROR")</f>
        <v>OK</v>
      </c>
      <c r="AD109" s="217" t="str">
        <f>IF(ROUND(BS!AD41,0)=ROUND(SUM(BS!AD37:AD40),0),"OK","ERROR")</f>
        <v>OK</v>
      </c>
      <c r="AE109" s="217" t="str">
        <f>IF(ROUND(BS!AE41,0)=ROUND(SUM(BS!AE37:AE40),0),"OK","ERROR")</f>
        <v>OK</v>
      </c>
      <c r="AF109" s="227" t="str">
        <f>IF(ROUND(BS!AF41,0)=ROUND(SUM(BS!AF37:AF40),0),"OK","ERROR")</f>
        <v>OK</v>
      </c>
      <c r="AG109" s="274"/>
      <c r="AH109" s="217" t="str">
        <f>IF(ROUND(BS!AH41,0)=ROUND(SUM(BS!AH37:AH40),0),"OK","ERROR")</f>
        <v>OK</v>
      </c>
      <c r="AI109" s="217" t="str">
        <f>IF(ROUND(BS!AI41,0)=ROUND(SUM(BS!AI37:AI40),0),"OK","ERROR")</f>
        <v>OK</v>
      </c>
      <c r="AJ109" s="217" t="str">
        <f>IF(ROUND(BS!AJ41,0)=ROUND(SUM(BS!AJ37:AJ40),0),"OK","ERROR")</f>
        <v>OK</v>
      </c>
      <c r="AK109" s="217" t="str">
        <f>IF(ROUND(BS!AK41,0)=ROUND(SUM(BS!AK37:AK40),0),"OK","ERROR")</f>
        <v>OK</v>
      </c>
      <c r="AL109" s="227" t="str">
        <f>IF(ROUND(BS!AL41,0)=ROUND(SUM(BS!AL37:AL40),0),"OK","ERROR")</f>
        <v>OK</v>
      </c>
      <c r="AM109" s="273"/>
      <c r="AN109" s="217" t="str">
        <f>IF(ROUND(BS!AN41,0)=ROUND(SUM(BS!AN37:AN40),0),"OK","ERROR")</f>
        <v>OK</v>
      </c>
      <c r="AO109" s="217" t="str">
        <f>IF(ROUND(BS!AO41,0)=ROUND(SUM(BS!AO37:AO40),0),"OK","ERROR")</f>
        <v>OK</v>
      </c>
      <c r="AP109" s="217" t="str">
        <f>IF(ROUND(BS!AP41,0)=ROUND(SUM(BS!AP37:AP40),0),"OK","ERROR")</f>
        <v>OK</v>
      </c>
      <c r="AQ109" s="217" t="str">
        <f>IF(ROUND(BS!AQ41,0)=ROUND(SUM(BS!AQ37:AQ40),0),"OK","ERROR")</f>
        <v>OK</v>
      </c>
      <c r="AR109" s="227" t="str">
        <f>IF(ROUND(BS!AR41,0)=ROUND(SUM(BS!AR37:AR40),0),"OK","ERROR")</f>
        <v>OK</v>
      </c>
      <c r="AS109" s="273"/>
      <c r="AT109" s="227" t="str">
        <f>IF(ROUND(BS!AT41,0)=ROUND(SUM(BS!AT37:AT40),0),"OK","ERROR")</f>
        <v>OK</v>
      </c>
      <c r="AU109" s="273"/>
      <c r="AV109" s="227" t="str">
        <f>IF(ROUND(BS!AV41,0)=ROUND(SUM(BS!AV37:AV40),0),"OK","ERROR")</f>
        <v>OK</v>
      </c>
      <c r="AW109" s="261"/>
      <c r="AX109" s="227" t="str">
        <f>IF(ROUND(BS!AX41,0)=ROUND(SUM(BS!AX37:AX40),0),"OK","ERROR")</f>
        <v>OK</v>
      </c>
    </row>
    <row r="110" spans="1:50" s="41" customFormat="1" ht="15" customHeight="1" x14ac:dyDescent="0.3">
      <c r="A110" s="43"/>
      <c r="B110" s="152"/>
      <c r="C110" s="17"/>
      <c r="D110" s="208"/>
      <c r="E110" s="208"/>
      <c r="F110" s="208"/>
      <c r="G110" s="208"/>
      <c r="H110" s="220"/>
      <c r="I110" s="248"/>
      <c r="J110" s="208"/>
      <c r="K110" s="208"/>
      <c r="L110" s="208"/>
      <c r="M110" s="208"/>
      <c r="N110" s="220"/>
      <c r="O110" s="248"/>
      <c r="P110" s="208"/>
      <c r="Q110" s="208"/>
      <c r="R110" s="208"/>
      <c r="S110" s="208"/>
      <c r="T110" s="220"/>
      <c r="U110" s="248"/>
      <c r="V110" s="208"/>
      <c r="W110" s="208"/>
      <c r="X110" s="208"/>
      <c r="Y110" s="208"/>
      <c r="Z110" s="220"/>
      <c r="AA110" s="248"/>
      <c r="AB110" s="208"/>
      <c r="AC110" s="208"/>
      <c r="AD110" s="208"/>
      <c r="AE110" s="208"/>
      <c r="AF110" s="220"/>
      <c r="AG110" s="284"/>
      <c r="AH110" s="208"/>
      <c r="AI110" s="208"/>
      <c r="AJ110" s="208"/>
      <c r="AK110" s="208"/>
      <c r="AL110" s="220"/>
      <c r="AM110" s="248"/>
      <c r="AN110" s="208"/>
      <c r="AO110" s="208"/>
      <c r="AP110" s="208"/>
      <c r="AQ110" s="208"/>
      <c r="AR110" s="220"/>
      <c r="AS110" s="248"/>
      <c r="AT110" s="220"/>
      <c r="AU110" s="248"/>
      <c r="AV110" s="220"/>
      <c r="AW110" s="255"/>
      <c r="AX110" s="220"/>
    </row>
    <row r="111" spans="1:50" s="113" customFormat="1" ht="15" customHeight="1" x14ac:dyDescent="0.25">
      <c r="A111" s="44" t="s">
        <v>70</v>
      </c>
      <c r="B111" s="114" t="s">
        <v>776</v>
      </c>
      <c r="C111" s="115"/>
      <c r="D111" s="208"/>
      <c r="E111" s="208"/>
      <c r="F111" s="208"/>
      <c r="G111" s="208"/>
      <c r="H111" s="220"/>
      <c r="I111" s="256"/>
      <c r="J111" s="208"/>
      <c r="K111" s="208"/>
      <c r="L111" s="208"/>
      <c r="M111" s="208"/>
      <c r="N111" s="220"/>
      <c r="O111" s="256"/>
      <c r="P111" s="208"/>
      <c r="Q111" s="208"/>
      <c r="R111" s="208"/>
      <c r="S111" s="208"/>
      <c r="T111" s="220"/>
      <c r="U111" s="256"/>
      <c r="V111" s="208"/>
      <c r="W111" s="208"/>
      <c r="X111" s="208"/>
      <c r="Y111" s="208"/>
      <c r="Z111" s="220"/>
      <c r="AA111" s="256"/>
      <c r="AB111" s="208"/>
      <c r="AC111" s="208"/>
      <c r="AD111" s="208"/>
      <c r="AE111" s="208"/>
      <c r="AF111" s="220"/>
      <c r="AG111" s="285"/>
      <c r="AH111" s="208"/>
      <c r="AI111" s="208"/>
      <c r="AJ111" s="208"/>
      <c r="AK111" s="208"/>
      <c r="AL111" s="220"/>
      <c r="AM111" s="256"/>
      <c r="AN111" s="208"/>
      <c r="AO111" s="208"/>
      <c r="AP111" s="208"/>
      <c r="AQ111" s="208"/>
      <c r="AR111" s="220"/>
      <c r="AS111" s="256"/>
      <c r="AT111" s="220"/>
      <c r="AU111" s="256"/>
      <c r="AV111" s="220"/>
      <c r="AW111" s="261"/>
      <c r="AX111" s="220"/>
    </row>
    <row r="112" spans="1:50" s="113" customFormat="1" ht="15" customHeight="1" x14ac:dyDescent="0.25">
      <c r="B112" s="138" t="s">
        <v>780</v>
      </c>
      <c r="C112" s="115"/>
      <c r="D112" s="217" t="str">
        <f>IF(ROUND(BS!D47,0)=ROUND(SUM(BS!D44:D46),0),"OK","ERROR")</f>
        <v>OK</v>
      </c>
      <c r="E112" s="217" t="str">
        <f>IF(ROUND(BS!E47,0)=ROUND(SUM(BS!E44:E46),0),"OK","ERROR")</f>
        <v>OK</v>
      </c>
      <c r="F112" s="217" t="str">
        <f>IF(ROUND(BS!F47,0)=ROUND(SUM(BS!F44:F46),0),"OK","ERROR")</f>
        <v>OK</v>
      </c>
      <c r="G112" s="217" t="str">
        <f>IF(ROUND(BS!G47,0)=ROUND(SUM(BS!G44:G46),0),"OK","ERROR")</f>
        <v>OK</v>
      </c>
      <c r="H112" s="220" t="str">
        <f>IF(ROUND(BS!H47,0)=ROUND(SUM(BS!H44:H46),0),"OK","ERROR")</f>
        <v>OK</v>
      </c>
      <c r="I112" s="256"/>
      <c r="J112" s="217" t="str">
        <f>IF(ROUND(BS!J47,0)=ROUND(SUM(BS!J44:J46),0),"OK","ERROR")</f>
        <v>OK</v>
      </c>
      <c r="K112" s="217" t="str">
        <f>IF(ROUND(BS!K47,0)=ROUND(SUM(BS!K44:K46),0),"OK","ERROR")</f>
        <v>OK</v>
      </c>
      <c r="L112" s="217" t="str">
        <f>IF(ROUND(BS!L47,0)=ROUND(SUM(BS!L44:L46),0),"OK","ERROR")</f>
        <v>OK</v>
      </c>
      <c r="M112" s="217" t="str">
        <f>IF(ROUND(BS!M47,0)=ROUND(SUM(BS!M44:M46),0),"OK","ERROR")</f>
        <v>OK</v>
      </c>
      <c r="N112" s="220" t="str">
        <f>IF(ROUND(BS!N47,0)=ROUND(SUM(BS!N44:N46),0),"OK","ERROR")</f>
        <v>OK</v>
      </c>
      <c r="O112" s="256"/>
      <c r="P112" s="217" t="str">
        <f>IF(ROUND(BS!P47,0)=ROUND(SUM(BS!P44:P46),0),"OK","ERROR")</f>
        <v>OK</v>
      </c>
      <c r="Q112" s="217" t="str">
        <f>IF(ROUND(BS!Q47,0)=ROUND(SUM(BS!Q44:Q46),0),"OK","ERROR")</f>
        <v>OK</v>
      </c>
      <c r="R112" s="217" t="str">
        <f>IF(ROUND(BS!R47,0)=ROUND(SUM(BS!R44:R46),0),"OK","ERROR")</f>
        <v>OK</v>
      </c>
      <c r="S112" s="217" t="str">
        <f>IF(ROUND(BS!S47,0)=ROUND(SUM(BS!S44:S46),0),"OK","ERROR")</f>
        <v>OK</v>
      </c>
      <c r="T112" s="220" t="str">
        <f>IF(ROUND(BS!T47,0)=ROUND(SUM(BS!T44:T46),0),"OK","ERROR")</f>
        <v>OK</v>
      </c>
      <c r="U112" s="256"/>
      <c r="V112" s="217" t="str">
        <f>IF(ROUND(BS!V47,0)=ROUND(SUM(BS!V44:V46),0),"OK","ERROR")</f>
        <v>OK</v>
      </c>
      <c r="W112" s="217" t="str">
        <f>IF(ROUND(BS!W47,0)=ROUND(SUM(BS!W44:W46),0),"OK","ERROR")</f>
        <v>OK</v>
      </c>
      <c r="X112" s="217" t="str">
        <f>IF(ROUND(BS!X47,0)=ROUND(SUM(BS!X44:X46),0),"OK","ERROR")</f>
        <v>OK</v>
      </c>
      <c r="Y112" s="217" t="str">
        <f>IF(ROUND(BS!Y47,0)=ROUND(SUM(BS!Y44:Y46),0),"OK","ERROR")</f>
        <v>OK</v>
      </c>
      <c r="Z112" s="220" t="str">
        <f>IF(ROUND(BS!Z47,0)=ROUND(SUM(BS!Z44:Z46),0),"OK","ERROR")</f>
        <v>OK</v>
      </c>
      <c r="AA112" s="256"/>
      <c r="AB112" s="217" t="str">
        <f>IF(ROUND(BS!AB47,0)=ROUND(SUM(BS!AB44:AB46),0),"OK","ERROR")</f>
        <v>OK</v>
      </c>
      <c r="AC112" s="217" t="str">
        <f>IF(ROUND(BS!AC47,0)=ROUND(SUM(BS!AC44:AC46),0),"OK","ERROR")</f>
        <v>OK</v>
      </c>
      <c r="AD112" s="217" t="str">
        <f>IF(ROUND(BS!AD47,0)=ROUND(SUM(BS!AD44:AD46),0),"OK","ERROR")</f>
        <v>OK</v>
      </c>
      <c r="AE112" s="217" t="str">
        <f>IF(ROUND(BS!AE47,0)=ROUND(SUM(BS!AE44:AE46),0),"OK","ERROR")</f>
        <v>OK</v>
      </c>
      <c r="AF112" s="220" t="str">
        <f>IF(ROUND(BS!AF47,0)=ROUND(SUM(BS!AF44:AF46),0),"OK","ERROR")</f>
        <v>OK</v>
      </c>
      <c r="AG112" s="285"/>
      <c r="AH112" s="217" t="str">
        <f>IF(ROUND(BS!AH47,0)=ROUND(SUM(BS!AH44:AH46),0),"OK","ERROR")</f>
        <v>OK</v>
      </c>
      <c r="AI112" s="217" t="str">
        <f>IF(ROUND(BS!AI47,0)=ROUND(SUM(BS!AI44:AI46),0),"OK","ERROR")</f>
        <v>OK</v>
      </c>
      <c r="AJ112" s="217" t="str">
        <f>IF(ROUND(BS!AJ47,0)=ROUND(SUM(BS!AJ44:AJ46),0),"OK","ERROR")</f>
        <v>OK</v>
      </c>
      <c r="AK112" s="217" t="str">
        <f>IF(ROUND(BS!AK47,0)=ROUND(SUM(BS!AK44:AK46),0),"OK","ERROR")</f>
        <v>OK</v>
      </c>
      <c r="AL112" s="220" t="str">
        <f>IF(ROUND(BS!AL47,0)=ROUND(SUM(BS!AL44:AL46),0),"OK","ERROR")</f>
        <v>OK</v>
      </c>
      <c r="AM112" s="256"/>
      <c r="AN112" s="217" t="str">
        <f>IF(ROUND(BS!AN47,0)=ROUND(SUM(BS!AN44:AN46),0),"OK","ERROR")</f>
        <v>OK</v>
      </c>
      <c r="AO112" s="217" t="str">
        <f>IF(ROUND(BS!AO47,0)=ROUND(SUM(BS!AO44:AO46),0),"OK","ERROR")</f>
        <v>OK</v>
      </c>
      <c r="AP112" s="217" t="str">
        <f>IF(ROUND(BS!AP47,0)=ROUND(SUM(BS!AP44:AP46),0),"OK","ERROR")</f>
        <v>OK</v>
      </c>
      <c r="AQ112" s="217" t="str">
        <f>IF(ROUND(BS!AQ47,0)=ROUND(SUM(BS!AQ44:AQ46),0),"OK","ERROR")</f>
        <v>OK</v>
      </c>
      <c r="AR112" s="220" t="str">
        <f>IF(ROUND(BS!AR47,0)=ROUND(SUM(BS!AR44:AR46),0),"OK","ERROR")</f>
        <v>OK</v>
      </c>
      <c r="AS112" s="256"/>
      <c r="AT112" s="220" t="str">
        <f>IF(ROUND(BS!AT47,0)=ROUND(SUM(BS!AT44:AT46),0),"OK","ERROR")</f>
        <v>OK</v>
      </c>
      <c r="AU112" s="256"/>
      <c r="AV112" s="220" t="str">
        <f>IF(ROUND(BS!AV47,0)=ROUND(SUM(BS!AV44:AV46),0),"OK","ERROR")</f>
        <v>OK</v>
      </c>
      <c r="AW112" s="261"/>
      <c r="AX112" s="220" t="str">
        <f>IF(ROUND(BS!AX47,0)=ROUND(SUM(BS!AX44:AX46),0),"OK","ERROR")</f>
        <v>OK</v>
      </c>
    </row>
    <row r="113" spans="1:50" s="41" customFormat="1" ht="15" customHeight="1" x14ac:dyDescent="0.3">
      <c r="A113" s="43"/>
      <c r="B113" s="140" t="s">
        <v>781</v>
      </c>
      <c r="C113" s="17"/>
      <c r="D113" s="217" t="str">
        <f>IF(ROUND(BS!D48,0)=ROUND(SUM(BS!D41,BS!D47),0),"OK","ERROR")</f>
        <v>OK</v>
      </c>
      <c r="E113" s="217" t="str">
        <f>IF(ROUND(BS!E48,0)=ROUND(SUM(BS!E41,BS!E47),0),"OK","ERROR")</f>
        <v>OK</v>
      </c>
      <c r="F113" s="217" t="str">
        <f>IF(ROUND(BS!F48,0)=ROUND(SUM(BS!F41,BS!F47),0),"OK","ERROR")</f>
        <v>OK</v>
      </c>
      <c r="G113" s="217" t="str">
        <f>IF(ROUND(BS!G48,0)=ROUND(SUM(BS!G41,BS!G47),0),"OK","ERROR")</f>
        <v>OK</v>
      </c>
      <c r="H113" s="227" t="str">
        <f>IF(ROUND(BS!H48,0)=ROUND(SUM(BS!H41,BS!H47),0),"OK","ERROR")</f>
        <v>OK</v>
      </c>
      <c r="I113" s="248"/>
      <c r="J113" s="217" t="str">
        <f>IF(ROUND(BS!J48,0)=ROUND(SUM(BS!J41,BS!J47),0),"OK","ERROR")</f>
        <v>OK</v>
      </c>
      <c r="K113" s="217" t="str">
        <f>IF(ROUND(BS!K48,0)=ROUND(SUM(BS!K41,BS!K47),0),"OK","ERROR")</f>
        <v>OK</v>
      </c>
      <c r="L113" s="217" t="str">
        <f>IF(ROUND(BS!L48,0)=ROUND(SUM(BS!L41,BS!L47),0),"OK","ERROR")</f>
        <v>OK</v>
      </c>
      <c r="M113" s="217" t="str">
        <f>IF(ROUND(BS!M48,0)=ROUND(SUM(BS!M41,BS!M47),0),"OK","ERROR")</f>
        <v>OK</v>
      </c>
      <c r="N113" s="227" t="str">
        <f>IF(ROUND(BS!N48,0)=ROUND(SUM(BS!N41,BS!N47),0),"OK","ERROR")</f>
        <v>OK</v>
      </c>
      <c r="O113" s="248"/>
      <c r="P113" s="217" t="str">
        <f>IF(ROUND(BS!P48,0)=ROUND(SUM(BS!P41,BS!P47),0),"OK","ERROR")</f>
        <v>OK</v>
      </c>
      <c r="Q113" s="217" t="str">
        <f>IF(ROUND(BS!Q48,0)=ROUND(SUM(BS!Q41,BS!Q47),0),"OK","ERROR")</f>
        <v>OK</v>
      </c>
      <c r="R113" s="217" t="str">
        <f>IF(ROUND(BS!R48,0)=ROUND(SUM(BS!R41,BS!R47),0),"OK","ERROR")</f>
        <v>OK</v>
      </c>
      <c r="S113" s="217" t="str">
        <f>IF(ROUND(BS!S48,0)=ROUND(SUM(BS!S41,BS!S47),0),"OK","ERROR")</f>
        <v>OK</v>
      </c>
      <c r="T113" s="227" t="str">
        <f>IF(ROUND(BS!T48,0)=ROUND(SUM(BS!T41,BS!T47),0),"OK","ERROR")</f>
        <v>OK</v>
      </c>
      <c r="U113" s="248"/>
      <c r="V113" s="217" t="str">
        <f>IF(ROUND(BS!V48,0)=ROUND(SUM(BS!V41,BS!V47),0),"OK","ERROR")</f>
        <v>OK</v>
      </c>
      <c r="W113" s="217" t="str">
        <f>IF(ROUND(BS!W48,0)=ROUND(SUM(BS!W41,BS!W47),0),"OK","ERROR")</f>
        <v>OK</v>
      </c>
      <c r="X113" s="217" t="str">
        <f>IF(ROUND(BS!X48,0)=ROUND(SUM(BS!X41,BS!X47),0),"OK","ERROR")</f>
        <v>OK</v>
      </c>
      <c r="Y113" s="217" t="str">
        <f>IF(ROUND(BS!Y48,0)=ROUND(SUM(BS!Y41,BS!Y47),0),"OK","ERROR")</f>
        <v>OK</v>
      </c>
      <c r="Z113" s="227" t="str">
        <f>IF(ROUND(BS!Z48,0)=ROUND(SUM(BS!Z41,BS!Z47),0),"OK","ERROR")</f>
        <v>OK</v>
      </c>
      <c r="AA113" s="248"/>
      <c r="AB113" s="217" t="str">
        <f>IF(ROUND(BS!AB48,0)=ROUND(SUM(BS!AB41,BS!AB47),0),"OK","ERROR")</f>
        <v>OK</v>
      </c>
      <c r="AC113" s="217" t="str">
        <f>IF(ROUND(BS!AC48,0)=ROUND(SUM(BS!AC41,BS!AC47),0),"OK","ERROR")</f>
        <v>OK</v>
      </c>
      <c r="AD113" s="217" t="str">
        <f>IF(ROUND(BS!AD48,0)=ROUND(SUM(BS!AD41,BS!AD47),0),"OK","ERROR")</f>
        <v>OK</v>
      </c>
      <c r="AE113" s="217" t="str">
        <f>IF(ROUND(BS!AE48,0)=ROUND(SUM(BS!AE41,BS!AE47),0),"OK","ERROR")</f>
        <v>OK</v>
      </c>
      <c r="AF113" s="227" t="str">
        <f>IF(ROUND(BS!AF48,0)=ROUND(SUM(BS!AF41,BS!AF47),0),"OK","ERROR")</f>
        <v>OK</v>
      </c>
      <c r="AG113" s="284"/>
      <c r="AH113" s="217" t="str">
        <f>IF(ROUND(BS!AH48,0)=ROUND(SUM(BS!AH41,BS!AH47),0),"OK","ERROR")</f>
        <v>OK</v>
      </c>
      <c r="AI113" s="217" t="str">
        <f>IF(ROUND(BS!AI48,0)=ROUND(SUM(BS!AI41,BS!AI47),0),"OK","ERROR")</f>
        <v>OK</v>
      </c>
      <c r="AJ113" s="217" t="str">
        <f>IF(ROUND(BS!AJ48,0)=ROUND(SUM(BS!AJ41,BS!AJ47),0),"OK","ERROR")</f>
        <v>OK</v>
      </c>
      <c r="AK113" s="217" t="str">
        <f>IF(ROUND(BS!AK48,0)=ROUND(SUM(BS!AK41,BS!AK47),0),"OK","ERROR")</f>
        <v>OK</v>
      </c>
      <c r="AL113" s="227" t="str">
        <f>IF(ROUND(BS!AL48,0)=ROUND(SUM(BS!AL41,BS!AL47),0),"OK","ERROR")</f>
        <v>OK</v>
      </c>
      <c r="AM113" s="248"/>
      <c r="AN113" s="217" t="str">
        <f>IF(ROUND(BS!AN48,0)=ROUND(SUM(BS!AN41,BS!AN47),0),"OK","ERROR")</f>
        <v>OK</v>
      </c>
      <c r="AO113" s="217" t="str">
        <f>IF(ROUND(BS!AO48,0)=ROUND(SUM(BS!AO41,BS!AO47),0),"OK","ERROR")</f>
        <v>OK</v>
      </c>
      <c r="AP113" s="217" t="str">
        <f>IF(ROUND(BS!AP48,0)=ROUND(SUM(BS!AP41,BS!AP47),0),"OK","ERROR")</f>
        <v>OK</v>
      </c>
      <c r="AQ113" s="217" t="str">
        <f>IF(ROUND(BS!AQ48,0)=ROUND(SUM(BS!AQ41,BS!AQ47),0),"OK","ERROR")</f>
        <v>OK</v>
      </c>
      <c r="AR113" s="227" t="str">
        <f>IF(ROUND(BS!AR48,0)=ROUND(SUM(BS!AR41,BS!AR47),0),"OK","ERROR")</f>
        <v>OK</v>
      </c>
      <c r="AS113" s="248"/>
      <c r="AT113" s="227" t="str">
        <f>IF(ROUND(BS!AT48,0)=ROUND(SUM(BS!AT41,BS!AT47),0),"OK","ERROR")</f>
        <v>OK</v>
      </c>
      <c r="AU113" s="248"/>
      <c r="AV113" s="227" t="str">
        <f>IF(ROUND(BS!AV48,0)=ROUND(SUM(BS!AV41,BS!AV47),0),"OK","ERROR")</f>
        <v>OK</v>
      </c>
      <c r="AW113" s="255"/>
      <c r="AX113" s="227" t="str">
        <f>IF(ROUND(BS!AX48,0)=ROUND(SUM(BS!AX41,BS!AX47),0),"OK","ERROR")</f>
        <v>OK</v>
      </c>
    </row>
    <row r="114" spans="1:50" s="113" customFormat="1" ht="15" customHeight="1" x14ac:dyDescent="0.3">
      <c r="B114" s="143"/>
      <c r="C114" s="115"/>
      <c r="D114" s="208"/>
      <c r="E114" s="208"/>
      <c r="F114" s="208"/>
      <c r="G114" s="208"/>
      <c r="H114" s="220"/>
      <c r="I114" s="256"/>
      <c r="J114" s="208"/>
      <c r="K114" s="208"/>
      <c r="L114" s="208"/>
      <c r="M114" s="208"/>
      <c r="N114" s="220"/>
      <c r="O114" s="256"/>
      <c r="P114" s="208"/>
      <c r="Q114" s="208"/>
      <c r="R114" s="208"/>
      <c r="S114" s="208"/>
      <c r="T114" s="220"/>
      <c r="U114" s="256"/>
      <c r="V114" s="208"/>
      <c r="W114" s="208"/>
      <c r="X114" s="208"/>
      <c r="Y114" s="208"/>
      <c r="Z114" s="220"/>
      <c r="AA114" s="256"/>
      <c r="AB114" s="208"/>
      <c r="AC114" s="208"/>
      <c r="AD114" s="208"/>
      <c r="AE114" s="208"/>
      <c r="AF114" s="220"/>
      <c r="AG114" s="285"/>
      <c r="AH114" s="208"/>
      <c r="AI114" s="208"/>
      <c r="AJ114" s="208"/>
      <c r="AK114" s="208"/>
      <c r="AL114" s="220"/>
      <c r="AM114" s="256"/>
      <c r="AN114" s="208"/>
      <c r="AO114" s="208"/>
      <c r="AP114" s="208"/>
      <c r="AQ114" s="208"/>
      <c r="AR114" s="220"/>
      <c r="AS114" s="256"/>
      <c r="AT114" s="220"/>
      <c r="AU114" s="256"/>
      <c r="AV114" s="220"/>
      <c r="AW114" s="261"/>
      <c r="AX114" s="220"/>
    </row>
    <row r="115" spans="1:50" s="41" customFormat="1" ht="15" customHeight="1" x14ac:dyDescent="0.3">
      <c r="A115" s="44" t="s">
        <v>70</v>
      </c>
      <c r="B115" s="114" t="s">
        <v>782</v>
      </c>
      <c r="C115" s="17"/>
      <c r="D115" s="208"/>
      <c r="E115" s="208"/>
      <c r="F115" s="208"/>
      <c r="G115" s="208"/>
      <c r="H115" s="220"/>
      <c r="I115" s="248"/>
      <c r="J115" s="208"/>
      <c r="K115" s="208"/>
      <c r="L115" s="208"/>
      <c r="M115" s="208"/>
      <c r="N115" s="220"/>
      <c r="O115" s="248"/>
      <c r="P115" s="208"/>
      <c r="Q115" s="208"/>
      <c r="R115" s="208"/>
      <c r="S115" s="208"/>
      <c r="T115" s="220"/>
      <c r="U115" s="248"/>
      <c r="V115" s="208"/>
      <c r="W115" s="208"/>
      <c r="X115" s="208"/>
      <c r="Y115" s="208"/>
      <c r="Z115" s="220"/>
      <c r="AA115" s="248"/>
      <c r="AB115" s="208"/>
      <c r="AC115" s="208"/>
      <c r="AD115" s="208"/>
      <c r="AE115" s="208"/>
      <c r="AF115" s="220"/>
      <c r="AG115" s="284"/>
      <c r="AH115" s="208"/>
      <c r="AI115" s="208"/>
      <c r="AJ115" s="208"/>
      <c r="AK115" s="208"/>
      <c r="AL115" s="220"/>
      <c r="AM115" s="248"/>
      <c r="AN115" s="208"/>
      <c r="AO115" s="208"/>
      <c r="AP115" s="208"/>
      <c r="AQ115" s="208"/>
      <c r="AR115" s="220"/>
      <c r="AS115" s="248"/>
      <c r="AT115" s="220"/>
      <c r="AU115" s="248"/>
      <c r="AV115" s="220"/>
      <c r="AW115" s="255"/>
      <c r="AX115" s="220"/>
    </row>
    <row r="116" spans="1:50" s="113" customFormat="1" ht="15" customHeight="1" x14ac:dyDescent="0.25">
      <c r="B116" s="138" t="s">
        <v>786</v>
      </c>
      <c r="C116" s="115"/>
      <c r="D116" s="217" t="str">
        <f>IF(ROUND(BS!D54,0)=ROUND(SUM(BS!D51:D53),0),"OK","ERROR")</f>
        <v>OK</v>
      </c>
      <c r="E116" s="217" t="str">
        <f>IF(ROUND(BS!E54,0)=ROUND(SUM(BS!E51:E53),0),"OK","ERROR")</f>
        <v>OK</v>
      </c>
      <c r="F116" s="217" t="str">
        <f>IF(ROUND(BS!F54,0)=ROUND(SUM(BS!F51:F53),0),"OK","ERROR")</f>
        <v>OK</v>
      </c>
      <c r="G116" s="217" t="str">
        <f>IF(ROUND(BS!G54,0)=ROUND(SUM(BS!G51:G53),0),"OK","ERROR")</f>
        <v>OK</v>
      </c>
      <c r="H116" s="227" t="str">
        <f>IF(ROUND(BS!H54,0)=ROUND(SUM(BS!H51:H53),0),"OK","ERROR")</f>
        <v>OK</v>
      </c>
      <c r="I116" s="256"/>
      <c r="J116" s="217" t="str">
        <f>IF(ROUND(BS!J54,0)=ROUND(SUM(BS!J51:J53),0),"OK","ERROR")</f>
        <v>OK</v>
      </c>
      <c r="K116" s="217" t="str">
        <f>IF(ROUND(BS!K54,0)=ROUND(SUM(BS!K51:K53),0),"OK","ERROR")</f>
        <v>OK</v>
      </c>
      <c r="L116" s="217" t="str">
        <f>IF(ROUND(BS!L54,0)=ROUND(SUM(BS!L51:L53),0),"OK","ERROR")</f>
        <v>OK</v>
      </c>
      <c r="M116" s="217" t="str">
        <f>IF(ROUND(BS!M54,0)=ROUND(SUM(BS!M51:M53),0),"OK","ERROR")</f>
        <v>OK</v>
      </c>
      <c r="N116" s="227" t="str">
        <f>IF(ROUND(BS!N54,0)=ROUND(SUM(BS!N51:N53),0),"OK","ERROR")</f>
        <v>OK</v>
      </c>
      <c r="O116" s="256"/>
      <c r="P116" s="217" t="str">
        <f>IF(ROUND(BS!P54,0)=ROUND(SUM(BS!P51:P53),0),"OK","ERROR")</f>
        <v>OK</v>
      </c>
      <c r="Q116" s="217" t="str">
        <f>IF(ROUND(BS!Q54,0)=ROUND(SUM(BS!Q51:Q53),0),"OK","ERROR")</f>
        <v>OK</v>
      </c>
      <c r="R116" s="217" t="str">
        <f>IF(ROUND(BS!R54,0)=ROUND(SUM(BS!R51:R53),0),"OK","ERROR")</f>
        <v>OK</v>
      </c>
      <c r="S116" s="217" t="str">
        <f>IF(ROUND(BS!S54,0)=ROUND(SUM(BS!S51:S53),0),"OK","ERROR")</f>
        <v>OK</v>
      </c>
      <c r="T116" s="227" t="str">
        <f>IF(ROUND(BS!T54,0)=ROUND(SUM(BS!T51:T53),0),"OK","ERROR")</f>
        <v>OK</v>
      </c>
      <c r="U116" s="256"/>
      <c r="V116" s="217" t="str">
        <f>IF(ROUND(BS!V54,0)=ROUND(SUM(BS!V51:V53),0),"OK","ERROR")</f>
        <v>OK</v>
      </c>
      <c r="W116" s="217" t="str">
        <f>IF(ROUND(BS!W54,0)=ROUND(SUM(BS!W51:W53),0),"OK","ERROR")</f>
        <v>OK</v>
      </c>
      <c r="X116" s="217" t="str">
        <f>IF(ROUND(BS!X54,0)=ROUND(SUM(BS!X51:X53),0),"OK","ERROR")</f>
        <v>OK</v>
      </c>
      <c r="Y116" s="217" t="str">
        <f>IF(ROUND(BS!Y54,0)=ROUND(SUM(BS!Y51:Y53),0),"OK","ERROR")</f>
        <v>OK</v>
      </c>
      <c r="Z116" s="227" t="str">
        <f>IF(ROUND(BS!Z54,0)=ROUND(SUM(BS!Z51:Z53),0),"OK","ERROR")</f>
        <v>OK</v>
      </c>
      <c r="AA116" s="256"/>
      <c r="AB116" s="217" t="str">
        <f>IF(ROUND(BS!AB54,0)=ROUND(SUM(BS!AB51:AB53),0),"OK","ERROR")</f>
        <v>OK</v>
      </c>
      <c r="AC116" s="217" t="str">
        <f>IF(ROUND(BS!AC54,0)=ROUND(SUM(BS!AC51:AC53),0),"OK","ERROR")</f>
        <v>OK</v>
      </c>
      <c r="AD116" s="217" t="str">
        <f>IF(ROUND(BS!AD54,0)=ROUND(SUM(BS!AD51:AD53),0),"OK","ERROR")</f>
        <v>OK</v>
      </c>
      <c r="AE116" s="217" t="str">
        <f>IF(ROUND(BS!AE54,0)=ROUND(SUM(BS!AE51:AE53),0),"OK","ERROR")</f>
        <v>OK</v>
      </c>
      <c r="AF116" s="227" t="str">
        <f>IF(ROUND(BS!AF54,0)=ROUND(SUM(BS!AF51:AF53),0),"OK","ERROR")</f>
        <v>OK</v>
      </c>
      <c r="AG116" s="285"/>
      <c r="AH116" s="217" t="str">
        <f>IF(ROUND(BS!AH54,0)=ROUND(SUM(BS!AH51:AH53),0),"OK","ERROR")</f>
        <v>OK</v>
      </c>
      <c r="AI116" s="217" t="str">
        <f>IF(ROUND(BS!AI54,0)=ROUND(SUM(BS!AI51:AI53),0),"OK","ERROR")</f>
        <v>OK</v>
      </c>
      <c r="AJ116" s="217" t="str">
        <f>IF(ROUND(BS!AJ54,0)=ROUND(SUM(BS!AJ51:AJ53),0),"OK","ERROR")</f>
        <v>OK</v>
      </c>
      <c r="AK116" s="217" t="str">
        <f>IF(ROUND(BS!AK54,0)=ROUND(SUM(BS!AK51:AK53),0),"OK","ERROR")</f>
        <v>OK</v>
      </c>
      <c r="AL116" s="227" t="str">
        <f>IF(ROUND(BS!AL54,0)=ROUND(SUM(BS!AL51:AL53),0),"OK","ERROR")</f>
        <v>OK</v>
      </c>
      <c r="AM116" s="256"/>
      <c r="AN116" s="217" t="str">
        <f>IF(ROUND(BS!AN54,0)=ROUND(SUM(BS!AN51:AN53),0),"OK","ERROR")</f>
        <v>OK</v>
      </c>
      <c r="AO116" s="217" t="str">
        <f>IF(ROUND(BS!AO54,0)=ROUND(SUM(BS!AO51:AO53),0),"OK","ERROR")</f>
        <v>OK</v>
      </c>
      <c r="AP116" s="217" t="str">
        <f>IF(ROUND(BS!AP54,0)=ROUND(SUM(BS!AP51:AP53),0),"OK","ERROR")</f>
        <v>OK</v>
      </c>
      <c r="AQ116" s="217" t="str">
        <f>IF(ROUND(BS!AQ54,0)=ROUND(SUM(BS!AQ51:AQ53),0),"OK","ERROR")</f>
        <v>OK</v>
      </c>
      <c r="AR116" s="227" t="str">
        <f>IF(ROUND(BS!AR54,0)=ROUND(SUM(BS!AR51:AR53),0),"OK","ERROR")</f>
        <v>OK</v>
      </c>
      <c r="AS116" s="256"/>
      <c r="AT116" s="227" t="str">
        <f>IF(ROUND(BS!AT54,0)=ROUND(SUM(BS!AT51:AT53),0),"OK","ERROR")</f>
        <v>OK</v>
      </c>
      <c r="AU116" s="256"/>
      <c r="AV116" s="227" t="str">
        <f>IF(ROUND(BS!AV54,0)=ROUND(SUM(BS!AV51:AV53),0),"OK","ERROR")</f>
        <v>OK</v>
      </c>
      <c r="AW116" s="261"/>
      <c r="AX116" s="227" t="str">
        <f>IF(ROUND(BS!AX54,0)=ROUND(SUM(BS!AX51:AX53),0),"OK","ERROR")</f>
        <v>OK</v>
      </c>
    </row>
    <row r="117" spans="1:50" s="41" customFormat="1" ht="15" customHeight="1" thickBot="1" x14ac:dyDescent="0.35">
      <c r="A117" s="43"/>
      <c r="B117" s="140" t="s">
        <v>787</v>
      </c>
      <c r="C117" s="17"/>
      <c r="D117" s="217" t="str">
        <f>IF(ROUND(BS!D55,0)=ROUND(SUM(BS!D54,BS!D48),0),"OK","ERROR")</f>
        <v>OK</v>
      </c>
      <c r="E117" s="217" t="str">
        <f>IF(ROUND(BS!E55,0)=ROUND(SUM(BS!E54,BS!E48),0),"OK","ERROR")</f>
        <v>OK</v>
      </c>
      <c r="F117" s="217" t="str">
        <f>IF(ROUND(BS!F55,0)=ROUND(SUM(BS!F54,BS!F48),0),"OK","ERROR")</f>
        <v>OK</v>
      </c>
      <c r="G117" s="217" t="str">
        <f>IF(ROUND(BS!G55,0)=ROUND(SUM(BS!G54,BS!G48),0),"OK","ERROR")</f>
        <v>OK</v>
      </c>
      <c r="H117" s="237" t="str">
        <f>IF(ROUND(BS!H55,0)=ROUND(SUM(BS!H54,BS!H48),0),"OK","ERROR")</f>
        <v>OK</v>
      </c>
      <c r="I117" s="248"/>
      <c r="J117" s="217" t="str">
        <f>IF(ROUND(BS!J55,0)=ROUND(SUM(BS!J54,BS!J48),0),"OK","ERROR")</f>
        <v>OK</v>
      </c>
      <c r="K117" s="217" t="str">
        <f>IF(ROUND(BS!K55,0)=ROUND(SUM(BS!K54,BS!K48),0),"OK","ERROR")</f>
        <v>OK</v>
      </c>
      <c r="L117" s="217" t="str">
        <f>IF(ROUND(BS!L55,0)=ROUND(SUM(BS!L54,BS!L48),0),"OK","ERROR")</f>
        <v>OK</v>
      </c>
      <c r="M117" s="217" t="str">
        <f>IF(ROUND(BS!M55,0)=ROUND(SUM(BS!M54,BS!M48),0),"OK","ERROR")</f>
        <v>OK</v>
      </c>
      <c r="N117" s="237" t="str">
        <f>IF(ROUND(BS!N55,0)=ROUND(SUM(BS!N54,BS!N48),0),"OK","ERROR")</f>
        <v>OK</v>
      </c>
      <c r="O117" s="248"/>
      <c r="P117" s="217" t="str">
        <f>IF(ROUND(BS!P55,0)=ROUND(SUM(BS!P54,BS!P48),0),"OK","ERROR")</f>
        <v>OK</v>
      </c>
      <c r="Q117" s="217" t="str">
        <f>IF(ROUND(BS!Q55,0)=ROUND(SUM(BS!Q54,BS!Q48),0),"OK","ERROR")</f>
        <v>OK</v>
      </c>
      <c r="R117" s="217" t="str">
        <f>IF(ROUND(BS!R55,0)=ROUND(SUM(BS!R54,BS!R48),0),"OK","ERROR")</f>
        <v>OK</v>
      </c>
      <c r="S117" s="217" t="str">
        <f>IF(ROUND(BS!S55,0)=ROUND(SUM(BS!S54,BS!S48),0),"OK","ERROR")</f>
        <v>OK</v>
      </c>
      <c r="T117" s="237" t="str">
        <f>IF(ROUND(BS!T55,0)=ROUND(SUM(BS!T54,BS!T48),0),"OK","ERROR")</f>
        <v>OK</v>
      </c>
      <c r="U117" s="248"/>
      <c r="V117" s="217" t="str">
        <f>IF(ROUND(BS!V55,0)=ROUND(SUM(BS!V54,BS!V48),0),"OK","ERROR")</f>
        <v>OK</v>
      </c>
      <c r="W117" s="217" t="str">
        <f>IF(ROUND(BS!W55,0)=ROUND(SUM(BS!W54,BS!W48),0),"OK","ERROR")</f>
        <v>OK</v>
      </c>
      <c r="X117" s="217" t="str">
        <f>IF(ROUND(BS!X55,0)=ROUND(SUM(BS!X54,BS!X48),0),"OK","ERROR")</f>
        <v>OK</v>
      </c>
      <c r="Y117" s="217" t="str">
        <f>IF(ROUND(BS!Y55,0)=ROUND(SUM(BS!Y54,BS!Y48),0),"OK","ERROR")</f>
        <v>OK</v>
      </c>
      <c r="Z117" s="237" t="str">
        <f>IF(ROUND(BS!Z55,0)=ROUND(SUM(BS!Z54,BS!Z48),0),"OK","ERROR")</f>
        <v>OK</v>
      </c>
      <c r="AA117" s="248"/>
      <c r="AB117" s="217" t="str">
        <f>IF(ROUND(BS!AB55,0)=ROUND(SUM(BS!AB54,BS!AB48),0),"OK","ERROR")</f>
        <v>OK</v>
      </c>
      <c r="AC117" s="217" t="str">
        <f>IF(ROUND(BS!AC55,0)=ROUND(SUM(BS!AC54,BS!AC48),0),"OK","ERROR")</f>
        <v>OK</v>
      </c>
      <c r="AD117" s="217" t="str">
        <f>IF(ROUND(BS!AD55,0)=ROUND(SUM(BS!AD54,BS!AD48),0),"OK","ERROR")</f>
        <v>OK</v>
      </c>
      <c r="AE117" s="217" t="str">
        <f>IF(ROUND(BS!AE55,0)=ROUND(SUM(BS!AE54,BS!AE48),0),"OK","ERROR")</f>
        <v>OK</v>
      </c>
      <c r="AF117" s="237" t="str">
        <f>IF(ROUND(BS!AF55,0)=ROUND(SUM(BS!AF54,BS!AF48),0),"OK","ERROR")</f>
        <v>OK</v>
      </c>
      <c r="AG117" s="284"/>
      <c r="AH117" s="217" t="str">
        <f>IF(ROUND(BS!AH55,0)=ROUND(SUM(BS!AH54,BS!AH48),0),"OK","ERROR")</f>
        <v>OK</v>
      </c>
      <c r="AI117" s="217" t="str">
        <f>IF(ROUND(BS!AI55,0)=ROUND(SUM(BS!AI54,BS!AI48),0),"OK","ERROR")</f>
        <v>OK</v>
      </c>
      <c r="AJ117" s="217" t="str">
        <f>IF(ROUND(BS!AJ55,0)=ROUND(SUM(BS!AJ54,BS!AJ48),0),"OK","ERROR")</f>
        <v>OK</v>
      </c>
      <c r="AK117" s="217" t="str">
        <f>IF(ROUND(BS!AK55,0)=ROUND(SUM(BS!AK54,BS!AK48),0),"OK","ERROR")</f>
        <v>OK</v>
      </c>
      <c r="AL117" s="237" t="str">
        <f>IF(ROUND(BS!AL55,0)=ROUND(SUM(BS!AL54,BS!AL48),0),"OK","ERROR")</f>
        <v>OK</v>
      </c>
      <c r="AM117" s="248"/>
      <c r="AN117" s="217" t="str">
        <f>IF(ROUND(BS!AN55,0)=ROUND(SUM(BS!AN54,BS!AN48),0),"OK","ERROR")</f>
        <v>OK</v>
      </c>
      <c r="AO117" s="217" t="str">
        <f>IF(ROUND(BS!AO55,0)=ROUND(SUM(BS!AO54,BS!AO48),0),"OK","ERROR")</f>
        <v>OK</v>
      </c>
      <c r="AP117" s="217" t="str">
        <f>IF(ROUND(BS!AP55,0)=ROUND(SUM(BS!AP54,BS!AP48),0),"OK","ERROR")</f>
        <v>OK</v>
      </c>
      <c r="AQ117" s="217" t="str">
        <f>IF(ROUND(BS!AQ55,0)=ROUND(SUM(BS!AQ54,BS!AQ48),0),"OK","ERROR")</f>
        <v>OK</v>
      </c>
      <c r="AR117" s="237" t="str">
        <f>IF(ROUND(BS!AR55,0)=ROUND(SUM(BS!AR54,BS!AR48),0),"OK","ERROR")</f>
        <v>OK</v>
      </c>
      <c r="AS117" s="248"/>
      <c r="AT117" s="237" t="str">
        <f>IF(ROUND(BS!AT55,0)=ROUND(SUM(BS!AT54,BS!AT48),0),"OK","ERROR")</f>
        <v>OK</v>
      </c>
      <c r="AU117" s="248"/>
      <c r="AV117" s="237" t="str">
        <f>IF(ROUND(BS!AV55,0)=ROUND(SUM(BS!AV54,BS!AV48),0),"OK","ERROR")</f>
        <v>OK</v>
      </c>
      <c r="AW117" s="255"/>
      <c r="AX117" s="237" t="str">
        <f>IF(ROUND(BS!AX55,0)=ROUND(SUM(BS!AX54,BS!AX48),0),"OK","ERROR")</f>
        <v>OK</v>
      </c>
    </row>
    <row r="118" spans="1:50" ht="14.25" customHeight="1" thickTop="1" x14ac:dyDescent="0.25"/>
    <row r="119" spans="1:50" s="41" customFormat="1" ht="15" customHeight="1" x14ac:dyDescent="0.3">
      <c r="A119" s="44" t="s">
        <v>70</v>
      </c>
      <c r="B119" s="161" t="s">
        <v>824</v>
      </c>
      <c r="C119" s="18"/>
      <c r="D119" s="202">
        <f>F119</f>
        <v>2020</v>
      </c>
      <c r="E119" s="202">
        <f>F119</f>
        <v>2020</v>
      </c>
      <c r="F119" s="202">
        <v>2020</v>
      </c>
      <c r="G119" s="202">
        <f>F119</f>
        <v>2020</v>
      </c>
      <c r="H119" s="202">
        <f>F119</f>
        <v>2020</v>
      </c>
      <c r="I119" s="18"/>
      <c r="J119" s="202">
        <f>L119</f>
        <v>2021</v>
      </c>
      <c r="K119" s="202">
        <f>L119</f>
        <v>2021</v>
      </c>
      <c r="L119" s="202">
        <v>2021</v>
      </c>
      <c r="M119" s="202">
        <f>L119</f>
        <v>2021</v>
      </c>
      <c r="N119" s="202">
        <f>L119</f>
        <v>2021</v>
      </c>
      <c r="O119" s="169"/>
      <c r="P119" s="202">
        <f>R119</f>
        <v>2022</v>
      </c>
      <c r="Q119" s="202">
        <f>R119</f>
        <v>2022</v>
      </c>
      <c r="R119" s="202">
        <v>2022</v>
      </c>
      <c r="S119" s="202">
        <f>R119</f>
        <v>2022</v>
      </c>
      <c r="T119" s="202">
        <f>R119</f>
        <v>2022</v>
      </c>
      <c r="U119" s="169"/>
      <c r="V119" s="202">
        <f>X119</f>
        <v>2023</v>
      </c>
      <c r="W119" s="202">
        <f>X119</f>
        <v>2023</v>
      </c>
      <c r="X119" s="202">
        <v>2023</v>
      </c>
      <c r="Y119" s="202">
        <f>X119</f>
        <v>2023</v>
      </c>
      <c r="Z119" s="202">
        <f>X119</f>
        <v>2023</v>
      </c>
      <c r="AA119" s="170"/>
      <c r="AB119" s="202">
        <f>AD119</f>
        <v>2024</v>
      </c>
      <c r="AC119" s="202">
        <f>AD119</f>
        <v>2024</v>
      </c>
      <c r="AD119" s="202">
        <v>2024</v>
      </c>
      <c r="AE119" s="202">
        <f>AD119</f>
        <v>2024</v>
      </c>
      <c r="AF119" s="202">
        <f>AD119</f>
        <v>2024</v>
      </c>
      <c r="AG119" s="170"/>
      <c r="AH119" s="202">
        <f>AJ119</f>
        <v>2025</v>
      </c>
      <c r="AI119" s="202">
        <f>AJ119</f>
        <v>2025</v>
      </c>
      <c r="AJ119" s="203">
        <v>2025</v>
      </c>
      <c r="AK119" s="202">
        <f>AJ119</f>
        <v>2025</v>
      </c>
      <c r="AL119" s="202">
        <f>AJ119</f>
        <v>2025</v>
      </c>
      <c r="AM119" s="171"/>
      <c r="AN119" s="202">
        <f>AP119</f>
        <v>2025</v>
      </c>
      <c r="AO119" s="202">
        <f>AP119</f>
        <v>2025</v>
      </c>
      <c r="AP119" s="203">
        <v>2025</v>
      </c>
      <c r="AQ119" s="202">
        <f>AP119</f>
        <v>2025</v>
      </c>
      <c r="AR119" s="202">
        <f>AP119</f>
        <v>2025</v>
      </c>
      <c r="AS119" s="18"/>
      <c r="AT119" s="162"/>
      <c r="AU119" s="18"/>
      <c r="AV119" s="163"/>
      <c r="AW119" s="18"/>
      <c r="AX119" s="163"/>
    </row>
    <row r="120" spans="1:50" s="41" customFormat="1" ht="15" customHeight="1" x14ac:dyDescent="0.3">
      <c r="B120" s="164"/>
      <c r="C120" s="18"/>
      <c r="D120" s="813">
        <v>2020</v>
      </c>
      <c r="E120" s="813"/>
      <c r="F120" s="813"/>
      <c r="G120" s="813"/>
      <c r="H120" s="813"/>
      <c r="I120" s="169"/>
      <c r="J120" s="813">
        <f>D120+1</f>
        <v>2021</v>
      </c>
      <c r="K120" s="813"/>
      <c r="L120" s="813"/>
      <c r="M120" s="813"/>
      <c r="N120" s="813"/>
      <c r="O120" s="169"/>
      <c r="P120" s="813">
        <f>J120+1</f>
        <v>2022</v>
      </c>
      <c r="Q120" s="813"/>
      <c r="R120" s="813"/>
      <c r="S120" s="813"/>
      <c r="T120" s="813"/>
      <c r="U120" s="169"/>
      <c r="V120" s="813">
        <f>P120+1</f>
        <v>2023</v>
      </c>
      <c r="W120" s="813"/>
      <c r="X120" s="813"/>
      <c r="Y120" s="813"/>
      <c r="Z120" s="813"/>
      <c r="AA120" s="169"/>
      <c r="AB120" s="813">
        <f>V120+1</f>
        <v>2024</v>
      </c>
      <c r="AC120" s="813"/>
      <c r="AD120" s="813"/>
      <c r="AE120" s="813"/>
      <c r="AF120" s="813"/>
      <c r="AG120" s="169"/>
      <c r="AH120" s="812">
        <f>AB120+1</f>
        <v>2025</v>
      </c>
      <c r="AI120" s="812"/>
      <c r="AJ120" s="812"/>
      <c r="AK120" s="812"/>
      <c r="AL120" s="812"/>
      <c r="AM120" s="169"/>
      <c r="AN120" s="812">
        <f>AH120+1</f>
        <v>2026</v>
      </c>
      <c r="AO120" s="812"/>
      <c r="AP120" s="812"/>
      <c r="AQ120" s="812"/>
      <c r="AR120" s="812"/>
      <c r="AS120" s="171"/>
      <c r="AT120" s="166">
        <f>AN120+1</f>
        <v>2027</v>
      </c>
      <c r="AU120" s="167"/>
      <c r="AV120" s="166">
        <f>+AT120+1</f>
        <v>2028</v>
      </c>
      <c r="AW120" s="167"/>
      <c r="AX120" s="166">
        <f>+AV120+1</f>
        <v>2029</v>
      </c>
    </row>
    <row r="121" spans="1:50" s="41" customFormat="1" ht="15" customHeight="1" x14ac:dyDescent="0.3">
      <c r="B121" s="164"/>
      <c r="C121" s="18"/>
      <c r="D121" s="168" t="s">
        <v>36</v>
      </c>
      <c r="E121" s="168" t="s">
        <v>37</v>
      </c>
      <c r="F121" s="168" t="s">
        <v>38</v>
      </c>
      <c r="G121" s="168" t="s">
        <v>39</v>
      </c>
      <c r="H121" s="168" t="s">
        <v>40</v>
      </c>
      <c r="I121" s="18"/>
      <c r="J121" s="168" t="s">
        <v>36</v>
      </c>
      <c r="K121" s="168" t="s">
        <v>37</v>
      </c>
      <c r="L121" s="168" t="s">
        <v>38</v>
      </c>
      <c r="M121" s="168" t="s">
        <v>39</v>
      </c>
      <c r="N121" s="168" t="s">
        <v>40</v>
      </c>
      <c r="O121" s="165"/>
      <c r="P121" s="168" t="s">
        <v>36</v>
      </c>
      <c r="Q121" s="168" t="s">
        <v>37</v>
      </c>
      <c r="R121" s="168" t="s">
        <v>38</v>
      </c>
      <c r="S121" s="168" t="s">
        <v>39</v>
      </c>
      <c r="T121" s="168" t="s">
        <v>40</v>
      </c>
      <c r="U121" s="165"/>
      <c r="V121" s="168" t="s">
        <v>36</v>
      </c>
      <c r="W121" s="168" t="s">
        <v>37</v>
      </c>
      <c r="X121" s="168" t="s">
        <v>38</v>
      </c>
      <c r="Y121" s="168" t="s">
        <v>39</v>
      </c>
      <c r="Z121" s="168" t="s">
        <v>40</v>
      </c>
      <c r="AA121" s="165"/>
      <c r="AB121" s="168" t="s">
        <v>36</v>
      </c>
      <c r="AC121" s="168" t="s">
        <v>37</v>
      </c>
      <c r="AD121" s="168" t="s">
        <v>38</v>
      </c>
      <c r="AE121" s="168" t="s">
        <v>39</v>
      </c>
      <c r="AF121" s="168" t="s">
        <v>40</v>
      </c>
      <c r="AG121" s="165"/>
      <c r="AH121" s="168" t="s">
        <v>36</v>
      </c>
      <c r="AI121" s="168" t="s">
        <v>37</v>
      </c>
      <c r="AJ121" s="168" t="s">
        <v>38</v>
      </c>
      <c r="AK121" s="168" t="s">
        <v>39</v>
      </c>
      <c r="AL121" s="168" t="s">
        <v>40</v>
      </c>
      <c r="AM121" s="165"/>
      <c r="AN121" s="168" t="s">
        <v>36</v>
      </c>
      <c r="AO121" s="168" t="s">
        <v>37</v>
      </c>
      <c r="AP121" s="168" t="s">
        <v>38</v>
      </c>
      <c r="AQ121" s="168" t="s">
        <v>39</v>
      </c>
      <c r="AR121" s="168" t="s">
        <v>40</v>
      </c>
      <c r="AS121" s="165"/>
      <c r="AT121" s="168" t="s">
        <v>40</v>
      </c>
      <c r="AU121" s="165"/>
      <c r="AV121" s="168" t="s">
        <v>40</v>
      </c>
      <c r="AW121" s="165"/>
      <c r="AX121" s="168" t="s">
        <v>40</v>
      </c>
    </row>
    <row r="122" spans="1:50" s="41" customFormat="1" ht="4.3499999999999996" customHeight="1" x14ac:dyDescent="0.3">
      <c r="A122" s="43"/>
      <c r="B122" s="176"/>
      <c r="C122" s="35"/>
      <c r="D122" s="177"/>
      <c r="E122" s="177"/>
      <c r="F122" s="177"/>
      <c r="G122" s="177"/>
      <c r="H122" s="177"/>
      <c r="I122" s="35"/>
      <c r="J122" s="177"/>
      <c r="K122" s="177"/>
      <c r="L122" s="177"/>
      <c r="M122" s="177"/>
      <c r="N122" s="177"/>
      <c r="O122" s="178"/>
      <c r="P122" s="177"/>
      <c r="Q122" s="177"/>
      <c r="R122" s="177"/>
      <c r="S122" s="177"/>
      <c r="T122" s="177"/>
      <c r="U122" s="178"/>
      <c r="V122" s="177"/>
      <c r="W122" s="177"/>
      <c r="X122" s="177"/>
      <c r="Y122" s="177"/>
      <c r="Z122" s="177"/>
      <c r="AA122" s="178"/>
      <c r="AB122" s="177"/>
      <c r="AC122" s="177"/>
      <c r="AD122" s="177"/>
      <c r="AE122" s="177"/>
      <c r="AF122" s="177"/>
      <c r="AG122" s="178"/>
      <c r="AH122" s="177"/>
      <c r="AI122" s="177"/>
      <c r="AJ122" s="177"/>
      <c r="AK122" s="177"/>
      <c r="AL122" s="179"/>
      <c r="AM122" s="180"/>
      <c r="AN122" s="179"/>
      <c r="AO122" s="179"/>
      <c r="AP122" s="179"/>
      <c r="AQ122" s="179"/>
      <c r="AR122" s="179"/>
      <c r="AS122" s="180"/>
      <c r="AT122" s="179"/>
      <c r="AU122" s="180"/>
      <c r="AV122" s="179"/>
      <c r="AW122" s="180"/>
      <c r="AX122" s="179"/>
    </row>
    <row r="123" spans="1:50" s="41" customFormat="1" ht="4.3499999999999996" customHeight="1" x14ac:dyDescent="0.3">
      <c r="A123" s="43"/>
      <c r="B123" s="172"/>
      <c r="C123" s="19"/>
      <c r="D123" s="173"/>
      <c r="E123" s="173"/>
      <c r="F123" s="173"/>
      <c r="G123" s="173"/>
      <c r="H123" s="173"/>
      <c r="I123" s="19"/>
      <c r="J123" s="173"/>
      <c r="K123" s="173"/>
      <c r="L123" s="173"/>
      <c r="M123" s="173"/>
      <c r="N123" s="173"/>
      <c r="O123" s="174"/>
      <c r="P123" s="173"/>
      <c r="Q123" s="173"/>
      <c r="R123" s="173"/>
      <c r="S123" s="173"/>
      <c r="T123" s="173"/>
      <c r="U123" s="174"/>
      <c r="V123" s="173"/>
      <c r="W123" s="173"/>
      <c r="X123" s="173"/>
      <c r="Y123" s="173"/>
      <c r="Z123" s="173"/>
      <c r="AA123" s="174"/>
      <c r="AB123" s="173"/>
      <c r="AC123" s="173"/>
      <c r="AD123" s="173"/>
      <c r="AE123" s="173"/>
      <c r="AF123" s="173"/>
      <c r="AG123" s="204"/>
      <c r="AH123" s="173"/>
      <c r="AI123" s="173"/>
      <c r="AJ123" s="173"/>
      <c r="AK123" s="173"/>
      <c r="AL123" s="175"/>
      <c r="AM123" s="34"/>
      <c r="AN123" s="175"/>
      <c r="AO123" s="175"/>
      <c r="AP123" s="175"/>
      <c r="AQ123" s="175"/>
      <c r="AR123" s="175"/>
      <c r="AS123" s="34"/>
      <c r="AT123" s="175"/>
      <c r="AU123" s="34"/>
      <c r="AV123" s="175"/>
      <c r="AW123" s="34"/>
      <c r="AX123" s="175"/>
    </row>
    <row r="124" spans="1:50" s="54" customFormat="1" ht="15" customHeight="1" x14ac:dyDescent="0.3">
      <c r="A124" s="44" t="s">
        <v>70</v>
      </c>
      <c r="B124" s="154" t="s">
        <v>793</v>
      </c>
      <c r="C124" s="17"/>
      <c r="D124" s="208"/>
      <c r="E124" s="208"/>
      <c r="F124" s="208"/>
      <c r="G124" s="208"/>
      <c r="H124" s="220"/>
      <c r="I124" s="210"/>
      <c r="J124" s="208"/>
      <c r="K124" s="208"/>
      <c r="L124" s="208"/>
      <c r="M124" s="208"/>
      <c r="N124" s="220"/>
      <c r="O124" s="209"/>
      <c r="P124" s="208"/>
      <c r="Q124" s="208"/>
      <c r="R124" s="208"/>
      <c r="S124" s="208"/>
      <c r="T124" s="220"/>
      <c r="U124" s="209"/>
      <c r="V124" s="208"/>
      <c r="W124" s="208"/>
      <c r="X124" s="208"/>
      <c r="Y124" s="208"/>
      <c r="Z124" s="220"/>
      <c r="AA124" s="209"/>
      <c r="AB124" s="208"/>
      <c r="AC124" s="208"/>
      <c r="AD124" s="208"/>
      <c r="AE124" s="208"/>
      <c r="AF124" s="220"/>
      <c r="AG124" s="211"/>
      <c r="AH124" s="208"/>
      <c r="AI124" s="208"/>
      <c r="AJ124" s="212"/>
      <c r="AK124" s="212"/>
      <c r="AL124" s="222"/>
      <c r="AM124" s="215"/>
      <c r="AN124" s="212"/>
      <c r="AO124" s="212"/>
      <c r="AP124" s="212"/>
      <c r="AQ124" s="212"/>
      <c r="AR124" s="222"/>
      <c r="AS124" s="215"/>
      <c r="AT124" s="222"/>
      <c r="AU124" s="215"/>
      <c r="AV124" s="222"/>
      <c r="AW124" s="246"/>
      <c r="AX124" s="246"/>
    </row>
    <row r="125" spans="1:50" s="54" customFormat="1" ht="15" customHeight="1" x14ac:dyDescent="0.3">
      <c r="A125" s="43"/>
      <c r="B125" s="155" t="s">
        <v>672</v>
      </c>
      <c r="C125" s="17"/>
      <c r="D125" s="217"/>
      <c r="E125" s="217"/>
      <c r="F125" s="217"/>
      <c r="G125" s="217"/>
      <c r="H125" s="216" t="str">
        <f>IF(ROUND(CF!H15,0)=ROUND(SUM(CF!D15:G15),0),"OK","ERROR")</f>
        <v>OK</v>
      </c>
      <c r="I125" s="210"/>
      <c r="J125" s="217"/>
      <c r="K125" s="217"/>
      <c r="L125" s="217"/>
      <c r="M125" s="217"/>
      <c r="N125" s="216" t="str">
        <f>IF(ROUND(CF!N15,0)=ROUND(SUM(CF!J15:M15),0),"OK","ERROR")</f>
        <v>ERROR</v>
      </c>
      <c r="O125" s="209"/>
      <c r="P125" s="217"/>
      <c r="Q125" s="217"/>
      <c r="R125" s="217"/>
      <c r="S125" s="217"/>
      <c r="T125" s="216" t="str">
        <f>IF(ROUND(CF!T15,0)=ROUND(SUM(CF!P15:S15),0),"OK","ERROR")</f>
        <v>OK</v>
      </c>
      <c r="U125" s="209"/>
      <c r="V125" s="217"/>
      <c r="W125" s="217"/>
      <c r="X125" s="217"/>
      <c r="Y125" s="217"/>
      <c r="Z125" s="216" t="str">
        <f>IF(ROUND(CF!Z15,0)=ROUND(SUM(CF!V15:Y15),0),"OK","ERROR")</f>
        <v>OK</v>
      </c>
      <c r="AA125" s="209"/>
      <c r="AB125" s="217"/>
      <c r="AC125" s="217"/>
      <c r="AD125" s="217"/>
      <c r="AE125" s="217"/>
      <c r="AF125" s="216" t="str">
        <f>IF(ROUND(CF!AF15,0)=ROUND(SUM(CF!AB15:AE15),0),"OK","ERROR")</f>
        <v>OK</v>
      </c>
      <c r="AG125" s="211"/>
      <c r="AH125" s="217"/>
      <c r="AI125" s="217"/>
      <c r="AJ125" s="212"/>
      <c r="AK125" s="212"/>
      <c r="AL125" s="216" t="str">
        <f>IF(ROUND(CF!AL15,0)=ROUND(SUM(CF!AH15:AK15),0),"OK","ERROR")</f>
        <v>ERROR</v>
      </c>
      <c r="AM125" s="215"/>
      <c r="AN125" s="212"/>
      <c r="AO125" s="212"/>
      <c r="AP125" s="212"/>
      <c r="AQ125" s="212"/>
      <c r="AR125" s="216" t="str">
        <f>IF(ROUND(CF!AR15,0)=ROUND(SUM(CF!AN15:AQ15),0),"OK","ERROR")</f>
        <v>OK</v>
      </c>
      <c r="AS125" s="215"/>
      <c r="AT125" s="216" t="str">
        <f>IF(ROUND(CF!AT15,0)=ROUND(SUM(CF!AP15:AS15),0),"OK","ERROR")</f>
        <v>OK</v>
      </c>
      <c r="AU125" s="215"/>
      <c r="AV125" s="216" t="str">
        <f>IF(ROUND(CF!AV15,0)=ROUND(SUM(CF!AR15:AU15),0),"OK","ERROR")</f>
        <v>OK</v>
      </c>
      <c r="AW125" s="246"/>
      <c r="AX125" s="216" t="str">
        <f>IF(ROUND(CF!AX15,0)=ROUND(SUM(CF!AT15:AW15),0),"OK","ERROR")</f>
        <v>OK</v>
      </c>
    </row>
    <row r="126" spans="1:50" s="54" customFormat="1" ht="15" customHeight="1" x14ac:dyDescent="0.3">
      <c r="A126" s="43"/>
      <c r="B126" s="155" t="s">
        <v>794</v>
      </c>
      <c r="C126" s="17"/>
      <c r="D126" s="208"/>
      <c r="E126" s="208"/>
      <c r="F126" s="208"/>
      <c r="G126" s="208"/>
      <c r="H126" s="216"/>
      <c r="I126" s="210"/>
      <c r="J126" s="208"/>
      <c r="K126" s="208"/>
      <c r="L126" s="208"/>
      <c r="M126" s="208"/>
      <c r="N126" s="216"/>
      <c r="O126" s="216"/>
      <c r="P126" s="208"/>
      <c r="Q126" s="208"/>
      <c r="R126" s="208"/>
      <c r="S126" s="208"/>
      <c r="T126" s="216"/>
      <c r="U126" s="216"/>
      <c r="V126" s="208"/>
      <c r="W126" s="208"/>
      <c r="X126" s="208"/>
      <c r="Y126" s="208"/>
      <c r="Z126" s="216"/>
      <c r="AA126" s="216"/>
      <c r="AB126" s="208"/>
      <c r="AC126" s="208"/>
      <c r="AD126" s="208"/>
      <c r="AE126" s="208"/>
      <c r="AF126" s="216"/>
      <c r="AG126" s="211"/>
      <c r="AH126" s="208"/>
      <c r="AI126" s="208"/>
      <c r="AJ126" s="212"/>
      <c r="AK126" s="212"/>
      <c r="AL126" s="216"/>
      <c r="AM126" s="215"/>
      <c r="AN126" s="212"/>
      <c r="AO126" s="212"/>
      <c r="AP126" s="212"/>
      <c r="AQ126" s="212"/>
      <c r="AR126" s="216"/>
      <c r="AS126" s="215"/>
      <c r="AT126" s="216"/>
      <c r="AU126" s="215"/>
      <c r="AV126" s="216"/>
      <c r="AW126" s="246"/>
      <c r="AX126" s="216"/>
    </row>
    <row r="127" spans="1:50" s="54" customFormat="1" ht="15" customHeight="1" x14ac:dyDescent="0.3">
      <c r="A127" s="43"/>
      <c r="B127" s="156" t="s">
        <v>725</v>
      </c>
      <c r="C127" s="17"/>
      <c r="D127" s="217"/>
      <c r="E127" s="217"/>
      <c r="F127" s="217"/>
      <c r="G127" s="217"/>
      <c r="H127" s="216" t="str">
        <f>IF(ROUND(CF!H17,0)=ROUND(SUM(CF!D17:G17),0),"OK","ERROR")</f>
        <v>OK</v>
      </c>
      <c r="I127" s="210"/>
      <c r="J127" s="217"/>
      <c r="K127" s="217"/>
      <c r="L127" s="217"/>
      <c r="M127" s="217"/>
      <c r="N127" s="216" t="str">
        <f>IF(ROUND(CF!N17,0)=ROUND(SUM(CF!J17:M17),0),"OK","ERROR")</f>
        <v>OK</v>
      </c>
      <c r="O127" s="209"/>
      <c r="P127" s="217"/>
      <c r="Q127" s="217"/>
      <c r="R127" s="217"/>
      <c r="S127" s="217"/>
      <c r="T127" s="216" t="str">
        <f>IF(ROUND(CF!T17,0)=ROUND(SUM(CF!P17:S17),0),"OK","ERROR")</f>
        <v>OK</v>
      </c>
      <c r="U127" s="209"/>
      <c r="V127" s="217"/>
      <c r="W127" s="217"/>
      <c r="X127" s="217"/>
      <c r="Y127" s="217"/>
      <c r="Z127" s="216" t="str">
        <f>IF(ROUND(CF!Z17,0)=ROUND(SUM(CF!V17:Y17),0),"OK","ERROR")</f>
        <v>OK</v>
      </c>
      <c r="AA127" s="209"/>
      <c r="AB127" s="217"/>
      <c r="AC127" s="217"/>
      <c r="AD127" s="217"/>
      <c r="AE127" s="217"/>
      <c r="AF127" s="216" t="str">
        <f>IF(ROUND(CF!AF17,0)=ROUND(SUM(CF!AB17:AE17),0),"OK","ERROR")</f>
        <v>OK</v>
      </c>
      <c r="AG127" s="211"/>
      <c r="AH127" s="217"/>
      <c r="AI127" s="217"/>
      <c r="AJ127" s="212"/>
      <c r="AK127" s="212"/>
      <c r="AL127" s="216" t="str">
        <f>IF(ROUND(CF!AL17,0)=ROUND(SUM(CF!AH17:AK17),0),"OK","ERROR")</f>
        <v>ERROR</v>
      </c>
      <c r="AM127" s="215"/>
      <c r="AN127" s="212"/>
      <c r="AO127" s="212"/>
      <c r="AP127" s="212"/>
      <c r="AQ127" s="212"/>
      <c r="AR127" s="216" t="str">
        <f>IF(ROUND(CF!AR17,0)=ROUND(SUM(CF!AN17:AQ17),0),"OK","ERROR")</f>
        <v>OK</v>
      </c>
      <c r="AS127" s="215"/>
      <c r="AT127" s="216" t="str">
        <f>IF(ROUND(CF!AT17,0)=ROUND(SUM(CF!AP17:AS17),0),"OK","ERROR")</f>
        <v>OK</v>
      </c>
      <c r="AU127" s="215"/>
      <c r="AV127" s="216" t="str">
        <f>IF(ROUND(CF!AV17,0)=ROUND(SUM(CF!AR17:AU17),0),"OK","ERROR")</f>
        <v>OK</v>
      </c>
      <c r="AW127" s="246"/>
      <c r="AX127" s="216" t="str">
        <f>IF(ROUND(CF!AX17,0)=ROUND(SUM(CF!AT17:AW17),0),"OK","ERROR")</f>
        <v>OK</v>
      </c>
    </row>
    <row r="128" spans="1:50" s="54" customFormat="1" ht="15" customHeight="1" x14ac:dyDescent="0.3">
      <c r="A128" s="43"/>
      <c r="B128" s="156" t="s">
        <v>825</v>
      </c>
      <c r="C128" s="17"/>
      <c r="D128" s="217"/>
      <c r="E128" s="217"/>
      <c r="F128" s="217"/>
      <c r="G128" s="217"/>
      <c r="H128" s="216" t="str">
        <f>IF(ROUND(CF!H18,0)=ROUND(SUM(CF!D18:G18),0),"OK","ERROR")</f>
        <v>OK</v>
      </c>
      <c r="I128" s="210"/>
      <c r="J128" s="217"/>
      <c r="K128" s="217"/>
      <c r="L128" s="217"/>
      <c r="M128" s="217"/>
      <c r="N128" s="216" t="str">
        <f>IF(ROUND(CF!N18,0)=ROUND(SUM(CF!J18:M18),0),"OK","ERROR")</f>
        <v>OK</v>
      </c>
      <c r="O128" s="209"/>
      <c r="P128" s="217"/>
      <c r="Q128" s="217"/>
      <c r="R128" s="217"/>
      <c r="S128" s="217"/>
      <c r="T128" s="216" t="str">
        <f>IF(ROUND(CF!T18,0)=ROUND(SUM(CF!P18:S18),0),"OK","ERROR")</f>
        <v>OK</v>
      </c>
      <c r="U128" s="209"/>
      <c r="V128" s="217"/>
      <c r="W128" s="217"/>
      <c r="X128" s="217"/>
      <c r="Y128" s="217"/>
      <c r="Z128" s="216" t="str">
        <f>IF(ROUND(CF!Z18,0)=ROUND(SUM(CF!V18:Y18),0),"OK","ERROR")</f>
        <v>OK</v>
      </c>
      <c r="AA128" s="209"/>
      <c r="AB128" s="217"/>
      <c r="AC128" s="217"/>
      <c r="AD128" s="217"/>
      <c r="AE128" s="217"/>
      <c r="AF128" s="216" t="str">
        <f>IF(ROUND(CF!AF18,0)=ROUND(SUM(CF!AB18:AE18),0),"OK","ERROR")</f>
        <v>OK</v>
      </c>
      <c r="AG128" s="211"/>
      <c r="AH128" s="217"/>
      <c r="AI128" s="217"/>
      <c r="AJ128" s="212"/>
      <c r="AK128" s="212"/>
      <c r="AL128" s="216" t="str">
        <f>IF(ROUND(CF!AL18,0)=ROUND(SUM(CF!AH18:AK18),0),"OK","ERROR")</f>
        <v>ERROR</v>
      </c>
      <c r="AM128" s="215"/>
      <c r="AN128" s="212"/>
      <c r="AO128" s="212"/>
      <c r="AP128" s="212"/>
      <c r="AQ128" s="212"/>
      <c r="AR128" s="216" t="str">
        <f>IF(ROUND(CF!AR18,0)=ROUND(SUM(CF!AN18:AQ18),0),"OK","ERROR")</f>
        <v>OK</v>
      </c>
      <c r="AS128" s="215"/>
      <c r="AT128" s="216" t="str">
        <f>IF(ROUND(CF!AT18,0)=ROUND(SUM(CF!AP18:AS18),0),"OK","ERROR")</f>
        <v>OK</v>
      </c>
      <c r="AU128" s="215"/>
      <c r="AV128" s="216" t="str">
        <f>IF(ROUND(CF!AV18,0)=ROUND(SUM(CF!AR18:AU18),0),"OK","ERROR")</f>
        <v>OK</v>
      </c>
      <c r="AW128" s="246"/>
      <c r="AX128" s="216" t="str">
        <f>IF(ROUND(CF!AX18,0)=ROUND(SUM(CF!AT18:AW18),0),"OK","ERROR")</f>
        <v>OK</v>
      </c>
    </row>
    <row r="129" spans="1:50" s="54" customFormat="1" ht="15" customHeight="1" x14ac:dyDescent="0.25">
      <c r="A129" s="113"/>
      <c r="B129" s="156" t="s">
        <v>53</v>
      </c>
      <c r="C129" s="115"/>
      <c r="D129" s="217"/>
      <c r="E129" s="217"/>
      <c r="F129" s="217"/>
      <c r="G129" s="217"/>
      <c r="H129" s="216" t="str">
        <f>IF(ROUND(CF!H19,0)=ROUND(SUM(CF!D19:G19),0),"OK","ERROR")</f>
        <v>ERROR</v>
      </c>
      <c r="I129" s="210"/>
      <c r="J129" s="217"/>
      <c r="K129" s="217"/>
      <c r="L129" s="217"/>
      <c r="M129" s="217"/>
      <c r="N129" s="216" t="str">
        <f>IF(ROUND(CF!N19,0)=ROUND(SUM(CF!J19:M19),0),"OK","ERROR")</f>
        <v>ERROR</v>
      </c>
      <c r="O129" s="210"/>
      <c r="P129" s="217"/>
      <c r="Q129" s="217"/>
      <c r="R129" s="217"/>
      <c r="S129" s="217"/>
      <c r="T129" s="216" t="str">
        <f>IF(ROUND(CF!T19,0)=ROUND(SUM(CF!P19:S19),0),"OK","ERROR")</f>
        <v>OK</v>
      </c>
      <c r="U129" s="210"/>
      <c r="V129" s="217"/>
      <c r="W129" s="217"/>
      <c r="X129" s="217"/>
      <c r="Y129" s="217"/>
      <c r="Z129" s="216" t="str">
        <f>IF(ROUND(CF!Z19,0)=ROUND(SUM(CF!V19:Y19),0),"OK","ERROR")</f>
        <v>OK</v>
      </c>
      <c r="AA129" s="213"/>
      <c r="AB129" s="217"/>
      <c r="AC129" s="217"/>
      <c r="AD129" s="217"/>
      <c r="AE129" s="217"/>
      <c r="AF129" s="216" t="str">
        <f>IF(ROUND(CF!AF19,0)=ROUND(SUM(CF!AB19:AE19),0),"OK","ERROR")</f>
        <v>OK</v>
      </c>
      <c r="AG129" s="211"/>
      <c r="AH129" s="217"/>
      <c r="AI129" s="217"/>
      <c r="AJ129" s="212"/>
      <c r="AK129" s="212"/>
      <c r="AL129" s="216" t="str">
        <f>IF(ROUND(CF!AL19,0)=ROUND(SUM(CF!AH19:AK19),0),"OK","ERROR")</f>
        <v>ERROR</v>
      </c>
      <c r="AM129" s="223"/>
      <c r="AN129" s="212"/>
      <c r="AO129" s="212"/>
      <c r="AP129" s="212"/>
      <c r="AQ129" s="212"/>
      <c r="AR129" s="216" t="str">
        <f>IF(ROUND(CF!AR19,0)=ROUND(SUM(CF!AN19:AQ19),0),"OK","ERROR")</f>
        <v>OK</v>
      </c>
      <c r="AS129" s="223"/>
      <c r="AT129" s="216" t="str">
        <f>IF(ROUND(CF!AT19,0)=ROUND(SUM(CF!AP19:AS19),0),"OK","ERROR")</f>
        <v>OK</v>
      </c>
      <c r="AU129" s="223"/>
      <c r="AV129" s="216" t="str">
        <f>IF(ROUND(CF!AV19,0)=ROUND(SUM(CF!AR19:AU19),0),"OK","ERROR")</f>
        <v>OK</v>
      </c>
      <c r="AW129" s="246"/>
      <c r="AX129" s="216" t="str">
        <f>IF(ROUND(CF!AX19,0)=ROUND(SUM(CF!AT19:AW19),0),"OK","ERROR")</f>
        <v>OK</v>
      </c>
    </row>
    <row r="130" spans="1:50" s="54" customFormat="1" ht="15" customHeight="1" x14ac:dyDescent="0.3">
      <c r="A130" s="43"/>
      <c r="B130" s="155" t="s">
        <v>796</v>
      </c>
      <c r="C130" s="17"/>
      <c r="D130" s="208"/>
      <c r="E130" s="208"/>
      <c r="F130" s="208"/>
      <c r="G130" s="208"/>
      <c r="H130" s="220"/>
      <c r="I130" s="210"/>
      <c r="J130" s="208"/>
      <c r="K130" s="208"/>
      <c r="L130" s="208"/>
      <c r="M130" s="208"/>
      <c r="N130" s="220"/>
      <c r="O130" s="210"/>
      <c r="P130" s="208"/>
      <c r="Q130" s="208"/>
      <c r="R130" s="208"/>
      <c r="S130" s="208"/>
      <c r="T130" s="220"/>
      <c r="U130" s="210"/>
      <c r="V130" s="208"/>
      <c r="W130" s="208"/>
      <c r="X130" s="208"/>
      <c r="Y130" s="208"/>
      <c r="Z130" s="220"/>
      <c r="AA130" s="213"/>
      <c r="AB130" s="208"/>
      <c r="AC130" s="208"/>
      <c r="AD130" s="208"/>
      <c r="AE130" s="208"/>
      <c r="AF130" s="220"/>
      <c r="AG130" s="211"/>
      <c r="AH130" s="208"/>
      <c r="AI130" s="208"/>
      <c r="AJ130" s="212"/>
      <c r="AK130" s="212"/>
      <c r="AL130" s="220"/>
      <c r="AM130" s="225"/>
      <c r="AN130" s="212"/>
      <c r="AO130" s="212"/>
      <c r="AP130" s="212"/>
      <c r="AQ130" s="212"/>
      <c r="AR130" s="220"/>
      <c r="AS130" s="225"/>
      <c r="AT130" s="220"/>
      <c r="AU130" s="225"/>
      <c r="AV130" s="220"/>
      <c r="AW130" s="246"/>
      <c r="AX130" s="220"/>
    </row>
    <row r="131" spans="1:50" s="54" customFormat="1" ht="15" customHeight="1" x14ac:dyDescent="0.25">
      <c r="A131" s="113"/>
      <c r="B131" s="156" t="s">
        <v>759</v>
      </c>
      <c r="C131" s="115"/>
      <c r="D131" s="217"/>
      <c r="E131" s="217"/>
      <c r="F131" s="217"/>
      <c r="G131" s="217"/>
      <c r="H131" s="220" t="str">
        <f>IF(ROUND(CF!H21,0)=ROUND(SUM(CF!D21:G21),0),"OK","ERROR")</f>
        <v>OK</v>
      </c>
      <c r="I131" s="210"/>
      <c r="J131" s="217"/>
      <c r="K131" s="217"/>
      <c r="L131" s="217"/>
      <c r="M131" s="217"/>
      <c r="N131" s="220" t="str">
        <f>IF(ROUND(CF!N21,0)=ROUND(SUM(CF!J21:M21),0),"OK","ERROR")</f>
        <v>OK</v>
      </c>
      <c r="O131" s="210"/>
      <c r="P131" s="217"/>
      <c r="Q131" s="217"/>
      <c r="R131" s="217"/>
      <c r="S131" s="217"/>
      <c r="T131" s="220" t="str">
        <f>IF(ROUND(CF!T21,0)=ROUND(SUM(CF!P21:S21),0),"OK","ERROR")</f>
        <v>OK</v>
      </c>
      <c r="U131" s="210"/>
      <c r="V131" s="217"/>
      <c r="W131" s="217"/>
      <c r="X131" s="217"/>
      <c r="Y131" s="217"/>
      <c r="Z131" s="220" t="str">
        <f>IF(ROUND(CF!Z21,0)=ROUND(SUM(CF!V21:Y21),0),"OK","ERROR")</f>
        <v>OK</v>
      </c>
      <c r="AA131" s="213"/>
      <c r="AB131" s="217"/>
      <c r="AC131" s="217"/>
      <c r="AD131" s="217"/>
      <c r="AE131" s="217"/>
      <c r="AF131" s="220" t="str">
        <f>IF(ROUND(CF!AF21,0)=ROUND(SUM(CF!AB21:AE21),0),"OK","ERROR")</f>
        <v>OK</v>
      </c>
      <c r="AG131" s="211"/>
      <c r="AH131" s="217"/>
      <c r="AI131" s="217"/>
      <c r="AJ131" s="212"/>
      <c r="AK131" s="212"/>
      <c r="AL131" s="220" t="str">
        <f>IF(ROUND(CF!AL21,0)=ROUND(SUM(CF!AH21:AK21),0),"OK","ERROR")</f>
        <v>ERROR</v>
      </c>
      <c r="AM131" s="225"/>
      <c r="AN131" s="212"/>
      <c r="AO131" s="212"/>
      <c r="AP131" s="212"/>
      <c r="AQ131" s="212"/>
      <c r="AR131" s="220" t="str">
        <f>IF(ROUND(CF!AR21,0)=ROUND(SUM(CF!AN21:AQ21),0),"OK","ERROR")</f>
        <v>OK</v>
      </c>
      <c r="AS131" s="225"/>
      <c r="AT131" s="220" t="str">
        <f>IF(ROUND(CF!AT21,0)=ROUND(SUM(CF!AP21:AS21),0),"OK","ERROR")</f>
        <v>OK</v>
      </c>
      <c r="AU131" s="225"/>
      <c r="AV131" s="220" t="str">
        <f>IF(ROUND(CF!AV21,0)=ROUND(SUM(CF!AR21:AU21),0),"OK","ERROR")</f>
        <v>OK</v>
      </c>
      <c r="AW131" s="246"/>
      <c r="AX131" s="220" t="str">
        <f>IF(ROUND(CF!AX21,0)=ROUND(SUM(CF!AT21:AW21),0),"OK","ERROR")</f>
        <v>OK</v>
      </c>
    </row>
    <row r="132" spans="1:50" s="54" customFormat="1" ht="15" customHeight="1" x14ac:dyDescent="0.3">
      <c r="A132" s="43"/>
      <c r="B132" s="156" t="s">
        <v>797</v>
      </c>
      <c r="C132" s="17"/>
      <c r="D132" s="217"/>
      <c r="E132" s="217"/>
      <c r="F132" s="217"/>
      <c r="G132" s="217"/>
      <c r="H132" s="220" t="str">
        <f>IF(ROUND(CF!H22,0)=ROUND(SUM(CF!D22:G22),0),"OK","ERROR")</f>
        <v>OK</v>
      </c>
      <c r="I132" s="210"/>
      <c r="J132" s="217"/>
      <c r="K132" s="217"/>
      <c r="L132" s="217"/>
      <c r="M132" s="217"/>
      <c r="N132" s="220" t="str">
        <f>IF(ROUND(CF!N22,0)=ROUND(SUM(CF!J22:M22),0),"OK","ERROR")</f>
        <v>OK</v>
      </c>
      <c r="O132" s="210"/>
      <c r="P132" s="217"/>
      <c r="Q132" s="217"/>
      <c r="R132" s="217"/>
      <c r="S132" s="217"/>
      <c r="T132" s="220" t="str">
        <f>IF(ROUND(CF!T22,0)=ROUND(SUM(CF!P22:S22),0),"OK","ERROR")</f>
        <v>OK</v>
      </c>
      <c r="U132" s="210"/>
      <c r="V132" s="217"/>
      <c r="W132" s="217"/>
      <c r="X132" s="217"/>
      <c r="Y132" s="217"/>
      <c r="Z132" s="220" t="str">
        <f>IF(ROUND(CF!Z22,0)=ROUND(SUM(CF!V22:Y22),0),"OK","ERROR")</f>
        <v>OK</v>
      </c>
      <c r="AA132" s="213"/>
      <c r="AB132" s="217"/>
      <c r="AC132" s="217"/>
      <c r="AD132" s="217"/>
      <c r="AE132" s="217"/>
      <c r="AF132" s="220" t="str">
        <f>IF(ROUND(CF!AF22,0)=ROUND(SUM(CF!AB22:AE22),0),"OK","ERROR")</f>
        <v>OK</v>
      </c>
      <c r="AG132" s="211"/>
      <c r="AH132" s="217"/>
      <c r="AI132" s="217"/>
      <c r="AJ132" s="212"/>
      <c r="AK132" s="212"/>
      <c r="AL132" s="220" t="str">
        <f>IF(ROUND(CF!AL22,0)=ROUND(SUM(CF!AH22:AK22),0),"OK","ERROR")</f>
        <v>ERROR</v>
      </c>
      <c r="AM132" s="225"/>
      <c r="AN132" s="212"/>
      <c r="AO132" s="212"/>
      <c r="AP132" s="212"/>
      <c r="AQ132" s="212"/>
      <c r="AR132" s="220" t="str">
        <f>IF(ROUND(CF!AR22,0)=ROUND(SUM(CF!AN22:AQ22),0),"OK","ERROR")</f>
        <v>OK</v>
      </c>
      <c r="AS132" s="225"/>
      <c r="AT132" s="220" t="str">
        <f>IF(ROUND(CF!AT22,0)=ROUND(SUM(CF!AP22:AS22),0),"OK","ERROR")</f>
        <v>OK</v>
      </c>
      <c r="AU132" s="225"/>
      <c r="AV132" s="220" t="str">
        <f>IF(ROUND(CF!AV22,0)=ROUND(SUM(CF!AR22:AU22),0),"OK","ERROR")</f>
        <v>OK</v>
      </c>
      <c r="AW132" s="246"/>
      <c r="AX132" s="220" t="str">
        <f>IF(ROUND(CF!AX22,0)=ROUND(SUM(CF!AT22:AW22),0),"OK","ERROR")</f>
        <v>OK</v>
      </c>
    </row>
    <row r="133" spans="1:50" s="54" customFormat="1" ht="15" customHeight="1" x14ac:dyDescent="0.25">
      <c r="A133" s="113"/>
      <c r="B133" s="156" t="s">
        <v>771</v>
      </c>
      <c r="C133" s="115"/>
      <c r="D133" s="217"/>
      <c r="E133" s="217"/>
      <c r="F133" s="217"/>
      <c r="G133" s="217"/>
      <c r="H133" s="220" t="str">
        <f>IF(ROUND(CF!H23,0)=ROUND(SUM(CF!D23:G23),0),"OK","ERROR")</f>
        <v>OK</v>
      </c>
      <c r="I133" s="210"/>
      <c r="J133" s="217"/>
      <c r="K133" s="217"/>
      <c r="L133" s="217"/>
      <c r="M133" s="217"/>
      <c r="N133" s="220" t="str">
        <f>IF(ROUND(CF!N23,0)=ROUND(SUM(CF!J23:M23),0),"OK","ERROR")</f>
        <v>OK</v>
      </c>
      <c r="O133" s="210"/>
      <c r="P133" s="217"/>
      <c r="Q133" s="217"/>
      <c r="R133" s="217"/>
      <c r="S133" s="217"/>
      <c r="T133" s="220" t="str">
        <f>IF(ROUND(CF!T23,0)=ROUND(SUM(CF!P23:S23),0),"OK","ERROR")</f>
        <v>OK</v>
      </c>
      <c r="U133" s="210"/>
      <c r="V133" s="217"/>
      <c r="W133" s="217"/>
      <c r="X133" s="217"/>
      <c r="Y133" s="217"/>
      <c r="Z133" s="220" t="str">
        <f>IF(ROUND(CF!Z23,0)=ROUND(SUM(CF!V23:Y23),0),"OK","ERROR")</f>
        <v>OK</v>
      </c>
      <c r="AA133" s="213"/>
      <c r="AB133" s="217"/>
      <c r="AC133" s="217"/>
      <c r="AD133" s="217"/>
      <c r="AE133" s="217"/>
      <c r="AF133" s="220" t="str">
        <f>IF(ROUND(CF!AF23,0)=ROUND(SUM(CF!AB23:AE23),0),"OK","ERROR")</f>
        <v>OK</v>
      </c>
      <c r="AG133" s="211"/>
      <c r="AH133" s="217"/>
      <c r="AI133" s="217"/>
      <c r="AJ133" s="212"/>
      <c r="AK133" s="212"/>
      <c r="AL133" s="220" t="str">
        <f>IF(ROUND(CF!AL23,0)=ROUND(SUM(CF!AH23:AK23),0),"OK","ERROR")</f>
        <v>OK</v>
      </c>
      <c r="AM133" s="225"/>
      <c r="AN133" s="212"/>
      <c r="AO133" s="212"/>
      <c r="AP133" s="212"/>
      <c r="AQ133" s="212"/>
      <c r="AR133" s="220" t="str">
        <f>IF(ROUND(CF!AR23,0)=ROUND(SUM(CF!AN23:AQ23),0),"OK","ERROR")</f>
        <v>OK</v>
      </c>
      <c r="AS133" s="225"/>
      <c r="AT133" s="220" t="str">
        <f>IF(ROUND(CF!AT23,0)=ROUND(SUM(CF!AP23:AS23),0),"OK","ERROR")</f>
        <v>OK</v>
      </c>
      <c r="AU133" s="225"/>
      <c r="AV133" s="220" t="str">
        <f>IF(ROUND(CF!AV23,0)=ROUND(SUM(CF!AR23:AU23),0),"OK","ERROR")</f>
        <v>OK</v>
      </c>
      <c r="AW133" s="246"/>
      <c r="AX133" s="220" t="str">
        <f>IF(ROUND(CF!AX23,0)=ROUND(SUM(CF!AT23:AW23),0),"OK","ERROR")</f>
        <v>OK</v>
      </c>
    </row>
    <row r="134" spans="1:50" s="54" customFormat="1" ht="15" customHeight="1" x14ac:dyDescent="0.25">
      <c r="A134" s="113"/>
      <c r="B134" s="156" t="s">
        <v>53</v>
      </c>
      <c r="C134" s="115"/>
      <c r="D134" s="217"/>
      <c r="E134" s="217"/>
      <c r="F134" s="217"/>
      <c r="G134" s="217"/>
      <c r="H134" s="226" t="str">
        <f>IF(ROUND(CF!H24,0)=ROUND(SUM(CF!D24:G24),0),"OK","ERROR")</f>
        <v>OK</v>
      </c>
      <c r="I134" s="210"/>
      <c r="J134" s="217"/>
      <c r="K134" s="217"/>
      <c r="L134" s="217"/>
      <c r="M134" s="217"/>
      <c r="N134" s="226" t="str">
        <f>IF(ROUND(CF!N24,0)=ROUND(SUM(CF!J24:M24),0),"OK","ERROR")</f>
        <v>OK</v>
      </c>
      <c r="O134" s="210"/>
      <c r="P134" s="217"/>
      <c r="Q134" s="217"/>
      <c r="R134" s="217"/>
      <c r="S134" s="217"/>
      <c r="T134" s="226" t="str">
        <f>IF(ROUND(CF!T24,0)=ROUND(SUM(CF!P24:S24),0),"OK","ERROR")</f>
        <v>OK</v>
      </c>
      <c r="U134" s="210"/>
      <c r="V134" s="217"/>
      <c r="W134" s="217"/>
      <c r="X134" s="217"/>
      <c r="Y134" s="217"/>
      <c r="Z134" s="226" t="str">
        <f>IF(ROUND(CF!Z24,0)=ROUND(SUM(CF!V24:Y24),0),"OK","ERROR")</f>
        <v>OK</v>
      </c>
      <c r="AA134" s="228"/>
      <c r="AB134" s="217"/>
      <c r="AC134" s="217"/>
      <c r="AD134" s="217"/>
      <c r="AE134" s="217"/>
      <c r="AF134" s="226" t="str">
        <f>IF(ROUND(CF!AF24,0)=ROUND(SUM(CF!AB24:AE24),0),"OK","ERROR")</f>
        <v>OK</v>
      </c>
      <c r="AG134" s="229"/>
      <c r="AH134" s="217"/>
      <c r="AI134" s="217"/>
      <c r="AJ134" s="212"/>
      <c r="AK134" s="212"/>
      <c r="AL134" s="226" t="str">
        <f>IF(ROUND(CF!AL24,0)=ROUND(SUM(CF!AH24:AK24),0),"OK","ERROR")</f>
        <v>ERROR</v>
      </c>
      <c r="AM134" s="230"/>
      <c r="AN134" s="212"/>
      <c r="AO134" s="212"/>
      <c r="AP134" s="212"/>
      <c r="AQ134" s="212"/>
      <c r="AR134" s="226" t="str">
        <f>IF(ROUND(CF!AR24,0)=ROUND(SUM(CF!AN24:AQ24),0),"OK","ERROR")</f>
        <v>OK</v>
      </c>
      <c r="AS134" s="230"/>
      <c r="AT134" s="226" t="str">
        <f>IF(ROUND(CF!AT24,0)=ROUND(SUM(CF!AP24:AS24),0),"OK","ERROR")</f>
        <v>OK</v>
      </c>
      <c r="AU134" s="230"/>
      <c r="AV134" s="226" t="str">
        <f>IF(ROUND(CF!AV24,0)=ROUND(SUM(CF!AR24:AU24),0),"OK","ERROR")</f>
        <v>OK</v>
      </c>
      <c r="AW134" s="246"/>
      <c r="AX134" s="226" t="str">
        <f>IF(ROUND(CF!AX24,0)=ROUND(SUM(CF!AT24:AW24),0),"OK","ERROR")</f>
        <v>OK</v>
      </c>
    </row>
    <row r="135" spans="1:50" s="54" customFormat="1" ht="15" customHeight="1" thickBot="1" x14ac:dyDescent="0.3">
      <c r="A135" s="84"/>
      <c r="B135" s="157" t="s">
        <v>798</v>
      </c>
      <c r="C135" s="26"/>
      <c r="D135" s="217"/>
      <c r="E135" s="217"/>
      <c r="F135" s="217"/>
      <c r="G135" s="217"/>
      <c r="H135" s="237" t="str">
        <f>IF(ROUND(CF!H25,0)=ROUND(SUM(CF!D25:G25),0),"OK","ERROR")</f>
        <v>OK</v>
      </c>
      <c r="I135" s="210"/>
      <c r="J135" s="217"/>
      <c r="K135" s="217"/>
      <c r="L135" s="217"/>
      <c r="M135" s="217"/>
      <c r="N135" s="237" t="str">
        <f>IF(ROUND(CF!N25,0)=ROUND(SUM(CF!J25:M25),0),"OK","ERROR")</f>
        <v>OK</v>
      </c>
      <c r="O135" s="210"/>
      <c r="P135" s="217"/>
      <c r="Q135" s="217"/>
      <c r="R135" s="217"/>
      <c r="S135" s="217"/>
      <c r="T135" s="237" t="str">
        <f>IF(ROUND(CF!T25,0)=ROUND(SUM(CF!P25:S25),0),"OK","ERROR")</f>
        <v>OK</v>
      </c>
      <c r="U135" s="210"/>
      <c r="V135" s="217"/>
      <c r="W135" s="217"/>
      <c r="X135" s="217"/>
      <c r="Y135" s="217"/>
      <c r="Z135" s="237" t="str">
        <f>IF(ROUND(CF!Z25,0)=ROUND(SUM(CF!V25:Y25),0),"OK","ERROR")</f>
        <v>OK</v>
      </c>
      <c r="AA135" s="228"/>
      <c r="AB135" s="217"/>
      <c r="AC135" s="217"/>
      <c r="AD135" s="217"/>
      <c r="AE135" s="217"/>
      <c r="AF135" s="237" t="str">
        <f>IF(ROUND(CF!AF25,0)=ROUND(SUM(CF!AB25:AE25),0),"OK","ERROR")</f>
        <v>OK</v>
      </c>
      <c r="AG135" s="229"/>
      <c r="AH135" s="217"/>
      <c r="AI135" s="217"/>
      <c r="AJ135" s="212"/>
      <c r="AK135" s="212"/>
      <c r="AL135" s="237" t="str">
        <f>IF(ROUND(CF!AL25,0)=ROUND(SUM(CF!AH25:AK25),0),"OK","ERROR")</f>
        <v>ERROR</v>
      </c>
      <c r="AM135" s="230"/>
      <c r="AN135" s="212"/>
      <c r="AO135" s="212"/>
      <c r="AP135" s="212"/>
      <c r="AQ135" s="212"/>
      <c r="AR135" s="237" t="str">
        <f>IF(ROUND(CF!AR25,0)=ROUND(SUM(CF!AN25:AQ25),0),"OK","ERROR")</f>
        <v>OK</v>
      </c>
      <c r="AS135" s="230"/>
      <c r="AT135" s="237" t="str">
        <f>IF(ROUND(CF!AT25,0)=ROUND(SUM(CF!AP25:AS25),0),"OK","ERROR")</f>
        <v>OK</v>
      </c>
      <c r="AU135" s="230"/>
      <c r="AV135" s="237" t="str">
        <f>IF(ROUND(CF!AV25,0)=ROUND(SUM(CF!AR25:AU25),0),"OK","ERROR")</f>
        <v>OK</v>
      </c>
      <c r="AW135" s="246"/>
      <c r="AX135" s="237" t="str">
        <f>IF(ROUND(CF!AX25,0)=ROUND(SUM(CF!AT25:AW25),0),"OK","ERROR")</f>
        <v>OK</v>
      </c>
    </row>
    <row r="136" spans="1:50" s="54" customFormat="1" ht="15" customHeight="1" thickTop="1" x14ac:dyDescent="0.3">
      <c r="A136" s="43"/>
      <c r="B136" s="154"/>
      <c r="C136" s="17"/>
      <c r="D136" s="208"/>
      <c r="E136" s="208"/>
      <c r="F136" s="208"/>
      <c r="G136" s="208"/>
      <c r="H136" s="220"/>
      <c r="I136" s="210"/>
      <c r="J136" s="208"/>
      <c r="K136" s="208"/>
      <c r="L136" s="208"/>
      <c r="M136" s="208"/>
      <c r="N136" s="220"/>
      <c r="O136" s="210"/>
      <c r="P136" s="208"/>
      <c r="Q136" s="208"/>
      <c r="R136" s="208"/>
      <c r="S136" s="208"/>
      <c r="T136" s="220"/>
      <c r="U136" s="210"/>
      <c r="V136" s="208"/>
      <c r="W136" s="208"/>
      <c r="X136" s="208"/>
      <c r="Y136" s="208"/>
      <c r="Z136" s="220"/>
      <c r="AA136" s="213"/>
      <c r="AB136" s="208"/>
      <c r="AC136" s="208"/>
      <c r="AD136" s="208"/>
      <c r="AE136" s="208"/>
      <c r="AF136" s="220"/>
      <c r="AG136" s="211"/>
      <c r="AH136" s="208"/>
      <c r="AI136" s="208"/>
      <c r="AJ136" s="212"/>
      <c r="AK136" s="212"/>
      <c r="AL136" s="220"/>
      <c r="AM136" s="225"/>
      <c r="AN136" s="212"/>
      <c r="AO136" s="212"/>
      <c r="AP136" s="212"/>
      <c r="AQ136" s="212"/>
      <c r="AR136" s="220"/>
      <c r="AS136" s="225"/>
      <c r="AT136" s="220"/>
      <c r="AU136" s="225"/>
      <c r="AV136" s="220"/>
      <c r="AW136" s="246"/>
      <c r="AX136" s="220"/>
    </row>
    <row r="137" spans="1:50" s="54" customFormat="1" ht="15" customHeight="1" x14ac:dyDescent="0.25">
      <c r="A137" s="44" t="s">
        <v>70</v>
      </c>
      <c r="B137" s="158" t="s">
        <v>799</v>
      </c>
      <c r="C137" s="115"/>
      <c r="D137" s="208"/>
      <c r="E137" s="208"/>
      <c r="F137" s="208"/>
      <c r="G137" s="208"/>
      <c r="H137" s="220"/>
      <c r="I137" s="210"/>
      <c r="J137" s="208"/>
      <c r="K137" s="208"/>
      <c r="L137" s="208"/>
      <c r="M137" s="208"/>
      <c r="N137" s="220"/>
      <c r="O137" s="210"/>
      <c r="P137" s="208"/>
      <c r="Q137" s="208"/>
      <c r="R137" s="208"/>
      <c r="S137" s="208"/>
      <c r="T137" s="220"/>
      <c r="U137" s="210"/>
      <c r="V137" s="208"/>
      <c r="W137" s="208"/>
      <c r="X137" s="208"/>
      <c r="Y137" s="208"/>
      <c r="Z137" s="220"/>
      <c r="AA137" s="228"/>
      <c r="AB137" s="208"/>
      <c r="AC137" s="208"/>
      <c r="AD137" s="208"/>
      <c r="AE137" s="208"/>
      <c r="AF137" s="220"/>
      <c r="AG137" s="229"/>
      <c r="AH137" s="208"/>
      <c r="AI137" s="208"/>
      <c r="AJ137" s="212"/>
      <c r="AK137" s="212"/>
      <c r="AL137" s="220"/>
      <c r="AM137" s="230"/>
      <c r="AN137" s="212"/>
      <c r="AO137" s="212"/>
      <c r="AP137" s="212"/>
      <c r="AQ137" s="212"/>
      <c r="AR137" s="220"/>
      <c r="AS137" s="230"/>
      <c r="AT137" s="220"/>
      <c r="AU137" s="230"/>
      <c r="AV137" s="220"/>
      <c r="AW137" s="246"/>
      <c r="AX137" s="220"/>
    </row>
    <row r="138" spans="1:50" s="54" customFormat="1" ht="15" customHeight="1" x14ac:dyDescent="0.3">
      <c r="A138" s="43"/>
      <c r="B138" s="159" t="s">
        <v>800</v>
      </c>
      <c r="C138" s="17"/>
      <c r="D138" s="217"/>
      <c r="E138" s="217"/>
      <c r="F138" s="217"/>
      <c r="G138" s="217"/>
      <c r="H138" s="220" t="str">
        <f>IF(ROUND(CF!H28,0)=ROUND(SUM(CF!D28:G28),0),"OK","ERROR")</f>
        <v>OK</v>
      </c>
      <c r="I138" s="210"/>
      <c r="J138" s="217"/>
      <c r="K138" s="217"/>
      <c r="L138" s="217"/>
      <c r="M138" s="217"/>
      <c r="N138" s="220" t="str">
        <f>IF(ROUND(CF!N28,0)=ROUND(SUM(CF!J28:M28),0),"OK","ERROR")</f>
        <v>OK</v>
      </c>
      <c r="O138" s="210"/>
      <c r="P138" s="217"/>
      <c r="Q138" s="217"/>
      <c r="R138" s="217"/>
      <c r="S138" s="217"/>
      <c r="T138" s="220" t="str">
        <f>IF(ROUND(CF!T28,0)=ROUND(SUM(CF!P28:S28),0),"OK","ERROR")</f>
        <v>OK</v>
      </c>
      <c r="U138" s="210"/>
      <c r="V138" s="217"/>
      <c r="W138" s="217"/>
      <c r="X138" s="217"/>
      <c r="Y138" s="217"/>
      <c r="Z138" s="220" t="str">
        <f>IF(ROUND(CF!Z28,0)=ROUND(SUM(CF!V28:Y28),0),"OK","ERROR")</f>
        <v>OK</v>
      </c>
      <c r="AA138" s="213"/>
      <c r="AB138" s="217"/>
      <c r="AC138" s="217"/>
      <c r="AD138" s="217"/>
      <c r="AE138" s="217"/>
      <c r="AF138" s="220" t="str">
        <f>IF(ROUND(CF!AF28,0)=ROUND(SUM(CF!AB28:AE28),0),"OK","ERROR")</f>
        <v>OK</v>
      </c>
      <c r="AG138" s="211"/>
      <c r="AH138" s="217"/>
      <c r="AI138" s="217"/>
      <c r="AJ138" s="212"/>
      <c r="AK138" s="212"/>
      <c r="AL138" s="220" t="str">
        <f>IF(ROUND(CF!AL28,0)=ROUND(SUM(CF!AH28:AK28),0),"OK","ERROR")</f>
        <v>ERROR</v>
      </c>
      <c r="AM138" s="225"/>
      <c r="AN138" s="212"/>
      <c r="AO138" s="212"/>
      <c r="AP138" s="212"/>
      <c r="AQ138" s="212"/>
      <c r="AR138" s="220" t="str">
        <f>IF(ROUND(CF!AR28,0)=ROUND(SUM(CF!AN28:AQ28),0),"OK","ERROR")</f>
        <v>OK</v>
      </c>
      <c r="AS138" s="225"/>
      <c r="AT138" s="220" t="str">
        <f>IF(ROUND(CF!AT28,0)=ROUND(SUM(CF!AP28:AS28),0),"OK","ERROR")</f>
        <v>OK</v>
      </c>
      <c r="AU138" s="225"/>
      <c r="AV138" s="220" t="str">
        <f>IF(ROUND(CF!AV28,0)=ROUND(SUM(CF!AR28:AU28),0),"OK","ERROR")</f>
        <v>OK</v>
      </c>
      <c r="AW138" s="246"/>
      <c r="AX138" s="220" t="str">
        <f>IF(ROUND(CF!AX28,0)=ROUND(SUM(CF!AT28:AW28),0),"OK","ERROR")</f>
        <v>OK</v>
      </c>
    </row>
    <row r="139" spans="1:50" s="54" customFormat="1" ht="15" customHeight="1" x14ac:dyDescent="0.25">
      <c r="A139" s="113"/>
      <c r="B139" s="159" t="s">
        <v>801</v>
      </c>
      <c r="C139" s="115"/>
      <c r="D139" s="217"/>
      <c r="E139" s="217"/>
      <c r="F139" s="217"/>
      <c r="G139" s="217"/>
      <c r="H139" s="220" t="str">
        <f>IF(ROUND(CF!H29,0)=ROUND(SUM(CF!D29:G29),0),"OK","ERROR")</f>
        <v>OK</v>
      </c>
      <c r="I139" s="210"/>
      <c r="J139" s="217"/>
      <c r="K139" s="217"/>
      <c r="L139" s="217"/>
      <c r="M139" s="217"/>
      <c r="N139" s="220" t="str">
        <f>IF(ROUND(CF!N29,0)=ROUND(SUM(CF!J29:M29),0),"OK","ERROR")</f>
        <v>OK</v>
      </c>
      <c r="O139" s="210"/>
      <c r="P139" s="217"/>
      <c r="Q139" s="217"/>
      <c r="R139" s="217"/>
      <c r="S139" s="217"/>
      <c r="T139" s="220" t="str">
        <f>IF(ROUND(CF!T29,0)=ROUND(SUM(CF!P29:S29),0),"OK","ERROR")</f>
        <v>OK</v>
      </c>
      <c r="U139" s="210"/>
      <c r="V139" s="217"/>
      <c r="W139" s="217"/>
      <c r="X139" s="217"/>
      <c r="Y139" s="217"/>
      <c r="Z139" s="220" t="str">
        <f>IF(ROUND(CF!Z29,0)=ROUND(SUM(CF!V29:Y29),0),"OK","ERROR")</f>
        <v>OK</v>
      </c>
      <c r="AA139" s="228"/>
      <c r="AB139" s="217"/>
      <c r="AC139" s="217"/>
      <c r="AD139" s="217"/>
      <c r="AE139" s="217"/>
      <c r="AF139" s="220" t="str">
        <f>IF(ROUND(CF!AF29,0)=ROUND(SUM(CF!AB29:AE29),0),"OK","ERROR")</f>
        <v>OK</v>
      </c>
      <c r="AG139" s="229"/>
      <c r="AH139" s="217"/>
      <c r="AI139" s="217"/>
      <c r="AJ139" s="212"/>
      <c r="AK139" s="212"/>
      <c r="AL139" s="220" t="str">
        <f>IF(ROUND(CF!AL29,0)=ROUND(SUM(CF!AH29:AK29),0),"OK","ERROR")</f>
        <v>ERROR</v>
      </c>
      <c r="AM139" s="230"/>
      <c r="AN139" s="212"/>
      <c r="AO139" s="212"/>
      <c r="AP139" s="212"/>
      <c r="AQ139" s="212"/>
      <c r="AR139" s="220" t="str">
        <f>IF(ROUND(CF!AR29,0)=ROUND(SUM(CF!AN29:AQ29),0),"OK","ERROR")</f>
        <v>OK</v>
      </c>
      <c r="AS139" s="230"/>
      <c r="AT139" s="220" t="str">
        <f>IF(ROUND(CF!AT29,0)=ROUND(SUM(CF!AP29:AS29),0),"OK","ERROR")</f>
        <v>OK</v>
      </c>
      <c r="AU139" s="230"/>
      <c r="AV139" s="220" t="str">
        <f>IF(ROUND(CF!AV29,0)=ROUND(SUM(CF!AR29:AU29),0),"OK","ERROR")</f>
        <v>OK</v>
      </c>
      <c r="AW139" s="246"/>
      <c r="AX139" s="220" t="str">
        <f>IF(ROUND(CF!AX29,0)=ROUND(SUM(CF!AT29:AW29),0),"OK","ERROR")</f>
        <v>OK</v>
      </c>
    </row>
    <row r="140" spans="1:50" s="54" customFormat="1" ht="15" customHeight="1" x14ac:dyDescent="0.3">
      <c r="A140" s="43"/>
      <c r="B140" s="159" t="s">
        <v>802</v>
      </c>
      <c r="C140" s="17"/>
      <c r="D140" s="217"/>
      <c r="E140" s="217"/>
      <c r="F140" s="217"/>
      <c r="G140" s="217"/>
      <c r="H140" s="220" t="str">
        <f>IF(ROUND(CF!H30,0)=ROUND(SUM(CF!D30:G30),0),"OK","ERROR")</f>
        <v>OK</v>
      </c>
      <c r="I140" s="210"/>
      <c r="J140" s="217"/>
      <c r="K140" s="217"/>
      <c r="L140" s="217"/>
      <c r="M140" s="217"/>
      <c r="N140" s="220" t="str">
        <f>IF(ROUND(CF!N30,0)=ROUND(SUM(CF!J30:M30),0),"OK","ERROR")</f>
        <v>OK</v>
      </c>
      <c r="O140" s="210"/>
      <c r="P140" s="217"/>
      <c r="Q140" s="217"/>
      <c r="R140" s="217"/>
      <c r="S140" s="217"/>
      <c r="T140" s="220" t="str">
        <f>IF(ROUND(CF!T30,0)=ROUND(SUM(CF!P30:S30),0),"OK","ERROR")</f>
        <v>OK</v>
      </c>
      <c r="U140" s="210"/>
      <c r="V140" s="217"/>
      <c r="W140" s="217"/>
      <c r="X140" s="217"/>
      <c r="Y140" s="217"/>
      <c r="Z140" s="220" t="str">
        <f>IF(ROUND(CF!Z30,0)=ROUND(SUM(CF!V30:Y30),0),"OK","ERROR")</f>
        <v>OK</v>
      </c>
      <c r="AA140" s="213"/>
      <c r="AB140" s="217"/>
      <c r="AC140" s="217"/>
      <c r="AD140" s="217"/>
      <c r="AE140" s="217"/>
      <c r="AF140" s="220" t="str">
        <f>IF(ROUND(CF!AF30,0)=ROUND(SUM(CF!AB30:AE30),0),"OK","ERROR")</f>
        <v>OK</v>
      </c>
      <c r="AG140" s="211"/>
      <c r="AH140" s="217"/>
      <c r="AI140" s="217"/>
      <c r="AJ140" s="212"/>
      <c r="AK140" s="212"/>
      <c r="AL140" s="220" t="str">
        <f>IF(ROUND(CF!AL30,0)=ROUND(SUM(CF!AH30:AK30),0),"OK","ERROR")</f>
        <v>OK</v>
      </c>
      <c r="AM140" s="225"/>
      <c r="AN140" s="212"/>
      <c r="AO140" s="212"/>
      <c r="AP140" s="212"/>
      <c r="AQ140" s="212"/>
      <c r="AR140" s="220" t="str">
        <f>IF(ROUND(CF!AR30,0)=ROUND(SUM(CF!AN30:AQ30),0),"OK","ERROR")</f>
        <v>OK</v>
      </c>
      <c r="AS140" s="225"/>
      <c r="AT140" s="220" t="str">
        <f>IF(ROUND(CF!AT30,0)=ROUND(SUM(CF!AP30:AS30),0),"OK","ERROR")</f>
        <v>OK</v>
      </c>
      <c r="AU140" s="225"/>
      <c r="AV140" s="220" t="str">
        <f>IF(ROUND(CF!AV30,0)=ROUND(SUM(CF!AR30:AU30),0),"OK","ERROR")</f>
        <v>OK</v>
      </c>
      <c r="AW140" s="246"/>
      <c r="AX140" s="220" t="str">
        <f>IF(ROUND(CF!AX30,0)=ROUND(SUM(CF!AT30:AW30),0),"OK","ERROR")</f>
        <v>OK</v>
      </c>
    </row>
    <row r="141" spans="1:50" s="54" customFormat="1" ht="15" customHeight="1" x14ac:dyDescent="0.25">
      <c r="A141" s="113"/>
      <c r="B141" s="159" t="s">
        <v>803</v>
      </c>
      <c r="C141" s="115"/>
      <c r="D141" s="217"/>
      <c r="E141" s="217"/>
      <c r="F141" s="217"/>
      <c r="G141" s="217"/>
      <c r="H141" s="220" t="str">
        <f>IF(ROUND(CF!H31,0)=ROUND(SUM(CF!D31:G31),0),"OK","ERROR")</f>
        <v>OK</v>
      </c>
      <c r="I141" s="210"/>
      <c r="J141" s="217"/>
      <c r="K141" s="217"/>
      <c r="L141" s="217"/>
      <c r="M141" s="217"/>
      <c r="N141" s="220" t="str">
        <f>IF(ROUND(CF!N31,0)=ROUND(SUM(CF!J31:M31),0),"OK","ERROR")</f>
        <v>OK</v>
      </c>
      <c r="O141" s="210"/>
      <c r="P141" s="217"/>
      <c r="Q141" s="217"/>
      <c r="R141" s="217"/>
      <c r="S141" s="217"/>
      <c r="T141" s="220" t="str">
        <f>IF(ROUND(CF!T31,0)=ROUND(SUM(CF!P31:S31),0),"OK","ERROR")</f>
        <v>OK</v>
      </c>
      <c r="U141" s="210"/>
      <c r="V141" s="217"/>
      <c r="W141" s="217"/>
      <c r="X141" s="217"/>
      <c r="Y141" s="217"/>
      <c r="Z141" s="220" t="str">
        <f>IF(ROUND(CF!Z31,0)=ROUND(SUM(CF!V31:Y31),0),"OK","ERROR")</f>
        <v>OK</v>
      </c>
      <c r="AA141" s="228"/>
      <c r="AB141" s="217"/>
      <c r="AC141" s="217"/>
      <c r="AD141" s="217"/>
      <c r="AE141" s="217"/>
      <c r="AF141" s="220" t="str">
        <f>IF(ROUND(CF!AF31,0)=ROUND(SUM(CF!AB31:AE31),0),"OK","ERROR")</f>
        <v>OK</v>
      </c>
      <c r="AG141" s="229"/>
      <c r="AH141" s="217"/>
      <c r="AI141" s="217"/>
      <c r="AJ141" s="212"/>
      <c r="AK141" s="212"/>
      <c r="AL141" s="220" t="str">
        <f>IF(ROUND(CF!AL31,0)=ROUND(SUM(CF!AH31:AK31),0),"OK","ERROR")</f>
        <v>OK</v>
      </c>
      <c r="AM141" s="234"/>
      <c r="AN141" s="212"/>
      <c r="AO141" s="212"/>
      <c r="AP141" s="212"/>
      <c r="AQ141" s="212"/>
      <c r="AR141" s="220" t="str">
        <f>IF(ROUND(CF!AR31,0)=ROUND(SUM(CF!AN31:AQ31),0),"OK","ERROR")</f>
        <v>OK</v>
      </c>
      <c r="AS141" s="234"/>
      <c r="AT141" s="220" t="str">
        <f>IF(ROUND(CF!AT31,0)=ROUND(SUM(CF!AP31:AS31),0),"OK","ERROR")</f>
        <v>OK</v>
      </c>
      <c r="AU141" s="234"/>
      <c r="AV141" s="220" t="str">
        <f>IF(ROUND(CF!AV31,0)=ROUND(SUM(CF!AR31:AU31),0),"OK","ERROR")</f>
        <v>OK</v>
      </c>
      <c r="AW141" s="246"/>
      <c r="AX141" s="220" t="str">
        <f>IF(ROUND(CF!AX31,0)=ROUND(SUM(CF!AT31:AW31),0),"OK","ERROR")</f>
        <v>OK</v>
      </c>
    </row>
    <row r="142" spans="1:50" s="54" customFormat="1" ht="15" customHeight="1" x14ac:dyDescent="0.25">
      <c r="A142" s="113"/>
      <c r="B142" s="159" t="s">
        <v>804</v>
      </c>
      <c r="C142" s="115"/>
      <c r="D142" s="217"/>
      <c r="E142" s="217"/>
      <c r="F142" s="217"/>
      <c r="G142" s="217"/>
      <c r="H142" s="220" t="str">
        <f>IF(ROUND(CF!H32,0)=ROUND(SUM(CF!D32:G32),0),"OK","ERROR")</f>
        <v>OK</v>
      </c>
      <c r="I142" s="210"/>
      <c r="J142" s="217"/>
      <c r="K142" s="217"/>
      <c r="L142" s="217"/>
      <c r="M142" s="217"/>
      <c r="N142" s="220" t="str">
        <f>IF(ROUND(CF!N32,0)=ROUND(SUM(CF!J32:M32),0),"OK","ERROR")</f>
        <v>OK</v>
      </c>
      <c r="O142" s="210"/>
      <c r="P142" s="217"/>
      <c r="Q142" s="217"/>
      <c r="R142" s="217"/>
      <c r="S142" s="217"/>
      <c r="T142" s="220" t="str">
        <f>IF(ROUND(CF!T32,0)=ROUND(SUM(CF!P32:S32),0),"OK","ERROR")</f>
        <v>OK</v>
      </c>
      <c r="U142" s="210"/>
      <c r="V142" s="217"/>
      <c r="W142" s="217"/>
      <c r="X142" s="217"/>
      <c r="Y142" s="217"/>
      <c r="Z142" s="220" t="str">
        <f>IF(ROUND(CF!Z32,0)=ROUND(SUM(CF!V32:Y32),0),"OK","ERROR")</f>
        <v>OK</v>
      </c>
      <c r="AA142" s="228"/>
      <c r="AB142" s="217"/>
      <c r="AC142" s="217"/>
      <c r="AD142" s="217"/>
      <c r="AE142" s="217"/>
      <c r="AF142" s="220" t="str">
        <f>IF(ROUND(CF!AF32,0)=ROUND(SUM(CF!AB32:AE32),0),"OK","ERROR")</f>
        <v>OK</v>
      </c>
      <c r="AG142" s="229"/>
      <c r="AH142" s="217"/>
      <c r="AI142" s="217"/>
      <c r="AJ142" s="212"/>
      <c r="AK142" s="212"/>
      <c r="AL142" s="220" t="str">
        <f>IF(ROUND(CF!AL32,0)=ROUND(SUM(CF!AH32:AK32),0),"OK","ERROR")</f>
        <v>OK</v>
      </c>
      <c r="AM142" s="234"/>
      <c r="AN142" s="212"/>
      <c r="AO142" s="212"/>
      <c r="AP142" s="212"/>
      <c r="AQ142" s="212"/>
      <c r="AR142" s="220" t="str">
        <f>IF(ROUND(CF!AR32,0)=ROUND(SUM(CF!AN32:AQ32),0),"OK","ERROR")</f>
        <v>OK</v>
      </c>
      <c r="AS142" s="234"/>
      <c r="AT142" s="220" t="str">
        <f>IF(ROUND(CF!AT32,0)=ROUND(SUM(CF!AP32:AS32),0),"OK","ERROR")</f>
        <v>OK</v>
      </c>
      <c r="AU142" s="234"/>
      <c r="AV142" s="220" t="str">
        <f>IF(ROUND(CF!AV32,0)=ROUND(SUM(CF!AR32:AU32),0),"OK","ERROR")</f>
        <v>OK</v>
      </c>
      <c r="AW142" s="246"/>
      <c r="AX142" s="220" t="str">
        <f>IF(ROUND(CF!AX32,0)=ROUND(SUM(CF!AT32:AW32),0),"OK","ERROR")</f>
        <v>OK</v>
      </c>
    </row>
    <row r="143" spans="1:50" s="54" customFormat="1" ht="15" customHeight="1" x14ac:dyDescent="0.3">
      <c r="A143" s="113"/>
      <c r="B143" s="159" t="s">
        <v>805</v>
      </c>
      <c r="C143" s="17"/>
      <c r="D143" s="217"/>
      <c r="E143" s="217"/>
      <c r="F143" s="217"/>
      <c r="G143" s="217"/>
      <c r="H143" s="220" t="str">
        <f>IF(ROUND(CF!H33,0)=ROUND(SUM(CF!D33:G33),0),"OK","ERROR")</f>
        <v>OK</v>
      </c>
      <c r="I143" s="210"/>
      <c r="J143" s="217"/>
      <c r="K143" s="217"/>
      <c r="L143" s="217"/>
      <c r="M143" s="217"/>
      <c r="N143" s="220" t="str">
        <f>IF(ROUND(CF!N33,0)=ROUND(SUM(CF!J33:M33),0),"OK","ERROR")</f>
        <v>OK</v>
      </c>
      <c r="O143" s="210"/>
      <c r="P143" s="217"/>
      <c r="Q143" s="217"/>
      <c r="R143" s="217"/>
      <c r="S143" s="217"/>
      <c r="T143" s="220" t="str">
        <f>IF(ROUND(CF!T33,0)=ROUND(SUM(CF!P33:S33),0),"OK","ERROR")</f>
        <v>OK</v>
      </c>
      <c r="U143" s="210"/>
      <c r="V143" s="217"/>
      <c r="W143" s="217"/>
      <c r="X143" s="217"/>
      <c r="Y143" s="217"/>
      <c r="Z143" s="220" t="str">
        <f>IF(ROUND(CF!Z33,0)=ROUND(SUM(CF!V33:Y33),0),"OK","ERROR")</f>
        <v>OK</v>
      </c>
      <c r="AA143" s="213"/>
      <c r="AB143" s="217"/>
      <c r="AC143" s="217"/>
      <c r="AD143" s="217"/>
      <c r="AE143" s="217"/>
      <c r="AF143" s="220" t="str">
        <f>IF(ROUND(CF!AF33,0)=ROUND(SUM(CF!AB33:AE33),0),"OK","ERROR")</f>
        <v>OK</v>
      </c>
      <c r="AG143" s="211"/>
      <c r="AH143" s="217"/>
      <c r="AI143" s="217"/>
      <c r="AJ143" s="212"/>
      <c r="AK143" s="212"/>
      <c r="AL143" s="220" t="str">
        <f>IF(ROUND(CF!AL33,0)=ROUND(SUM(CF!AH33:AK33),0),"OK","ERROR")</f>
        <v>ERROR</v>
      </c>
      <c r="AM143" s="225"/>
      <c r="AN143" s="212"/>
      <c r="AO143" s="212"/>
      <c r="AP143" s="212"/>
      <c r="AQ143" s="212"/>
      <c r="AR143" s="220" t="str">
        <f>IF(ROUND(CF!AR33,0)=ROUND(SUM(CF!AN33:AQ33),0),"OK","ERROR")</f>
        <v>OK</v>
      </c>
      <c r="AS143" s="225"/>
      <c r="AT143" s="220" t="str">
        <f>IF(ROUND(CF!AT33,0)=ROUND(SUM(CF!AP33:AS33),0),"OK","ERROR")</f>
        <v>OK</v>
      </c>
      <c r="AU143" s="225"/>
      <c r="AV143" s="220" t="str">
        <f>IF(ROUND(CF!AV33,0)=ROUND(SUM(CF!AR33:AU33),0),"OK","ERROR")</f>
        <v>OK</v>
      </c>
      <c r="AW143" s="246"/>
      <c r="AX143" s="220" t="str">
        <f>IF(ROUND(CF!AX33,0)=ROUND(SUM(CF!AT33:AW33),0),"OK","ERROR")</f>
        <v>OK</v>
      </c>
    </row>
    <row r="144" spans="1:50" s="54" customFormat="1" ht="15" customHeight="1" x14ac:dyDescent="0.3">
      <c r="A144" s="43"/>
      <c r="B144" s="159" t="s">
        <v>806</v>
      </c>
      <c r="C144" s="17"/>
      <c r="D144" s="217"/>
      <c r="E144" s="217"/>
      <c r="F144" s="217"/>
      <c r="G144" s="217"/>
      <c r="H144" s="220" t="str">
        <f>IF(ROUND(CF!H34,0)=ROUND(SUM(CF!D34:G34),0),"OK","ERROR")</f>
        <v>OK</v>
      </c>
      <c r="I144" s="210"/>
      <c r="J144" s="217"/>
      <c r="K144" s="217"/>
      <c r="L144" s="217"/>
      <c r="M144" s="217"/>
      <c r="N144" s="220" t="str">
        <f>IF(ROUND(CF!N34,0)=ROUND(SUM(CF!J34:M34),0),"OK","ERROR")</f>
        <v>OK</v>
      </c>
      <c r="O144" s="210"/>
      <c r="P144" s="217"/>
      <c r="Q144" s="217"/>
      <c r="R144" s="217"/>
      <c r="S144" s="217"/>
      <c r="T144" s="220" t="str">
        <f>IF(ROUND(CF!T34,0)=ROUND(SUM(CF!P34:S34),0),"OK","ERROR")</f>
        <v>OK</v>
      </c>
      <c r="U144" s="210"/>
      <c r="V144" s="217"/>
      <c r="W144" s="217"/>
      <c r="X144" s="217"/>
      <c r="Y144" s="217"/>
      <c r="Z144" s="220" t="str">
        <f>IF(ROUND(CF!Z34,0)=ROUND(SUM(CF!V34:Y34),0),"OK","ERROR")</f>
        <v>OK</v>
      </c>
      <c r="AA144" s="213"/>
      <c r="AB144" s="217"/>
      <c r="AC144" s="217"/>
      <c r="AD144" s="217"/>
      <c r="AE144" s="217"/>
      <c r="AF144" s="220" t="str">
        <f>IF(ROUND(CF!AF34,0)=ROUND(SUM(CF!AB34:AE34),0),"OK","ERROR")</f>
        <v>OK</v>
      </c>
      <c r="AG144" s="211"/>
      <c r="AH144" s="217"/>
      <c r="AI144" s="217"/>
      <c r="AJ144" s="212"/>
      <c r="AK144" s="212"/>
      <c r="AL144" s="220" t="str">
        <f>IF(ROUND(CF!AL34,0)=ROUND(SUM(CF!AH34:AK34),0),"OK","ERROR")</f>
        <v>ERROR</v>
      </c>
      <c r="AM144" s="225"/>
      <c r="AN144" s="212"/>
      <c r="AO144" s="212"/>
      <c r="AP144" s="212"/>
      <c r="AQ144" s="212"/>
      <c r="AR144" s="220" t="str">
        <f>IF(ROUND(CF!AR34,0)=ROUND(SUM(CF!AN34:AQ34),0),"OK","ERROR")</f>
        <v>OK</v>
      </c>
      <c r="AS144" s="225"/>
      <c r="AT144" s="220" t="str">
        <f>IF(ROUND(CF!AT34,0)=ROUND(SUM(CF!AP34:AS34),0),"OK","ERROR")</f>
        <v>OK</v>
      </c>
      <c r="AU144" s="225"/>
      <c r="AV144" s="220" t="str">
        <f>IF(ROUND(CF!AV34,0)=ROUND(SUM(CF!AR34:AU34),0),"OK","ERROR")</f>
        <v>OK</v>
      </c>
      <c r="AW144" s="246"/>
      <c r="AX144" s="220" t="str">
        <f>IF(ROUND(CF!AX34,0)=ROUND(SUM(CF!AT34:AW34),0),"OK","ERROR")</f>
        <v>OK</v>
      </c>
    </row>
    <row r="145" spans="1:50" s="54" customFormat="1" ht="15" customHeight="1" x14ac:dyDescent="0.25">
      <c r="B145" s="159" t="s">
        <v>807</v>
      </c>
      <c r="C145" s="115"/>
      <c r="D145" s="217"/>
      <c r="E145" s="217"/>
      <c r="F145" s="217"/>
      <c r="G145" s="217"/>
      <c r="H145" s="226" t="str">
        <f>IF(ROUND(CF!H35,0)=ROUND(SUM(CF!D35:G35),0),"OK","ERROR")</f>
        <v>OK</v>
      </c>
      <c r="I145" s="210"/>
      <c r="J145" s="217"/>
      <c r="K145" s="217"/>
      <c r="L145" s="217"/>
      <c r="M145" s="217"/>
      <c r="N145" s="226" t="str">
        <f>IF(ROUND(CF!N35,0)=ROUND(SUM(CF!J35:M35),0),"OK","ERROR")</f>
        <v>OK</v>
      </c>
      <c r="O145" s="210"/>
      <c r="P145" s="217"/>
      <c r="Q145" s="217"/>
      <c r="R145" s="217"/>
      <c r="S145" s="217"/>
      <c r="T145" s="226" t="str">
        <f>IF(ROUND(CF!T35,0)=ROUND(SUM(CF!P35:S35),0),"OK","ERROR")</f>
        <v>OK</v>
      </c>
      <c r="U145" s="210"/>
      <c r="V145" s="217"/>
      <c r="W145" s="217"/>
      <c r="X145" s="217"/>
      <c r="Y145" s="217"/>
      <c r="Z145" s="226" t="str">
        <f>IF(ROUND(CF!Z35,0)=ROUND(SUM(CF!V35:Y35),0),"OK","ERROR")</f>
        <v>OK</v>
      </c>
      <c r="AA145" s="228"/>
      <c r="AB145" s="217"/>
      <c r="AC145" s="217"/>
      <c r="AD145" s="217"/>
      <c r="AE145" s="217"/>
      <c r="AF145" s="226" t="str">
        <f>IF(ROUND(CF!AF35,0)=ROUND(SUM(CF!AB35:AE35),0),"OK","ERROR")</f>
        <v>OK</v>
      </c>
      <c r="AG145" s="229"/>
      <c r="AH145" s="217"/>
      <c r="AI145" s="217"/>
      <c r="AJ145" s="212"/>
      <c r="AK145" s="212"/>
      <c r="AL145" s="226" t="str">
        <f>IF(ROUND(CF!AL35,0)=ROUND(SUM(CF!AH35:AK35),0),"OK","ERROR")</f>
        <v>ERROR</v>
      </c>
      <c r="AM145" s="230"/>
      <c r="AN145" s="212"/>
      <c r="AO145" s="212"/>
      <c r="AP145" s="212"/>
      <c r="AQ145" s="212"/>
      <c r="AR145" s="226" t="str">
        <f>IF(ROUND(CF!AR35,0)=ROUND(SUM(CF!AN35:AQ35),0),"OK","ERROR")</f>
        <v>OK</v>
      </c>
      <c r="AS145" s="230"/>
      <c r="AT145" s="226" t="str">
        <f>IF(ROUND(CF!AT35,0)=ROUND(SUM(CF!AP35:AS35),0),"OK","ERROR")</f>
        <v>OK</v>
      </c>
      <c r="AU145" s="230"/>
      <c r="AV145" s="226" t="str">
        <f>IF(ROUND(CF!AV35,0)=ROUND(SUM(CF!AR35:AU35),0),"OK","ERROR")</f>
        <v>OK</v>
      </c>
      <c r="AW145" s="246"/>
      <c r="AX145" s="226" t="str">
        <f>IF(ROUND(CF!AX35,0)=ROUND(SUM(CF!AT35:AW35),0),"OK","ERROR")</f>
        <v>OK</v>
      </c>
    </row>
    <row r="146" spans="1:50" s="54" customFormat="1" ht="15" customHeight="1" thickBot="1" x14ac:dyDescent="0.35">
      <c r="A146" s="113"/>
      <c r="B146" s="160" t="s">
        <v>808</v>
      </c>
      <c r="C146" s="17"/>
      <c r="D146" s="217"/>
      <c r="E146" s="217"/>
      <c r="F146" s="217"/>
      <c r="G146" s="217"/>
      <c r="H146" s="237" t="str">
        <f>IF(ROUND(CF!H36,0)=ROUND(SUM(CF!D36:G36),0),"OK","ERROR")</f>
        <v>OK</v>
      </c>
      <c r="I146" s="210"/>
      <c r="J146" s="217"/>
      <c r="K146" s="217"/>
      <c r="L146" s="217"/>
      <c r="M146" s="217"/>
      <c r="N146" s="237" t="str">
        <f>IF(ROUND(CF!N36,0)=ROUND(SUM(CF!J36:M36),0),"OK","ERROR")</f>
        <v>OK</v>
      </c>
      <c r="O146" s="210"/>
      <c r="P146" s="217"/>
      <c r="Q146" s="217"/>
      <c r="R146" s="217"/>
      <c r="S146" s="217"/>
      <c r="T146" s="237" t="str">
        <f>IF(ROUND(CF!T36,0)=ROUND(SUM(CF!P36:S36),0),"OK","ERROR")</f>
        <v>OK</v>
      </c>
      <c r="U146" s="210"/>
      <c r="V146" s="217"/>
      <c r="W146" s="217"/>
      <c r="X146" s="217"/>
      <c r="Y146" s="217"/>
      <c r="Z146" s="237" t="str">
        <f>IF(ROUND(CF!Z36,0)=ROUND(SUM(CF!V36:Y36),0),"OK","ERROR")</f>
        <v>OK</v>
      </c>
      <c r="AA146" s="213"/>
      <c r="AB146" s="217"/>
      <c r="AC146" s="217"/>
      <c r="AD146" s="217"/>
      <c r="AE146" s="217"/>
      <c r="AF146" s="237" t="str">
        <f>IF(ROUND(CF!AF36,0)=ROUND(SUM(CF!AB36:AE36),0),"OK","ERROR")</f>
        <v>OK</v>
      </c>
      <c r="AG146" s="211"/>
      <c r="AH146" s="217"/>
      <c r="AI146" s="217"/>
      <c r="AJ146" s="212"/>
      <c r="AK146" s="212"/>
      <c r="AL146" s="237" t="str">
        <f>IF(ROUND(CF!AL36,0)=ROUND(SUM(CF!AH36:AK36),0),"OK","ERROR")</f>
        <v>ERROR</v>
      </c>
      <c r="AM146" s="215"/>
      <c r="AN146" s="212"/>
      <c r="AO146" s="212"/>
      <c r="AP146" s="212"/>
      <c r="AQ146" s="212"/>
      <c r="AR146" s="237" t="str">
        <f>IF(ROUND(CF!AR36,0)=ROUND(SUM(CF!AN36:AQ36),0),"OK","ERROR")</f>
        <v>OK</v>
      </c>
      <c r="AS146" s="215"/>
      <c r="AT146" s="237" t="str">
        <f>IF(ROUND(CF!AT36,0)=ROUND(SUM(CF!AP36:AS36),0),"OK","ERROR")</f>
        <v>OK</v>
      </c>
      <c r="AU146" s="215"/>
      <c r="AV146" s="237" t="str">
        <f>IF(ROUND(CF!AV36,0)=ROUND(SUM(CF!AR36:AU36),0),"OK","ERROR")</f>
        <v>OK</v>
      </c>
      <c r="AW146" s="246"/>
      <c r="AX146" s="237" t="str">
        <f>IF(ROUND(CF!AX36,0)=ROUND(SUM(CF!AT36:AW36),0),"OK","ERROR")</f>
        <v>OK</v>
      </c>
    </row>
    <row r="147" spans="1:50" s="54" customFormat="1" ht="15" customHeight="1" thickTop="1" x14ac:dyDescent="0.3">
      <c r="A147" s="43"/>
      <c r="B147" s="154"/>
      <c r="C147" s="115"/>
      <c r="D147" s="208"/>
      <c r="E147" s="208"/>
      <c r="F147" s="208"/>
      <c r="G147" s="208"/>
      <c r="H147" s="220"/>
      <c r="I147" s="210"/>
      <c r="J147" s="208"/>
      <c r="K147" s="208"/>
      <c r="L147" s="208"/>
      <c r="M147" s="208"/>
      <c r="N147" s="220"/>
      <c r="O147" s="210"/>
      <c r="P147" s="208"/>
      <c r="Q147" s="208"/>
      <c r="R147" s="208"/>
      <c r="S147" s="208"/>
      <c r="T147" s="220"/>
      <c r="U147" s="210"/>
      <c r="V147" s="208"/>
      <c r="W147" s="208"/>
      <c r="X147" s="208"/>
      <c r="Y147" s="208"/>
      <c r="Z147" s="220"/>
      <c r="AA147" s="232"/>
      <c r="AB147" s="208"/>
      <c r="AC147" s="208"/>
      <c r="AD147" s="208"/>
      <c r="AE147" s="208"/>
      <c r="AF147" s="220"/>
      <c r="AG147" s="229"/>
      <c r="AH147" s="208"/>
      <c r="AI147" s="208"/>
      <c r="AJ147" s="212"/>
      <c r="AK147" s="212"/>
      <c r="AL147" s="220"/>
      <c r="AM147" s="230"/>
      <c r="AN147" s="212"/>
      <c r="AO147" s="212"/>
      <c r="AP147" s="212"/>
      <c r="AQ147" s="212"/>
      <c r="AR147" s="220"/>
      <c r="AS147" s="230"/>
      <c r="AT147" s="220"/>
      <c r="AU147" s="230"/>
      <c r="AV147" s="220"/>
      <c r="AW147" s="246"/>
      <c r="AX147" s="220"/>
    </row>
    <row r="148" spans="1:50" s="54" customFormat="1" ht="15" customHeight="1" x14ac:dyDescent="0.3">
      <c r="A148" s="44" t="s">
        <v>70</v>
      </c>
      <c r="B148" s="158" t="s">
        <v>809</v>
      </c>
      <c r="C148" s="27"/>
      <c r="D148" s="208"/>
      <c r="E148" s="208"/>
      <c r="F148" s="208"/>
      <c r="G148" s="208"/>
      <c r="H148" s="220"/>
      <c r="I148" s="210"/>
      <c r="J148" s="208"/>
      <c r="K148" s="208"/>
      <c r="L148" s="208"/>
      <c r="M148" s="208"/>
      <c r="N148" s="220"/>
      <c r="O148" s="210"/>
      <c r="P148" s="208"/>
      <c r="Q148" s="208"/>
      <c r="R148" s="208"/>
      <c r="S148" s="208"/>
      <c r="T148" s="220"/>
      <c r="U148" s="210"/>
      <c r="V148" s="208"/>
      <c r="W148" s="208"/>
      <c r="X148" s="208"/>
      <c r="Y148" s="208"/>
      <c r="Z148" s="220"/>
      <c r="AA148" s="213"/>
      <c r="AB148" s="208"/>
      <c r="AC148" s="208"/>
      <c r="AD148" s="208"/>
      <c r="AE148" s="208"/>
      <c r="AF148" s="220"/>
      <c r="AG148" s="211"/>
      <c r="AH148" s="208"/>
      <c r="AI148" s="208"/>
      <c r="AJ148" s="212"/>
      <c r="AK148" s="212"/>
      <c r="AL148" s="220"/>
      <c r="AM148" s="215"/>
      <c r="AN148" s="212"/>
      <c r="AO148" s="212"/>
      <c r="AP148" s="212"/>
      <c r="AQ148" s="212"/>
      <c r="AR148" s="220"/>
      <c r="AS148" s="215"/>
      <c r="AT148" s="220"/>
      <c r="AU148" s="215"/>
      <c r="AV148" s="220"/>
      <c r="AW148" s="246"/>
      <c r="AX148" s="220"/>
    </row>
    <row r="149" spans="1:50" s="54" customFormat="1" ht="15" customHeight="1" x14ac:dyDescent="0.25">
      <c r="A149" s="113"/>
      <c r="B149" s="159" t="s">
        <v>810</v>
      </c>
      <c r="C149" s="115"/>
      <c r="D149" s="217"/>
      <c r="E149" s="217"/>
      <c r="F149" s="217"/>
      <c r="G149" s="217"/>
      <c r="H149" s="220" t="str">
        <f>IF(ROUND(CF!H39,0)=ROUND(SUM(CF!D39:G39),0),"OK","ERROR")</f>
        <v>OK</v>
      </c>
      <c r="I149" s="210"/>
      <c r="J149" s="217"/>
      <c r="K149" s="217"/>
      <c r="L149" s="217"/>
      <c r="M149" s="217"/>
      <c r="N149" s="220" t="str">
        <f>IF(ROUND(CF!N39,0)=ROUND(SUM(CF!J39:M39),0),"OK","ERROR")</f>
        <v>OK</v>
      </c>
      <c r="O149" s="210"/>
      <c r="P149" s="217"/>
      <c r="Q149" s="217"/>
      <c r="R149" s="217"/>
      <c r="S149" s="217"/>
      <c r="T149" s="220" t="str">
        <f>IF(ROUND(CF!T39,0)=ROUND(SUM(CF!P39:S39),0),"OK","ERROR")</f>
        <v>OK</v>
      </c>
      <c r="U149" s="210"/>
      <c r="V149" s="217"/>
      <c r="W149" s="217"/>
      <c r="X149" s="217"/>
      <c r="Y149" s="217"/>
      <c r="Z149" s="220" t="str">
        <f>IF(ROUND(CF!Z39,0)=ROUND(SUM(CF!V39:Y39),0),"OK","ERROR")</f>
        <v>OK</v>
      </c>
      <c r="AA149" s="213"/>
      <c r="AB149" s="217"/>
      <c r="AC149" s="217"/>
      <c r="AD149" s="217"/>
      <c r="AE149" s="217"/>
      <c r="AF149" s="220" t="str">
        <f>IF(ROUND(CF!AF39,0)=ROUND(SUM(CF!AB39:AE39),0),"OK","ERROR")</f>
        <v>OK</v>
      </c>
      <c r="AG149" s="211"/>
      <c r="AH149" s="217"/>
      <c r="AI149" s="217"/>
      <c r="AJ149" s="212"/>
      <c r="AK149" s="212"/>
      <c r="AL149" s="220" t="str">
        <f>IF(ROUND(CF!AL39,0)=ROUND(SUM(CF!AH39:AK39),0),"OK","ERROR")</f>
        <v>ERROR</v>
      </c>
      <c r="AM149" s="215"/>
      <c r="AN149" s="212"/>
      <c r="AO149" s="212"/>
      <c r="AP149" s="212"/>
      <c r="AQ149" s="212"/>
      <c r="AR149" s="220" t="str">
        <f>IF(ROUND(CF!AR39,0)=ROUND(SUM(CF!AN39:AQ39),0),"OK","ERROR")</f>
        <v>OK</v>
      </c>
      <c r="AS149" s="215"/>
      <c r="AT149" s="220" t="str">
        <f>IF(ROUND(CF!AT39,0)=ROUND(SUM(CF!AP39:AS39),0),"OK","ERROR")</f>
        <v>OK</v>
      </c>
      <c r="AU149" s="215"/>
      <c r="AV149" s="220" t="str">
        <f>IF(ROUND(CF!AV39,0)=ROUND(SUM(CF!AR39:AU39),0),"OK","ERROR")</f>
        <v>OK</v>
      </c>
      <c r="AW149" s="246"/>
      <c r="AX149" s="220" t="str">
        <f>IF(ROUND(CF!AX39,0)=ROUND(SUM(CF!AT39:AW39),0),"OK","ERROR")</f>
        <v>OK</v>
      </c>
    </row>
    <row r="150" spans="1:50" s="54" customFormat="1" ht="15" customHeight="1" x14ac:dyDescent="0.25">
      <c r="A150" s="113"/>
      <c r="B150" s="159" t="s">
        <v>811</v>
      </c>
      <c r="C150" s="115"/>
      <c r="D150" s="217"/>
      <c r="E150" s="217"/>
      <c r="F150" s="217"/>
      <c r="G150" s="217"/>
      <c r="H150" s="220" t="str">
        <f>IF(ROUND(CF!H40,0)=ROUND(SUM(CF!D40:G40),0),"OK","ERROR")</f>
        <v>OK</v>
      </c>
      <c r="I150" s="210"/>
      <c r="J150" s="217"/>
      <c r="K150" s="217"/>
      <c r="L150" s="217"/>
      <c r="M150" s="217"/>
      <c r="N150" s="220" t="str">
        <f>IF(ROUND(CF!N40,0)=ROUND(SUM(CF!J40:M40),0),"OK","ERROR")</f>
        <v>OK</v>
      </c>
      <c r="O150" s="210"/>
      <c r="P150" s="217"/>
      <c r="Q150" s="217"/>
      <c r="R150" s="217"/>
      <c r="S150" s="217"/>
      <c r="T150" s="220" t="str">
        <f>IF(ROUND(CF!T40,0)=ROUND(SUM(CF!P40:S40),0),"OK","ERROR")</f>
        <v>OK</v>
      </c>
      <c r="U150" s="210"/>
      <c r="V150" s="217"/>
      <c r="W150" s="217"/>
      <c r="X150" s="217"/>
      <c r="Y150" s="217"/>
      <c r="Z150" s="220" t="str">
        <f>IF(ROUND(CF!Z40,0)=ROUND(SUM(CF!V40:Y40),0),"OK","ERROR")</f>
        <v>OK</v>
      </c>
      <c r="AA150" s="213"/>
      <c r="AB150" s="217"/>
      <c r="AC150" s="217"/>
      <c r="AD150" s="217"/>
      <c r="AE150" s="217"/>
      <c r="AF150" s="220" t="str">
        <f>IF(ROUND(CF!AF40,0)=ROUND(SUM(CF!AB40:AE40),0),"OK","ERROR")</f>
        <v>OK</v>
      </c>
      <c r="AG150" s="211"/>
      <c r="AH150" s="217"/>
      <c r="AI150" s="217"/>
      <c r="AJ150" s="212"/>
      <c r="AK150" s="212"/>
      <c r="AL150" s="220" t="str">
        <f>IF(ROUND(CF!AL40,0)=ROUND(SUM(CF!AH40:AK40),0),"OK","ERROR")</f>
        <v>ERROR</v>
      </c>
      <c r="AM150" s="215"/>
      <c r="AN150" s="212"/>
      <c r="AO150" s="212"/>
      <c r="AP150" s="212"/>
      <c r="AQ150" s="212"/>
      <c r="AR150" s="220" t="str">
        <f>IF(ROUND(CF!AR40,0)=ROUND(SUM(CF!AN40:AQ40),0),"OK","ERROR")</f>
        <v>OK</v>
      </c>
      <c r="AS150" s="215"/>
      <c r="AT150" s="220" t="str">
        <f>IF(ROUND(CF!AT40,0)=ROUND(SUM(CF!AP40:AS40),0),"OK","ERROR")</f>
        <v>OK</v>
      </c>
      <c r="AU150" s="215"/>
      <c r="AV150" s="220" t="str">
        <f>IF(ROUND(CF!AV40,0)=ROUND(SUM(CF!AR40:AU40),0),"OK","ERROR")</f>
        <v>OK</v>
      </c>
      <c r="AW150" s="246"/>
      <c r="AX150" s="220" t="str">
        <f>IF(ROUND(CF!AX40,0)=ROUND(SUM(CF!AT40:AW40),0),"OK","ERROR")</f>
        <v>OK</v>
      </c>
    </row>
    <row r="151" spans="1:50" s="54" customFormat="1" ht="15" customHeight="1" x14ac:dyDescent="0.25">
      <c r="A151" s="113"/>
      <c r="B151" s="159" t="s">
        <v>812</v>
      </c>
      <c r="C151" s="115"/>
      <c r="D151" s="217"/>
      <c r="E151" s="217"/>
      <c r="F151" s="217"/>
      <c r="G151" s="217"/>
      <c r="H151" s="220" t="str">
        <f>IF(ROUND(CF!H41,0)=ROUND(SUM(CF!D41:G41),0),"OK","ERROR")</f>
        <v>OK</v>
      </c>
      <c r="I151" s="210"/>
      <c r="J151" s="217"/>
      <c r="K151" s="217"/>
      <c r="L151" s="217"/>
      <c r="M151" s="217"/>
      <c r="N151" s="220" t="str">
        <f>IF(ROUND(CF!N41,0)=ROUND(SUM(CF!J41:M41),0),"OK","ERROR")</f>
        <v>OK</v>
      </c>
      <c r="O151" s="210"/>
      <c r="P151" s="217"/>
      <c r="Q151" s="217"/>
      <c r="R151" s="217"/>
      <c r="S151" s="217"/>
      <c r="T151" s="220" t="str">
        <f>IF(ROUND(CF!T41,0)=ROUND(SUM(CF!P41:S41),0),"OK","ERROR")</f>
        <v>OK</v>
      </c>
      <c r="U151" s="210"/>
      <c r="V151" s="217"/>
      <c r="W151" s="217"/>
      <c r="X151" s="217"/>
      <c r="Y151" s="217"/>
      <c r="Z151" s="220" t="str">
        <f>IF(ROUND(CF!Z41,0)=ROUND(SUM(CF!V41:Y41),0),"OK","ERROR")</f>
        <v>OK</v>
      </c>
      <c r="AA151" s="213"/>
      <c r="AB151" s="217"/>
      <c r="AC151" s="217"/>
      <c r="AD151" s="217"/>
      <c r="AE151" s="217"/>
      <c r="AF151" s="220" t="str">
        <f>IF(ROUND(CF!AF41,0)=ROUND(SUM(CF!AB41:AE41),0),"OK","ERROR")</f>
        <v>OK</v>
      </c>
      <c r="AG151" s="211"/>
      <c r="AH151" s="217"/>
      <c r="AI151" s="217"/>
      <c r="AJ151" s="212"/>
      <c r="AK151" s="212"/>
      <c r="AL151" s="220" t="str">
        <f>IF(ROUND(CF!AL41,0)=ROUND(SUM(CF!AH41:AK41),0),"OK","ERROR")</f>
        <v>ERROR</v>
      </c>
      <c r="AM151" s="215"/>
      <c r="AN151" s="212"/>
      <c r="AO151" s="212"/>
      <c r="AP151" s="212"/>
      <c r="AQ151" s="212"/>
      <c r="AR151" s="220" t="str">
        <f>IF(ROUND(CF!AR41,0)=ROUND(SUM(CF!AN41:AQ41),0),"OK","ERROR")</f>
        <v>OK</v>
      </c>
      <c r="AS151" s="215"/>
      <c r="AT151" s="220" t="str">
        <f>IF(ROUND(CF!AT41,0)=ROUND(SUM(CF!AP41:AS41),0),"OK","ERROR")</f>
        <v>OK</v>
      </c>
      <c r="AU151" s="215"/>
      <c r="AV151" s="220" t="str">
        <f>IF(ROUND(CF!AV41,0)=ROUND(SUM(CF!AR41:AU41),0),"OK","ERROR")</f>
        <v>OK</v>
      </c>
      <c r="AW151" s="246"/>
      <c r="AX151" s="220" t="str">
        <f>IF(ROUND(CF!AX41,0)=ROUND(SUM(CF!AT41:AW41),0),"OK","ERROR")</f>
        <v>OK</v>
      </c>
    </row>
    <row r="152" spans="1:50" s="54" customFormat="1" ht="15" customHeight="1" x14ac:dyDescent="0.3">
      <c r="A152" s="142"/>
      <c r="B152" s="159" t="s">
        <v>813</v>
      </c>
      <c r="C152" s="27"/>
      <c r="D152" s="217"/>
      <c r="E152" s="217"/>
      <c r="F152" s="217"/>
      <c r="G152" s="217"/>
      <c r="H152" s="220" t="str">
        <f>IF(ROUND(CF!H42,0)=ROUND(SUM(CF!D42:G42),0),"OK","ERROR")</f>
        <v>OK</v>
      </c>
      <c r="I152" s="210"/>
      <c r="J152" s="217"/>
      <c r="K152" s="217"/>
      <c r="L152" s="217"/>
      <c r="M152" s="217"/>
      <c r="N152" s="220" t="str">
        <f>IF(ROUND(CF!N42,0)=ROUND(SUM(CF!J42:M42),0),"OK","ERROR")</f>
        <v>OK</v>
      </c>
      <c r="O152" s="210"/>
      <c r="P152" s="217"/>
      <c r="Q152" s="217"/>
      <c r="R152" s="217"/>
      <c r="S152" s="217"/>
      <c r="T152" s="220" t="str">
        <f>IF(ROUND(CF!T42,0)=ROUND(SUM(CF!P42:S42),0),"OK","ERROR")</f>
        <v>OK</v>
      </c>
      <c r="U152" s="210"/>
      <c r="V152" s="217"/>
      <c r="W152" s="217"/>
      <c r="X152" s="217"/>
      <c r="Y152" s="217"/>
      <c r="Z152" s="220" t="str">
        <f>IF(ROUND(CF!Z42,0)=ROUND(SUM(CF!V42:Y42),0),"OK","ERROR")</f>
        <v>OK</v>
      </c>
      <c r="AA152" s="213"/>
      <c r="AB152" s="217"/>
      <c r="AC152" s="217"/>
      <c r="AD152" s="217"/>
      <c r="AE152" s="217"/>
      <c r="AF152" s="220" t="str">
        <f>IF(ROUND(CF!AF42,0)=ROUND(SUM(CF!AB42:AE42),0),"OK","ERROR")</f>
        <v>OK</v>
      </c>
      <c r="AG152" s="211"/>
      <c r="AH152" s="217"/>
      <c r="AI152" s="217"/>
      <c r="AJ152" s="212"/>
      <c r="AK152" s="212"/>
      <c r="AL152" s="220" t="str">
        <f>IF(ROUND(CF!AL42,0)=ROUND(SUM(CF!AH42:AK42),0),"OK","ERROR")</f>
        <v>ERROR</v>
      </c>
      <c r="AM152" s="247"/>
      <c r="AN152" s="212"/>
      <c r="AO152" s="212"/>
      <c r="AP152" s="212"/>
      <c r="AQ152" s="212"/>
      <c r="AR152" s="220" t="str">
        <f>IF(ROUND(CF!AR42,0)=ROUND(SUM(CF!AN42:AQ42),0),"OK","ERROR")</f>
        <v>OK</v>
      </c>
      <c r="AS152" s="215"/>
      <c r="AT152" s="220" t="str">
        <f>IF(ROUND(CF!AT42,0)=ROUND(SUM(CF!AP42:AS42),0),"OK","ERROR")</f>
        <v>OK</v>
      </c>
      <c r="AU152" s="215"/>
      <c r="AV152" s="220" t="str">
        <f>IF(ROUND(CF!AV42,0)=ROUND(SUM(CF!AR42:AU42),0),"OK","ERROR")</f>
        <v>OK</v>
      </c>
      <c r="AW152" s="246"/>
      <c r="AX152" s="220" t="str">
        <f>IF(ROUND(CF!AX42,0)=ROUND(SUM(CF!AT42:AW42),0),"OK","ERROR")</f>
        <v>OK</v>
      </c>
    </row>
    <row r="153" spans="1:50" s="54" customFormat="1" ht="15" customHeight="1" x14ac:dyDescent="0.25">
      <c r="A153" s="113"/>
      <c r="B153" s="159" t="s">
        <v>814</v>
      </c>
      <c r="C153" s="115"/>
      <c r="D153" s="217"/>
      <c r="E153" s="217"/>
      <c r="F153" s="217"/>
      <c r="G153" s="217"/>
      <c r="H153" s="220" t="str">
        <f>IF(ROUND(CF!H43,0)=ROUND(SUM(CF!D43:G43),0),"OK","ERROR")</f>
        <v>OK</v>
      </c>
      <c r="I153" s="210"/>
      <c r="J153" s="217"/>
      <c r="K153" s="217"/>
      <c r="L153" s="217"/>
      <c r="M153" s="217"/>
      <c r="N153" s="220" t="str">
        <f>IF(ROUND(CF!N43,0)=ROUND(SUM(CF!J43:M43),0),"OK","ERROR")</f>
        <v>OK</v>
      </c>
      <c r="O153" s="210"/>
      <c r="P153" s="217"/>
      <c r="Q153" s="217"/>
      <c r="R153" s="217"/>
      <c r="S153" s="217"/>
      <c r="T153" s="220" t="str">
        <f>IF(ROUND(CF!T43,0)=ROUND(SUM(CF!P43:S43),0),"OK","ERROR")</f>
        <v>OK</v>
      </c>
      <c r="U153" s="210"/>
      <c r="V153" s="217"/>
      <c r="W153" s="217"/>
      <c r="X153" s="217"/>
      <c r="Y153" s="217"/>
      <c r="Z153" s="220" t="str">
        <f>IF(ROUND(CF!Z43,0)=ROUND(SUM(CF!V43:Y43),0),"OK","ERROR")</f>
        <v>OK</v>
      </c>
      <c r="AA153" s="213"/>
      <c r="AB153" s="217"/>
      <c r="AC153" s="217"/>
      <c r="AD153" s="217"/>
      <c r="AE153" s="217"/>
      <c r="AF153" s="220" t="str">
        <f>IF(ROUND(CF!AF43,0)=ROUND(SUM(CF!AB43:AE43),0),"OK","ERROR")</f>
        <v>OK</v>
      </c>
      <c r="AG153" s="211"/>
      <c r="AH153" s="217"/>
      <c r="AI153" s="217"/>
      <c r="AJ153" s="212"/>
      <c r="AK153" s="212"/>
      <c r="AL153" s="220" t="str">
        <f>IF(ROUND(CF!AL43,0)=ROUND(SUM(CF!AH43:AK43),0),"OK","ERROR")</f>
        <v>ERROR</v>
      </c>
      <c r="AM153" s="247"/>
      <c r="AN153" s="212"/>
      <c r="AO153" s="212"/>
      <c r="AP153" s="212"/>
      <c r="AQ153" s="212"/>
      <c r="AR153" s="220" t="str">
        <f>IF(ROUND(CF!AR43,0)=ROUND(SUM(CF!AN43:AQ43),0),"OK","ERROR")</f>
        <v>OK</v>
      </c>
      <c r="AS153" s="215"/>
      <c r="AT153" s="220" t="str">
        <f>IF(ROUND(CF!AT43,0)=ROUND(SUM(CF!AP43:AS43),0),"OK","ERROR")</f>
        <v>OK</v>
      </c>
      <c r="AU153" s="215"/>
      <c r="AV153" s="220" t="str">
        <f>IF(ROUND(CF!AV43,0)=ROUND(SUM(CF!AR43:AU43),0),"OK","ERROR")</f>
        <v>OK</v>
      </c>
      <c r="AW153" s="246"/>
      <c r="AX153" s="220" t="str">
        <f>IF(ROUND(CF!AX43,0)=ROUND(SUM(CF!AT43:AW43),0),"OK","ERROR")</f>
        <v>OK</v>
      </c>
    </row>
    <row r="154" spans="1:50" s="54" customFormat="1" ht="15" customHeight="1" x14ac:dyDescent="0.25">
      <c r="A154" s="113"/>
      <c r="B154" s="159" t="s">
        <v>815</v>
      </c>
      <c r="C154" s="115"/>
      <c r="D154" s="217"/>
      <c r="E154" s="217"/>
      <c r="F154" s="217"/>
      <c r="G154" s="217"/>
      <c r="H154" s="226" t="str">
        <f>IF(ROUND(CF!H44,0)=ROUND(SUM(CF!D44:G44),0),"OK","ERROR")</f>
        <v>OK</v>
      </c>
      <c r="I154" s="210"/>
      <c r="J154" s="217"/>
      <c r="K154" s="217"/>
      <c r="L154" s="217"/>
      <c r="M154" s="217"/>
      <c r="N154" s="226" t="str">
        <f>IF(ROUND(CF!N44,0)=ROUND(SUM(CF!J44:M44),0),"OK","ERROR")</f>
        <v>OK</v>
      </c>
      <c r="O154" s="210"/>
      <c r="P154" s="217"/>
      <c r="Q154" s="217"/>
      <c r="R154" s="217"/>
      <c r="S154" s="217"/>
      <c r="T154" s="226" t="str">
        <f>IF(ROUND(CF!T44,0)=ROUND(SUM(CF!P44:S44),0),"OK","ERROR")</f>
        <v>OK</v>
      </c>
      <c r="U154" s="210"/>
      <c r="V154" s="217"/>
      <c r="W154" s="217"/>
      <c r="X154" s="217"/>
      <c r="Y154" s="217"/>
      <c r="Z154" s="226" t="str">
        <f>IF(ROUND(CF!Z44,0)=ROUND(SUM(CF!V44:Y44),0),"OK","ERROR")</f>
        <v>OK</v>
      </c>
      <c r="AA154" s="228"/>
      <c r="AB154" s="217"/>
      <c r="AC154" s="217"/>
      <c r="AD154" s="217"/>
      <c r="AE154" s="217"/>
      <c r="AF154" s="226" t="str">
        <f>IF(ROUND(CF!AF44,0)=ROUND(SUM(CF!AB44:AE44),0),"OK","ERROR")</f>
        <v>OK</v>
      </c>
      <c r="AG154" s="229"/>
      <c r="AH154" s="217"/>
      <c r="AI154" s="217"/>
      <c r="AJ154" s="212"/>
      <c r="AK154" s="212"/>
      <c r="AL154" s="226" t="str">
        <f>IF(ROUND(CF!AL44,0)=ROUND(SUM(CF!AH44:AK44),0),"OK","ERROR")</f>
        <v>ERROR</v>
      </c>
      <c r="AM154" s="230"/>
      <c r="AN154" s="212"/>
      <c r="AO154" s="212"/>
      <c r="AP154" s="212"/>
      <c r="AQ154" s="212"/>
      <c r="AR154" s="226" t="str">
        <f>IF(ROUND(CF!AR44,0)=ROUND(SUM(CF!AN44:AQ44),0),"OK","ERROR")</f>
        <v>OK</v>
      </c>
      <c r="AS154" s="230"/>
      <c r="AT154" s="226" t="str">
        <f>IF(ROUND(CF!AT44,0)=ROUND(SUM(CF!AP44:AS44),0),"OK","ERROR")</f>
        <v>OK</v>
      </c>
      <c r="AU154" s="230"/>
      <c r="AV154" s="226" t="str">
        <f>IF(ROUND(CF!AV44,0)=ROUND(SUM(CF!AR44:AU44),0),"OK","ERROR")</f>
        <v>OK</v>
      </c>
      <c r="AW154" s="246"/>
      <c r="AX154" s="226" t="str">
        <f>IF(ROUND(CF!AX44,0)=ROUND(SUM(CF!AT44:AW44),0),"OK","ERROR")</f>
        <v>OK</v>
      </c>
    </row>
    <row r="155" spans="1:50" s="54" customFormat="1" ht="15" customHeight="1" thickBot="1" x14ac:dyDescent="0.35">
      <c r="A155" s="113"/>
      <c r="B155" s="160" t="s">
        <v>816</v>
      </c>
      <c r="C155" s="17"/>
      <c r="D155" s="217"/>
      <c r="E155" s="217"/>
      <c r="F155" s="217"/>
      <c r="G155" s="217"/>
      <c r="H155" s="237" t="str">
        <f>IF(ROUND(CF!H45,0)=ROUND(SUM(CF!D45:G45),0),"OK","ERROR")</f>
        <v>OK</v>
      </c>
      <c r="I155" s="210"/>
      <c r="J155" s="217"/>
      <c r="K155" s="217"/>
      <c r="L155" s="217"/>
      <c r="M155" s="217"/>
      <c r="N155" s="237" t="str">
        <f>IF(ROUND(CF!N45,0)=ROUND(SUM(CF!J45:M45),0),"OK","ERROR")</f>
        <v>OK</v>
      </c>
      <c r="O155" s="210"/>
      <c r="P155" s="217"/>
      <c r="Q155" s="217"/>
      <c r="R155" s="217"/>
      <c r="S155" s="217"/>
      <c r="T155" s="237" t="str">
        <f>IF(ROUND(CF!T45,0)=ROUND(SUM(CF!P45:S45),0),"OK","ERROR")</f>
        <v>OK</v>
      </c>
      <c r="U155" s="210"/>
      <c r="V155" s="217"/>
      <c r="W155" s="217"/>
      <c r="X155" s="217"/>
      <c r="Y155" s="217"/>
      <c r="Z155" s="237" t="str">
        <f>IF(ROUND(CF!Z45,0)=ROUND(SUM(CF!V45:Y45),0),"OK","ERROR")</f>
        <v>OK</v>
      </c>
      <c r="AA155" s="210"/>
      <c r="AB155" s="217"/>
      <c r="AC155" s="217"/>
      <c r="AD155" s="217"/>
      <c r="AE155" s="217"/>
      <c r="AF155" s="237" t="str">
        <f>IF(ROUND(CF!AF45,0)=ROUND(SUM(CF!AB45:AE45),0),"OK","ERROR")</f>
        <v>OK</v>
      </c>
      <c r="AG155" s="238"/>
      <c r="AH155" s="217"/>
      <c r="AI155" s="217"/>
      <c r="AJ155" s="212"/>
      <c r="AK155" s="212"/>
      <c r="AL155" s="237" t="str">
        <f>IF(ROUND(CF!AL45,0)=ROUND(SUM(CF!AH45:AK45),0),"OK","ERROR")</f>
        <v>ERROR</v>
      </c>
      <c r="AM155" s="239"/>
      <c r="AN155" s="212"/>
      <c r="AO155" s="212"/>
      <c r="AP155" s="212"/>
      <c r="AQ155" s="212"/>
      <c r="AR155" s="237" t="str">
        <f>IF(ROUND(CF!AR45,0)=ROUND(SUM(CF!AN45:AQ45),0),"OK","ERROR")</f>
        <v>OK</v>
      </c>
      <c r="AS155" s="239"/>
      <c r="AT155" s="237" t="str">
        <f>IF(ROUND(CF!AT45,0)=ROUND(SUM(CF!AP45:AS45),0),"OK","ERROR")</f>
        <v>OK</v>
      </c>
      <c r="AU155" s="239"/>
      <c r="AV155" s="237" t="str">
        <f>IF(ROUND(CF!AV45,0)=ROUND(SUM(CF!AR45:AU45),0),"OK","ERROR")</f>
        <v>OK</v>
      </c>
      <c r="AW155" s="246"/>
      <c r="AX155" s="237" t="str">
        <f>IF(ROUND(CF!AX45,0)=ROUND(SUM(CF!AT45:AW45),0),"OK","ERROR")</f>
        <v>OK</v>
      </c>
    </row>
    <row r="156" spans="1:50" s="54" customFormat="1" ht="15" customHeight="1" thickTop="1" x14ac:dyDescent="0.3">
      <c r="A156" s="113"/>
      <c r="B156" s="9"/>
      <c r="C156" s="115"/>
      <c r="D156" s="208"/>
      <c r="E156" s="208"/>
      <c r="F156" s="208"/>
      <c r="G156" s="208"/>
      <c r="H156" s="220"/>
      <c r="I156" s="210"/>
      <c r="J156" s="208"/>
      <c r="K156" s="208"/>
      <c r="L156" s="208"/>
      <c r="M156" s="208"/>
      <c r="N156" s="220"/>
      <c r="O156" s="210"/>
      <c r="P156" s="208"/>
      <c r="Q156" s="208"/>
      <c r="R156" s="208"/>
      <c r="S156" s="208"/>
      <c r="T156" s="220"/>
      <c r="U156" s="210"/>
      <c r="V156" s="208"/>
      <c r="W156" s="208"/>
      <c r="X156" s="208"/>
      <c r="Y156" s="208"/>
      <c r="Z156" s="220"/>
      <c r="AA156" s="228"/>
      <c r="AB156" s="208"/>
      <c r="AC156" s="208"/>
      <c r="AD156" s="208"/>
      <c r="AE156" s="208"/>
      <c r="AF156" s="220"/>
      <c r="AG156" s="229"/>
      <c r="AH156" s="208"/>
      <c r="AI156" s="208"/>
      <c r="AJ156" s="212"/>
      <c r="AK156" s="212"/>
      <c r="AL156" s="220"/>
      <c r="AM156" s="230"/>
      <c r="AN156" s="212"/>
      <c r="AO156" s="212"/>
      <c r="AP156" s="212"/>
      <c r="AQ156" s="212"/>
      <c r="AR156" s="220"/>
      <c r="AS156" s="230"/>
      <c r="AT156" s="220"/>
      <c r="AU156" s="230"/>
      <c r="AV156" s="220"/>
      <c r="AW156" s="246"/>
      <c r="AX156" s="220"/>
    </row>
    <row r="157" spans="1:50" s="54" customFormat="1" ht="15" customHeight="1" x14ac:dyDescent="0.3">
      <c r="A157" s="44" t="s">
        <v>70</v>
      </c>
      <c r="B157" s="158" t="s">
        <v>817</v>
      </c>
      <c r="C157" s="17"/>
      <c r="D157" s="217"/>
      <c r="E157" s="217"/>
      <c r="F157" s="217"/>
      <c r="G157" s="217"/>
      <c r="H157" s="220" t="str">
        <f>IF(ROUND(CF!H47,0)=ROUND(SUM(CF!D47:G47),0),"OK","ERROR")</f>
        <v>OK</v>
      </c>
      <c r="I157" s="210"/>
      <c r="J157" s="217"/>
      <c r="K157" s="217"/>
      <c r="L157" s="217"/>
      <c r="M157" s="217"/>
      <c r="N157" s="220" t="str">
        <f>IF(ROUND(CF!N47,0)=ROUND(SUM(CF!J47:M47),0),"OK","ERROR")</f>
        <v>OK</v>
      </c>
      <c r="O157" s="210"/>
      <c r="P157" s="217"/>
      <c r="Q157" s="217"/>
      <c r="R157" s="217"/>
      <c r="S157" s="217"/>
      <c r="T157" s="220" t="str">
        <f>IF(ROUND(CF!T47,0)=ROUND(SUM(CF!P47:S47),0),"OK","ERROR")</f>
        <v>OK</v>
      </c>
      <c r="U157" s="210"/>
      <c r="V157" s="217"/>
      <c r="W157" s="217"/>
      <c r="X157" s="217"/>
      <c r="Y157" s="217"/>
      <c r="Z157" s="220" t="str">
        <f>IF(ROUND(CF!Z47,0)=ROUND(SUM(CF!V47:Y47),0),"OK","ERROR")</f>
        <v>OK</v>
      </c>
      <c r="AA157" s="210"/>
      <c r="AB157" s="217"/>
      <c r="AC157" s="217"/>
      <c r="AD157" s="217"/>
      <c r="AE157" s="217"/>
      <c r="AF157" s="220" t="str">
        <f>IF(ROUND(CF!AF47,0)=ROUND(SUM(CF!AB47:AE47),0),"OK","ERROR")</f>
        <v>OK</v>
      </c>
      <c r="AG157" s="238"/>
      <c r="AH157" s="217"/>
      <c r="AI157" s="217"/>
      <c r="AJ157" s="212"/>
      <c r="AK157" s="212"/>
      <c r="AL157" s="220" t="str">
        <f>IF(ROUND(CF!AL47,0)=ROUND(SUM(CF!AH47:AK47),0),"OK","ERROR")</f>
        <v>ERROR</v>
      </c>
      <c r="AM157" s="225"/>
      <c r="AN157" s="212"/>
      <c r="AO157" s="212"/>
      <c r="AP157" s="212"/>
      <c r="AQ157" s="212"/>
      <c r="AR157" s="220" t="str">
        <f>IF(ROUND(CF!AR47,0)=ROUND(SUM(CF!AN47:AQ47),0),"OK","ERROR")</f>
        <v>OK</v>
      </c>
      <c r="AS157" s="225"/>
      <c r="AT157" s="220" t="str">
        <f>IF(ROUND(CF!AT47,0)=ROUND(SUM(CF!AP47:AS47),0),"OK","ERROR")</f>
        <v>OK</v>
      </c>
      <c r="AU157" s="225"/>
      <c r="AV157" s="220" t="str">
        <f>IF(ROUND(CF!AV47,0)=ROUND(SUM(CF!AR47:AU47),0),"OK","ERROR")</f>
        <v>OK</v>
      </c>
      <c r="AW157" s="246"/>
      <c r="AX157" s="220" t="str">
        <f>IF(ROUND(CF!AX47,0)=ROUND(SUM(CF!AT47:AW47),0),"OK","ERROR")</f>
        <v>OK</v>
      </c>
    </row>
    <row r="158" spans="1:50" s="54" customFormat="1" ht="15" customHeight="1" x14ac:dyDescent="0.25">
      <c r="A158" s="113"/>
      <c r="C158" s="115"/>
      <c r="D158" s="208"/>
      <c r="E158" s="208"/>
      <c r="F158" s="208"/>
      <c r="G158" s="208"/>
      <c r="H158" s="220"/>
      <c r="I158" s="210"/>
      <c r="J158" s="208"/>
      <c r="K158" s="208"/>
      <c r="L158" s="208"/>
      <c r="M158" s="208"/>
      <c r="N158" s="220"/>
      <c r="O158" s="210"/>
      <c r="P158" s="208"/>
      <c r="Q158" s="208"/>
      <c r="R158" s="208"/>
      <c r="S158" s="208"/>
      <c r="T158" s="220"/>
      <c r="U158" s="210"/>
      <c r="V158" s="208"/>
      <c r="W158" s="208"/>
      <c r="X158" s="208"/>
      <c r="Y158" s="208"/>
      <c r="Z158" s="220"/>
      <c r="AA158" s="210"/>
      <c r="AB158" s="208"/>
      <c r="AC158" s="208"/>
      <c r="AD158" s="208"/>
      <c r="AE158" s="208"/>
      <c r="AF158" s="220"/>
      <c r="AG158" s="238"/>
      <c r="AH158" s="208"/>
      <c r="AI158" s="208"/>
      <c r="AJ158" s="212"/>
      <c r="AK158" s="212"/>
      <c r="AL158" s="220"/>
      <c r="AM158" s="239"/>
      <c r="AN158" s="212"/>
      <c r="AO158" s="212"/>
      <c r="AP158" s="212"/>
      <c r="AQ158" s="212"/>
      <c r="AR158" s="220"/>
      <c r="AS158" s="239"/>
      <c r="AT158" s="220"/>
      <c r="AU158" s="239"/>
      <c r="AV158" s="220"/>
      <c r="AW158" s="246"/>
      <c r="AX158" s="220"/>
    </row>
    <row r="159" spans="1:50" s="54" customFormat="1" ht="15" customHeight="1" x14ac:dyDescent="0.3">
      <c r="A159" s="44" t="s">
        <v>70</v>
      </c>
      <c r="B159" s="158" t="s">
        <v>818</v>
      </c>
      <c r="C159" s="17"/>
      <c r="D159" s="217"/>
      <c r="E159" s="217"/>
      <c r="F159" s="217"/>
      <c r="G159" s="217"/>
      <c r="H159" s="226" t="str">
        <f>IF(ROUND(CF!H49,0)=ROUND(SUM(CF!D49:G49),0),"OK","ERROR")</f>
        <v>OK</v>
      </c>
      <c r="I159" s="210"/>
      <c r="J159" s="217"/>
      <c r="K159" s="217"/>
      <c r="L159" s="217"/>
      <c r="M159" s="217"/>
      <c r="N159" s="226" t="str">
        <f>IF(ROUND(CF!N49,0)=ROUND(SUM(CF!J49:M49),0),"OK","ERROR")</f>
        <v>OK</v>
      </c>
      <c r="O159" s="210"/>
      <c r="P159" s="217"/>
      <c r="Q159" s="217"/>
      <c r="R159" s="217"/>
      <c r="S159" s="217"/>
      <c r="T159" s="226" t="str">
        <f>IF(ROUND(CF!T49,0)=ROUND(SUM(CF!P49:S49),0),"OK","ERROR")</f>
        <v>OK</v>
      </c>
      <c r="U159" s="210"/>
      <c r="V159" s="217"/>
      <c r="W159" s="217"/>
      <c r="X159" s="217"/>
      <c r="Y159" s="217"/>
      <c r="Z159" s="226" t="str">
        <f>IF(ROUND(CF!Z49,0)=ROUND(SUM(CF!V49:Y49),0),"OK","ERROR")</f>
        <v>OK</v>
      </c>
      <c r="AA159" s="210"/>
      <c r="AB159" s="217"/>
      <c r="AC159" s="217"/>
      <c r="AD159" s="217"/>
      <c r="AE159" s="217"/>
      <c r="AF159" s="226" t="str">
        <f>IF(ROUND(CF!AF49,0)=ROUND(SUM(CF!AB49:AE49),0),"OK","ERROR")</f>
        <v>OK</v>
      </c>
      <c r="AG159" s="238"/>
      <c r="AH159" s="217"/>
      <c r="AI159" s="217"/>
      <c r="AJ159" s="212"/>
      <c r="AK159" s="212"/>
      <c r="AL159" s="226" t="str">
        <f>IF(ROUND(CF!AL49,0)=ROUND(SUM(CF!AH49:AK49),0),"OK","ERROR")</f>
        <v>ERROR</v>
      </c>
      <c r="AM159" s="239"/>
      <c r="AN159" s="212"/>
      <c r="AO159" s="212"/>
      <c r="AP159" s="212"/>
      <c r="AQ159" s="212"/>
      <c r="AR159" s="226" t="str">
        <f>IF(ROUND(CF!AR49,0)=ROUND(SUM(CF!AN49:AQ49),0),"OK","ERROR")</f>
        <v>OK</v>
      </c>
      <c r="AS159" s="239"/>
      <c r="AT159" s="226" t="str">
        <f>IF(ROUND(CF!AT49,0)=ROUND(SUM(CF!AP49:AS49),0),"OK","ERROR")</f>
        <v>OK</v>
      </c>
      <c r="AU159" s="239"/>
      <c r="AV159" s="226" t="str">
        <f>IF(ROUND(CF!AV49,0)=ROUND(SUM(CF!AR49:AU49),0),"OK","ERROR")</f>
        <v>OK</v>
      </c>
      <c r="AW159" s="246"/>
      <c r="AX159" s="226" t="str">
        <f>IF(ROUND(CF!AX49,0)=ROUND(SUM(CF!AT49:AW49),0),"OK","ERROR")</f>
        <v>OK</v>
      </c>
    </row>
    <row r="161" spans="1:50" s="41" customFormat="1" ht="15" customHeight="1" x14ac:dyDescent="0.3">
      <c r="A161" s="44" t="s">
        <v>70</v>
      </c>
      <c r="B161" s="161" t="s">
        <v>826</v>
      </c>
      <c r="C161" s="18"/>
      <c r="D161" s="202"/>
      <c r="E161" s="202">
        <f>F161</f>
        <v>2020</v>
      </c>
      <c r="F161" s="202">
        <v>2020</v>
      </c>
      <c r="G161" s="202">
        <f>F161</f>
        <v>2020</v>
      </c>
      <c r="H161" s="202">
        <f>F161</f>
        <v>2020</v>
      </c>
      <c r="I161" s="18"/>
      <c r="J161" s="202">
        <f>L161</f>
        <v>2021</v>
      </c>
      <c r="K161" s="202">
        <f>L161</f>
        <v>2021</v>
      </c>
      <c r="L161" s="202">
        <v>2021</v>
      </c>
      <c r="M161" s="202">
        <f>L161</f>
        <v>2021</v>
      </c>
      <c r="N161" s="202">
        <f>L161</f>
        <v>2021</v>
      </c>
      <c r="O161" s="169"/>
      <c r="P161" s="202">
        <f>R161</f>
        <v>2022</v>
      </c>
      <c r="Q161" s="202">
        <f>R161</f>
        <v>2022</v>
      </c>
      <c r="R161" s="202">
        <v>2022</v>
      </c>
      <c r="S161" s="202">
        <f>R161</f>
        <v>2022</v>
      </c>
      <c r="T161" s="202">
        <f>R161</f>
        <v>2022</v>
      </c>
      <c r="U161" s="169"/>
      <c r="V161" s="202">
        <f>X161</f>
        <v>2023</v>
      </c>
      <c r="W161" s="202">
        <f>X161</f>
        <v>2023</v>
      </c>
      <c r="X161" s="202">
        <v>2023</v>
      </c>
      <c r="Y161" s="202">
        <f>X161</f>
        <v>2023</v>
      </c>
      <c r="Z161" s="202">
        <f>X161</f>
        <v>2023</v>
      </c>
      <c r="AA161" s="170"/>
      <c r="AB161" s="202">
        <f>AD161</f>
        <v>2024</v>
      </c>
      <c r="AC161" s="202">
        <f>AD161</f>
        <v>2024</v>
      </c>
      <c r="AD161" s="202">
        <v>2024</v>
      </c>
      <c r="AE161" s="202">
        <f>AD161</f>
        <v>2024</v>
      </c>
      <c r="AF161" s="202">
        <f>AD161</f>
        <v>2024</v>
      </c>
      <c r="AG161" s="170"/>
      <c r="AH161" s="202">
        <f>AJ161</f>
        <v>2025</v>
      </c>
      <c r="AI161" s="202">
        <f>AJ161</f>
        <v>2025</v>
      </c>
      <c r="AJ161" s="203">
        <v>2025</v>
      </c>
      <c r="AK161" s="202">
        <f>AJ161</f>
        <v>2025</v>
      </c>
      <c r="AL161" s="202">
        <f>AJ161</f>
        <v>2025</v>
      </c>
      <c r="AM161" s="171"/>
      <c r="AN161" s="202">
        <f>AP161</f>
        <v>2025</v>
      </c>
      <c r="AO161" s="202">
        <f>AP161</f>
        <v>2025</v>
      </c>
      <c r="AP161" s="203">
        <v>2025</v>
      </c>
      <c r="AQ161" s="202">
        <f>AP161</f>
        <v>2025</v>
      </c>
      <c r="AR161" s="202">
        <f>AP161</f>
        <v>2025</v>
      </c>
      <c r="AS161" s="18"/>
      <c r="AT161" s="162"/>
      <c r="AU161" s="18"/>
      <c r="AV161" s="163"/>
      <c r="AW161" s="18"/>
      <c r="AX161" s="163"/>
    </row>
    <row r="162" spans="1:50" s="41" customFormat="1" ht="15" customHeight="1" x14ac:dyDescent="0.3">
      <c r="B162" s="164"/>
      <c r="C162" s="18"/>
      <c r="D162" s="813">
        <v>2020</v>
      </c>
      <c r="E162" s="813"/>
      <c r="F162" s="813"/>
      <c r="G162" s="813"/>
      <c r="H162" s="813"/>
      <c r="I162" s="169"/>
      <c r="J162" s="813">
        <f>D162+1</f>
        <v>2021</v>
      </c>
      <c r="K162" s="813"/>
      <c r="L162" s="813"/>
      <c r="M162" s="813"/>
      <c r="N162" s="813"/>
      <c r="O162" s="169"/>
      <c r="P162" s="813">
        <f>J162+1</f>
        <v>2022</v>
      </c>
      <c r="Q162" s="813"/>
      <c r="R162" s="813"/>
      <c r="S162" s="813"/>
      <c r="T162" s="813"/>
      <c r="U162" s="169"/>
      <c r="V162" s="813">
        <f>P162+1</f>
        <v>2023</v>
      </c>
      <c r="W162" s="813"/>
      <c r="X162" s="813"/>
      <c r="Y162" s="813"/>
      <c r="Z162" s="813"/>
      <c r="AA162" s="169"/>
      <c r="AB162" s="813">
        <f>V162+1</f>
        <v>2024</v>
      </c>
      <c r="AC162" s="813"/>
      <c r="AD162" s="813"/>
      <c r="AE162" s="813"/>
      <c r="AF162" s="813"/>
      <c r="AG162" s="169"/>
      <c r="AH162" s="812">
        <f>AB162+1</f>
        <v>2025</v>
      </c>
      <c r="AI162" s="812"/>
      <c r="AJ162" s="812"/>
      <c r="AK162" s="812"/>
      <c r="AL162" s="812"/>
      <c r="AM162" s="169"/>
      <c r="AN162" s="812">
        <f>AH162+1</f>
        <v>2026</v>
      </c>
      <c r="AO162" s="812"/>
      <c r="AP162" s="812"/>
      <c r="AQ162" s="812"/>
      <c r="AR162" s="812"/>
      <c r="AS162" s="171"/>
      <c r="AT162" s="166">
        <f>AN162+1</f>
        <v>2027</v>
      </c>
      <c r="AU162" s="167"/>
      <c r="AV162" s="166">
        <f>+AT162+1</f>
        <v>2028</v>
      </c>
      <c r="AW162" s="167"/>
      <c r="AX162" s="166">
        <f>+AV162+1</f>
        <v>2029</v>
      </c>
    </row>
    <row r="163" spans="1:50" s="41" customFormat="1" ht="15" customHeight="1" x14ac:dyDescent="0.3">
      <c r="B163" s="164"/>
      <c r="C163" s="18"/>
      <c r="D163" s="168" t="s">
        <v>36</v>
      </c>
      <c r="E163" s="168" t="s">
        <v>37</v>
      </c>
      <c r="F163" s="168" t="s">
        <v>38</v>
      </c>
      <c r="G163" s="168" t="s">
        <v>39</v>
      </c>
      <c r="H163" s="168" t="s">
        <v>40</v>
      </c>
      <c r="I163" s="18"/>
      <c r="J163" s="168" t="s">
        <v>36</v>
      </c>
      <c r="K163" s="168" t="s">
        <v>37</v>
      </c>
      <c r="L163" s="168" t="s">
        <v>38</v>
      </c>
      <c r="M163" s="168" t="s">
        <v>39</v>
      </c>
      <c r="N163" s="168" t="s">
        <v>40</v>
      </c>
      <c r="O163" s="165"/>
      <c r="P163" s="168" t="s">
        <v>36</v>
      </c>
      <c r="Q163" s="168" t="s">
        <v>37</v>
      </c>
      <c r="R163" s="168" t="s">
        <v>38</v>
      </c>
      <c r="S163" s="168" t="s">
        <v>39</v>
      </c>
      <c r="T163" s="168" t="s">
        <v>40</v>
      </c>
      <c r="U163" s="165"/>
      <c r="V163" s="168" t="s">
        <v>36</v>
      </c>
      <c r="W163" s="168" t="s">
        <v>37</v>
      </c>
      <c r="X163" s="168" t="s">
        <v>38</v>
      </c>
      <c r="Y163" s="168" t="s">
        <v>39</v>
      </c>
      <c r="Z163" s="168" t="s">
        <v>40</v>
      </c>
      <c r="AA163" s="165"/>
      <c r="AB163" s="168" t="s">
        <v>36</v>
      </c>
      <c r="AC163" s="168" t="s">
        <v>37</v>
      </c>
      <c r="AD163" s="168" t="s">
        <v>38</v>
      </c>
      <c r="AE163" s="168" t="s">
        <v>39</v>
      </c>
      <c r="AF163" s="168" t="s">
        <v>40</v>
      </c>
      <c r="AG163" s="165"/>
      <c r="AH163" s="168" t="s">
        <v>36</v>
      </c>
      <c r="AI163" s="168" t="s">
        <v>37</v>
      </c>
      <c r="AJ163" s="168" t="s">
        <v>38</v>
      </c>
      <c r="AK163" s="168" t="s">
        <v>39</v>
      </c>
      <c r="AL163" s="168" t="s">
        <v>40</v>
      </c>
      <c r="AM163" s="165"/>
      <c r="AN163" s="168" t="s">
        <v>36</v>
      </c>
      <c r="AO163" s="168" t="s">
        <v>37</v>
      </c>
      <c r="AP163" s="168" t="s">
        <v>38</v>
      </c>
      <c r="AQ163" s="168" t="s">
        <v>39</v>
      </c>
      <c r="AR163" s="168" t="s">
        <v>40</v>
      </c>
      <c r="AS163" s="165"/>
      <c r="AT163" s="168" t="s">
        <v>40</v>
      </c>
      <c r="AU163" s="165"/>
      <c r="AV163" s="168" t="s">
        <v>40</v>
      </c>
      <c r="AW163" s="165"/>
      <c r="AX163" s="168" t="s">
        <v>40</v>
      </c>
    </row>
    <row r="164" spans="1:50" s="41" customFormat="1" ht="4.3499999999999996" customHeight="1" x14ac:dyDescent="0.3">
      <c r="A164" s="43"/>
      <c r="B164" s="176"/>
      <c r="C164" s="35"/>
      <c r="D164" s="177"/>
      <c r="E164" s="177"/>
      <c r="F164" s="177"/>
      <c r="G164" s="177"/>
      <c r="H164" s="177"/>
      <c r="I164" s="35"/>
      <c r="J164" s="177"/>
      <c r="K164" s="177"/>
      <c r="L164" s="177"/>
      <c r="M164" s="177"/>
      <c r="N164" s="177"/>
      <c r="O164" s="178"/>
      <c r="P164" s="177"/>
      <c r="Q164" s="177"/>
      <c r="R164" s="177"/>
      <c r="S164" s="177"/>
      <c r="T164" s="177"/>
      <c r="U164" s="178"/>
      <c r="V164" s="177"/>
      <c r="W164" s="177"/>
      <c r="X164" s="177"/>
      <c r="Y164" s="177"/>
      <c r="Z164" s="177"/>
      <c r="AA164" s="178"/>
      <c r="AB164" s="177"/>
      <c r="AC164" s="177"/>
      <c r="AD164" s="177"/>
      <c r="AE164" s="177"/>
      <c r="AF164" s="177"/>
      <c r="AG164" s="178"/>
      <c r="AH164" s="177"/>
      <c r="AI164" s="177"/>
      <c r="AJ164" s="177"/>
      <c r="AK164" s="177"/>
      <c r="AL164" s="179"/>
      <c r="AM164" s="180"/>
      <c r="AN164" s="179"/>
      <c r="AO164" s="179"/>
      <c r="AP164" s="179"/>
      <c r="AQ164" s="179"/>
      <c r="AR164" s="179"/>
      <c r="AS164" s="180"/>
      <c r="AT164" s="179"/>
      <c r="AU164" s="180"/>
      <c r="AV164" s="179"/>
      <c r="AW164" s="180"/>
      <c r="AX164" s="179"/>
    </row>
    <row r="165" spans="1:50" s="41" customFormat="1" ht="4.3499999999999996" customHeight="1" x14ac:dyDescent="0.3">
      <c r="A165" s="43"/>
      <c r="B165" s="172"/>
      <c r="C165" s="19"/>
      <c r="D165" s="173"/>
      <c r="E165" s="173"/>
      <c r="F165" s="173"/>
      <c r="G165" s="173"/>
      <c r="H165" s="173"/>
      <c r="I165" s="19"/>
      <c r="J165" s="173"/>
      <c r="K165" s="173"/>
      <c r="L165" s="173"/>
      <c r="M165" s="173"/>
      <c r="N165" s="173"/>
      <c r="O165" s="174"/>
      <c r="P165" s="173"/>
      <c r="Q165" s="173"/>
      <c r="R165" s="173"/>
      <c r="S165" s="173"/>
      <c r="T165" s="173"/>
      <c r="U165" s="174"/>
      <c r="V165" s="173"/>
      <c r="W165" s="173"/>
      <c r="X165" s="173"/>
      <c r="Y165" s="173"/>
      <c r="Z165" s="173"/>
      <c r="AA165" s="174"/>
      <c r="AB165" s="173"/>
      <c r="AC165" s="173"/>
      <c r="AD165" s="173"/>
      <c r="AE165" s="173"/>
      <c r="AF165" s="173"/>
      <c r="AG165" s="204"/>
      <c r="AH165" s="173"/>
      <c r="AI165" s="173"/>
      <c r="AJ165" s="173"/>
      <c r="AK165" s="173"/>
      <c r="AL165" s="175"/>
      <c r="AM165" s="34"/>
      <c r="AN165" s="175"/>
      <c r="AO165" s="175"/>
      <c r="AP165" s="175"/>
      <c r="AQ165" s="175"/>
      <c r="AR165" s="175"/>
      <c r="AS165" s="34"/>
      <c r="AT165" s="175"/>
      <c r="AU165" s="34"/>
      <c r="AV165" s="175"/>
      <c r="AW165" s="34"/>
      <c r="AX165" s="175"/>
    </row>
    <row r="166" spans="1:50" s="54" customFormat="1" ht="15" customHeight="1" x14ac:dyDescent="0.3">
      <c r="A166" s="43"/>
      <c r="B166" s="154"/>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x14ac:dyDescent="0.3">
      <c r="A167" s="44" t="s">
        <v>70</v>
      </c>
      <c r="B167" s="154" t="s">
        <v>793</v>
      </c>
      <c r="C167" s="17"/>
      <c r="D167" s="208"/>
      <c r="E167" s="208"/>
      <c r="F167" s="208"/>
      <c r="G167" s="208"/>
      <c r="H167" s="220"/>
      <c r="I167" s="210"/>
      <c r="J167" s="208"/>
      <c r="K167" s="208"/>
      <c r="L167" s="208"/>
      <c r="M167" s="208"/>
      <c r="N167" s="220"/>
      <c r="O167" s="209"/>
      <c r="P167" s="208"/>
      <c r="Q167" s="208"/>
      <c r="R167" s="208"/>
      <c r="S167" s="208"/>
      <c r="T167" s="220"/>
      <c r="U167" s="209"/>
      <c r="V167" s="208"/>
      <c r="W167" s="208"/>
      <c r="X167" s="208"/>
      <c r="Y167" s="208"/>
      <c r="Z167" s="220"/>
      <c r="AA167" s="209"/>
      <c r="AB167" s="208"/>
      <c r="AC167" s="208"/>
      <c r="AD167" s="208"/>
      <c r="AE167" s="208"/>
      <c r="AF167" s="220"/>
      <c r="AG167" s="211"/>
      <c r="AH167" s="208"/>
      <c r="AI167" s="208"/>
      <c r="AJ167" s="212"/>
      <c r="AK167" s="212"/>
      <c r="AL167" s="222"/>
      <c r="AM167" s="215"/>
      <c r="AN167" s="212"/>
      <c r="AO167" s="212"/>
      <c r="AP167" s="212"/>
      <c r="AQ167" s="212"/>
      <c r="AR167" s="222"/>
      <c r="AS167" s="215"/>
      <c r="AT167" s="222"/>
      <c r="AU167" s="215"/>
      <c r="AV167" s="222"/>
      <c r="AW167" s="246"/>
      <c r="AX167" s="222"/>
    </row>
    <row r="168" spans="1:50" s="54" customFormat="1" ht="15" customHeight="1" thickBot="1" x14ac:dyDescent="0.3">
      <c r="A168" s="84"/>
      <c r="B168" s="157" t="s">
        <v>798</v>
      </c>
      <c r="C168" s="26"/>
      <c r="D168" s="217" t="str">
        <f>IF(ROUND(CF!D25,0)=ROUND(SUM(CF!D15,CF!D17:D19,CF!D21:D24),0),"OK","ERROR")</f>
        <v>ERROR</v>
      </c>
      <c r="E168" s="217" t="str">
        <f>IF(ROUND(CF!E25,0)=ROUND(SUM(CF!E15,CF!E17:E19,CF!E21:E24),0),"OK","ERROR")</f>
        <v>ERROR</v>
      </c>
      <c r="F168" s="217" t="str">
        <f>IF(ROUND(CF!F25,0)=ROUND(SUM(CF!F15,CF!F17:F19,CF!F21:F24),0),"OK","ERROR")</f>
        <v>ERROR</v>
      </c>
      <c r="G168" s="217" t="str">
        <f>IF(ROUND(CF!G25,0)=ROUND(SUM(CF!G15,CF!G17:G19,CF!G21:G24),0),"OK","ERROR")</f>
        <v>ERROR</v>
      </c>
      <c r="H168" s="237" t="str">
        <f>IF(ROUND(CF!H25,0)=ROUND(SUM(CF!H15,CF!H17:H19,CF!H21:H24),0),"OK","ERROR")</f>
        <v>ERROR</v>
      </c>
      <c r="I168" s="210"/>
      <c r="J168" s="217" t="str">
        <f>IF(ROUND(CF!J25,0)=ROUND(SUM(CF!J15,CF!J17:J19,CF!J21:J24),0),"OK","ERROR")</f>
        <v>ERROR</v>
      </c>
      <c r="K168" s="217" t="str">
        <f>IF(ROUND(CF!K25,0)=ROUND(SUM(CF!K15,CF!K17:K19,CF!K21:K24),0),"OK","ERROR")</f>
        <v>ERROR</v>
      </c>
      <c r="L168" s="217" t="str">
        <f>IF(ROUND(CF!L25,0)=ROUND(SUM(CF!L15,CF!L17:L19,CF!L21:L24),0),"OK","ERROR")</f>
        <v>ERROR</v>
      </c>
      <c r="M168" s="217" t="str">
        <f>IF(ROUND(CF!M25,0)=ROUND(SUM(CF!M15,CF!M17:M19,CF!M21:M24),0),"OK","ERROR")</f>
        <v>ERROR</v>
      </c>
      <c r="N168" s="237" t="str">
        <f>IF(ROUND(CF!N25,0)=ROUND(SUM(CF!N15,CF!N17:N19,CF!N21:N24),0),"OK","ERROR")</f>
        <v>ERROR</v>
      </c>
      <c r="O168" s="210"/>
      <c r="P168" s="217" t="str">
        <f>IF(ROUND(CF!P25,0)=ROUND(SUM(CF!P15,CF!P17:P19,CF!P21:P24),0),"OK","ERROR")</f>
        <v>ERROR</v>
      </c>
      <c r="Q168" s="217" t="str">
        <f>IF(ROUND(CF!Q25,0)=ROUND(SUM(CF!Q15,CF!Q17:Q19,CF!Q21:Q24),0),"OK","ERROR")</f>
        <v>ERROR</v>
      </c>
      <c r="R168" s="217" t="str">
        <f>IF(ROUND(CF!R25,0)=ROUND(SUM(CF!R15,CF!R17:R19,CF!R21:R24),0),"OK","ERROR")</f>
        <v>ERROR</v>
      </c>
      <c r="S168" s="217" t="str">
        <f>IF(ROUND(CF!S25,0)=ROUND(SUM(CF!S15,CF!S17:S19,CF!S21:S24),0),"OK","ERROR")</f>
        <v>ERROR</v>
      </c>
      <c r="T168" s="237" t="str">
        <f>IF(ROUND(CF!T25,0)=ROUND(SUM(CF!T15,CF!T17:T19,CF!T21:T24),0),"OK","ERROR")</f>
        <v>ERROR</v>
      </c>
      <c r="U168" s="210"/>
      <c r="V168" s="217" t="str">
        <f>IF(ROUND(CF!V25,0)=ROUND(SUM(CF!V15,CF!V17:V19,CF!V21:V24),0),"OK","ERROR")</f>
        <v>ERROR</v>
      </c>
      <c r="W168" s="217" t="str">
        <f>IF(ROUND(CF!W25,0)=ROUND(SUM(CF!W15,CF!W17:W19,CF!W21:W24),0),"OK","ERROR")</f>
        <v>ERROR</v>
      </c>
      <c r="X168" s="217" t="str">
        <f>IF(ROUND(CF!X25,0)=ROUND(SUM(CF!X15,CF!X17:X19,CF!X21:X24),0),"OK","ERROR")</f>
        <v>ERROR</v>
      </c>
      <c r="Y168" s="217" t="str">
        <f>IF(ROUND(CF!Y25,0)=ROUND(SUM(CF!Y15,CF!Y17:Y19,CF!Y21:Y24),0),"OK","ERROR")</f>
        <v>ERROR</v>
      </c>
      <c r="Z168" s="237" t="str">
        <f>IF(ROUND(CF!Z25,0)=ROUND(SUM(CF!Z15,CF!Z17:Z19,CF!Z21:Z24),0),"OK","ERROR")</f>
        <v>ERROR</v>
      </c>
      <c r="AA168" s="228"/>
      <c r="AB168" s="217" t="str">
        <f>IF(ROUND(CF!AB25,0)=ROUND(SUM(CF!AB15,CF!AB17:AB19,CF!AB21:AB24),0),"OK","ERROR")</f>
        <v>ERROR</v>
      </c>
      <c r="AC168" s="217" t="str">
        <f>IF(ROUND(CF!AC25,0)=ROUND(SUM(CF!AC15,CF!AC17:AC19,CF!AC21:AC24),0),"OK","ERROR")</f>
        <v>ERROR</v>
      </c>
      <c r="AD168" s="217" t="str">
        <f>IF(ROUND(CF!AD25,0)=ROUND(SUM(CF!AD15,CF!AD17:AD19,CF!AD21:AD24),0),"OK","ERROR")</f>
        <v>ERROR</v>
      </c>
      <c r="AE168" s="217" t="str">
        <f>IF(ROUND(CF!AE25,0)=ROUND(SUM(CF!AE15,CF!AE17:AE19,CF!AE21:AE24),0),"OK","ERROR")</f>
        <v>ERROR</v>
      </c>
      <c r="AF168" s="237" t="str">
        <f>IF(ROUND(CF!AF25,0)=ROUND(SUM(CF!AF15,CF!AF17:AF19,CF!AF21:AF24),0),"OK","ERROR")</f>
        <v>ERROR</v>
      </c>
      <c r="AG168" s="229"/>
      <c r="AH168" s="217" t="str">
        <f>IF(ROUND(CF!AH25,0)=ROUND(SUM(CF!AH15,CF!AH17:AH19,CF!AH21:AH24),0),"OK","ERROR")</f>
        <v>ERROR</v>
      </c>
      <c r="AI168" s="217" t="str">
        <f>IF(ROUND(CF!AI25,0)=ROUND(SUM(CF!AI15,CF!AI17:AI19,CF!AI21:AI24),0),"OK","ERROR")</f>
        <v>ERROR</v>
      </c>
      <c r="AJ168" s="217" t="str">
        <f>IF(ROUND(CF!AJ24,0)=ROUND(SUM(CF!AJ15,CF!AJ17:AJ19,CF!AJ21:AJ24),0),"OK","ERROR")</f>
        <v>OK</v>
      </c>
      <c r="AK168" s="217" t="str">
        <f>IF(ROUND(CF!AK25,0)=ROUND(SUM(CF!AK15,CF!AK17:AK19,CF!AK21:AK24),0),"OK","ERROR")</f>
        <v>OK</v>
      </c>
      <c r="AL168" s="237" t="str">
        <f>IF(ROUND(CF!AL25,0)=ROUND(SUM(CF!AL15,CF!AL17:AL19,CF!AL21:AL24),0),"OK","ERROR")</f>
        <v>OK</v>
      </c>
      <c r="AM168" s="230"/>
      <c r="AN168" s="217" t="str">
        <f>IF(ROUND(CF!AN25,0)=ROUND(SUM(CF!AN15,CF!AN17:AN19,CF!AN21:AN24),0),"OK","ERROR")</f>
        <v>OK</v>
      </c>
      <c r="AO168" s="217" t="str">
        <f>IF(ROUND(CF!AO25,0)=ROUND(SUM(CF!AO15,CF!AO17:AO19,CF!AO21:AO24),0),"OK","ERROR")</f>
        <v>OK</v>
      </c>
      <c r="AP168" s="217" t="str">
        <f>IF(ROUND(CF!AP25,0)=ROUND(SUM(CF!AP15,CF!AP17:AP19,CF!AP21:AP24),0),"OK","ERROR")</f>
        <v>OK</v>
      </c>
      <c r="AQ168" s="217" t="str">
        <f>IF(ROUND(CF!AQ25,0)=ROUND(SUM(CF!AQ15,CF!AQ17:AQ19,CF!AQ21:AQ24),0),"OK","ERROR")</f>
        <v>OK</v>
      </c>
      <c r="AR168" s="237" t="str">
        <f>IF(ROUND(CF!AR25,0)=ROUND(SUM(CF!AR15,CF!AR17:AR19,CF!AR21:AR24),0),"OK","ERROR")</f>
        <v>OK</v>
      </c>
      <c r="AS168" s="230"/>
      <c r="AT168" s="237" t="str">
        <f>IF(ROUND(CF!AT25,0)=ROUND(SUM(CF!AT15,CF!AT17:AT19,CF!AT21:AT24),0),"OK","ERROR")</f>
        <v>OK</v>
      </c>
      <c r="AU168" s="230"/>
      <c r="AV168" s="237" t="str">
        <f>IF(ROUND(CF!AV25,0)=ROUND(SUM(CF!AV15,CF!AV17:AV19,CF!AV21:AV24),0),"OK","ERROR")</f>
        <v>OK</v>
      </c>
      <c r="AW168" s="246"/>
      <c r="AX168" s="237" t="str">
        <f>IF(ROUND(CF!AX25,0)=ROUND(SUM(CF!AX15,CF!AX17:AX19,CF!AX21:AX24),0),"OK","ERROR")</f>
        <v>OK</v>
      </c>
    </row>
    <row r="169" spans="1:50" s="54" customFormat="1" ht="15" customHeight="1" thickTop="1" x14ac:dyDescent="0.3">
      <c r="A169" s="43"/>
      <c r="B169" s="154"/>
      <c r="C169" s="17"/>
      <c r="D169" s="208"/>
      <c r="E169" s="208"/>
      <c r="F169" s="208"/>
      <c r="G169" s="208"/>
      <c r="H169" s="220"/>
      <c r="I169" s="210"/>
      <c r="J169" s="208"/>
      <c r="K169" s="208"/>
      <c r="L169" s="208"/>
      <c r="M169" s="208"/>
      <c r="N169" s="220"/>
      <c r="O169" s="210"/>
      <c r="P169" s="208"/>
      <c r="Q169" s="208"/>
      <c r="R169" s="208"/>
      <c r="S169" s="208"/>
      <c r="T169" s="220"/>
      <c r="U169" s="210"/>
      <c r="V169" s="208"/>
      <c r="W169" s="208"/>
      <c r="X169" s="208"/>
      <c r="Y169" s="208"/>
      <c r="Z169" s="220"/>
      <c r="AA169" s="213"/>
      <c r="AB169" s="208"/>
      <c r="AC169" s="208"/>
      <c r="AD169" s="208"/>
      <c r="AE169" s="208"/>
      <c r="AF169" s="220"/>
      <c r="AG169" s="211"/>
      <c r="AH169" s="208"/>
      <c r="AI169" s="208"/>
      <c r="AJ169" s="208"/>
      <c r="AK169" s="208"/>
      <c r="AL169" s="220"/>
      <c r="AM169" s="225"/>
      <c r="AN169" s="208"/>
      <c r="AO169" s="208"/>
      <c r="AP169" s="208"/>
      <c r="AQ169" s="208"/>
      <c r="AR169" s="220"/>
      <c r="AS169" s="225"/>
      <c r="AT169" s="220"/>
      <c r="AU169" s="225"/>
      <c r="AV169" s="220"/>
      <c r="AW169" s="246"/>
      <c r="AX169" s="220"/>
    </row>
    <row r="170" spans="1:50" s="54" customFormat="1" ht="15" customHeight="1" x14ac:dyDescent="0.25">
      <c r="A170" s="44" t="s">
        <v>70</v>
      </c>
      <c r="B170" s="158" t="s">
        <v>799</v>
      </c>
      <c r="C170" s="115"/>
      <c r="D170" s="208"/>
      <c r="E170" s="208"/>
      <c r="F170" s="208"/>
      <c r="G170" s="208"/>
      <c r="H170" s="220"/>
      <c r="I170" s="210"/>
      <c r="J170" s="208"/>
      <c r="K170" s="208"/>
      <c r="L170" s="208"/>
      <c r="M170" s="208"/>
      <c r="N170" s="220"/>
      <c r="O170" s="210"/>
      <c r="P170" s="208"/>
      <c r="Q170" s="208"/>
      <c r="R170" s="208"/>
      <c r="S170" s="208"/>
      <c r="T170" s="220"/>
      <c r="U170" s="210"/>
      <c r="V170" s="208"/>
      <c r="W170" s="208"/>
      <c r="X170" s="208"/>
      <c r="Y170" s="208"/>
      <c r="Z170" s="220"/>
      <c r="AA170" s="228"/>
      <c r="AB170" s="208"/>
      <c r="AC170" s="208"/>
      <c r="AD170" s="208"/>
      <c r="AE170" s="208"/>
      <c r="AF170" s="220"/>
      <c r="AG170" s="229"/>
      <c r="AH170" s="208"/>
      <c r="AI170" s="208"/>
      <c r="AJ170" s="208"/>
      <c r="AK170" s="208"/>
      <c r="AL170" s="220"/>
      <c r="AM170" s="230"/>
      <c r="AN170" s="208"/>
      <c r="AO170" s="208"/>
      <c r="AP170" s="208"/>
      <c r="AQ170" s="208"/>
      <c r="AR170" s="220"/>
      <c r="AS170" s="230"/>
      <c r="AT170" s="220"/>
      <c r="AU170" s="230"/>
      <c r="AV170" s="220"/>
      <c r="AW170" s="246"/>
      <c r="AX170" s="220"/>
    </row>
    <row r="171" spans="1:50" s="54" customFormat="1" ht="15" customHeight="1" thickBot="1" x14ac:dyDescent="0.35">
      <c r="A171" s="113"/>
      <c r="B171" s="160" t="s">
        <v>808</v>
      </c>
      <c r="C171" s="17"/>
      <c r="D171" s="217" t="str">
        <f>IF(ROUND(CF!D36,0)=ROUND(SUM(CF!D28:D35),0),"OK","ERROR")</f>
        <v>ERROR</v>
      </c>
      <c r="E171" s="217" t="str">
        <f>IF(ROUND(CF!E36,0)=ROUND(SUM(CF!E28:E35),0),"OK","ERROR")</f>
        <v>ERROR</v>
      </c>
      <c r="F171" s="217" t="str">
        <f>IF(ROUND(CF!F36,0)=ROUND(SUM(CF!F28:F35),0),"OK","ERROR")</f>
        <v>ERROR</v>
      </c>
      <c r="G171" s="217" t="str">
        <f>IF(ROUND(CF!G36,0)=ROUND(SUM(CF!G28:G35),0),"OK","ERROR")</f>
        <v>ERROR</v>
      </c>
      <c r="H171" s="237" t="str">
        <f>IF(ROUND(CF!H36,0)=ROUND(SUM(CF!H28:H35),0),"OK","ERROR")</f>
        <v>ERROR</v>
      </c>
      <c r="I171" s="210"/>
      <c r="J171" s="217" t="str">
        <f>IF(ROUND(CF!J36,0)=ROUND(SUM(CF!J28:J35),0),"OK","ERROR")</f>
        <v>ERROR</v>
      </c>
      <c r="K171" s="217" t="str">
        <f>IF(ROUND(CF!K36,0)=ROUND(SUM(CF!K28:K35),0),"OK","ERROR")</f>
        <v>ERROR</v>
      </c>
      <c r="L171" s="217" t="str">
        <f>IF(ROUND(CF!L36,0)=ROUND(SUM(CF!L28:L35),0),"OK","ERROR")</f>
        <v>ERROR</v>
      </c>
      <c r="M171" s="217" t="str">
        <f>IF(ROUND(CF!M36,0)=ROUND(SUM(CF!M28:M35),0),"OK","ERROR")</f>
        <v>ERROR</v>
      </c>
      <c r="N171" s="237" t="str">
        <f>IF(ROUND(CF!N36,0)=ROUND(SUM(CF!N28:N35),0),"OK","ERROR")</f>
        <v>ERROR</v>
      </c>
      <c r="O171" s="210"/>
      <c r="P171" s="217" t="str">
        <f>IF(ROUND(CF!P36,0)=ROUND(SUM(CF!P28:P35),0),"OK","ERROR")</f>
        <v>ERROR</v>
      </c>
      <c r="Q171" s="217" t="str">
        <f>IF(ROUND(CF!Q36,0)=ROUND(SUM(CF!Q28:Q35),0),"OK","ERROR")</f>
        <v>ERROR</v>
      </c>
      <c r="R171" s="217" t="str">
        <f>IF(ROUND(CF!R36,0)=ROUND(SUM(CF!R28:R35),0),"OK","ERROR")</f>
        <v>ERROR</v>
      </c>
      <c r="S171" s="217" t="str">
        <f>IF(ROUND(CF!S36,0)=ROUND(SUM(CF!S28:S35),0),"OK","ERROR")</f>
        <v>ERROR</v>
      </c>
      <c r="T171" s="237" t="str">
        <f>IF(ROUND(CF!T36,0)=ROUND(SUM(CF!T28:T35),0),"OK","ERROR")</f>
        <v>ERROR</v>
      </c>
      <c r="U171" s="210"/>
      <c r="V171" s="217" t="str">
        <f>IF(ROUND(CF!V36,0)=ROUND(SUM(CF!V28:V35),0),"OK","ERROR")</f>
        <v>ERROR</v>
      </c>
      <c r="W171" s="217" t="str">
        <f>IF(ROUND(CF!W36,0)=ROUND(SUM(CF!W28:W35),0),"OK","ERROR")</f>
        <v>ERROR</v>
      </c>
      <c r="X171" s="217" t="str">
        <f>IF(ROUND(CF!X36,0)=ROUND(SUM(CF!X28:X35),0),"OK","ERROR")</f>
        <v>ERROR</v>
      </c>
      <c r="Y171" s="217" t="str">
        <f>IF(ROUND(CF!Y36,0)=ROUND(SUM(CF!Y28:Y35),0),"OK","ERROR")</f>
        <v>ERROR</v>
      </c>
      <c r="Z171" s="237" t="str">
        <f>IF(ROUND(CF!Z36,0)=ROUND(SUM(CF!Z28:Z35),0),"OK","ERROR")</f>
        <v>ERROR</v>
      </c>
      <c r="AA171" s="213"/>
      <c r="AB171" s="217" t="str">
        <f>IF(ROUND(CF!AB36,0)=ROUND(SUM(CF!AB28:AB35),0),"OK","ERROR")</f>
        <v>ERROR</v>
      </c>
      <c r="AC171" s="217" t="str">
        <f>IF(ROUND(CF!AC36,0)=ROUND(SUM(CF!AC28:AC35),0),"OK","ERROR")</f>
        <v>ERROR</v>
      </c>
      <c r="AD171" s="217" t="str">
        <f>IF(ROUND(CF!AD36,0)=ROUND(SUM(CF!AD28:AD35),0),"OK","ERROR")</f>
        <v>ERROR</v>
      </c>
      <c r="AE171" s="217" t="str">
        <f>IF(ROUND(CF!AE36,0)=ROUND(SUM(CF!AE28:AE35),0),"OK","ERROR")</f>
        <v>ERROR</v>
      </c>
      <c r="AF171" s="237" t="str">
        <f>IF(ROUND(CF!AF36,0)=ROUND(SUM(CF!AF28:AF35),0),"OK","ERROR")</f>
        <v>ERROR</v>
      </c>
      <c r="AG171" s="211"/>
      <c r="AH171" s="217" t="str">
        <f>IF(ROUND(CF!AH36,0)=ROUND(SUM(CF!AH28:AH35),0),"OK","ERROR")</f>
        <v>ERROR</v>
      </c>
      <c r="AI171" s="217" t="str">
        <f>IF(ROUND(CF!AI36,0)=ROUND(SUM(CF!AI28:AI35),0),"OK","ERROR")</f>
        <v>ERROR</v>
      </c>
      <c r="AJ171" s="217" t="str">
        <f>IF(ROUND(CF!AJ36,0)=ROUND(SUM(CF!AJ28:AJ35),0),"OK","ERROR")</f>
        <v>OK</v>
      </c>
      <c r="AK171" s="217" t="str">
        <f>IF(ROUND(CF!AK36,0)=ROUND(SUM(CF!AK28:AK35),0),"OK","ERROR")</f>
        <v>OK</v>
      </c>
      <c r="AL171" s="237" t="str">
        <f>IF(ROUND(CF!AL36,0)=ROUND(SUM(CF!AL28:AL35),0),"OK","ERROR")</f>
        <v>OK</v>
      </c>
      <c r="AM171" s="215"/>
      <c r="AN171" s="217" t="str">
        <f>IF(ROUND(CF!AN36,0)=ROUND(SUM(CF!AN28:AN35),0),"OK","ERROR")</f>
        <v>OK</v>
      </c>
      <c r="AO171" s="217" t="str">
        <f>IF(ROUND(CF!AO36,0)=ROUND(SUM(CF!AO28:AO35),0),"OK","ERROR")</f>
        <v>OK</v>
      </c>
      <c r="AP171" s="217" t="str">
        <f>IF(ROUND(CF!AP36,0)=ROUND(SUM(CF!AP28:AP35),0),"OK","ERROR")</f>
        <v>OK</v>
      </c>
      <c r="AQ171" s="217" t="str">
        <f>IF(ROUND(CF!AQ36,0)=ROUND(SUM(CF!AQ28:AQ35),0),"OK","ERROR")</f>
        <v>OK</v>
      </c>
      <c r="AR171" s="237" t="str">
        <f>IF(ROUND(CF!AR36,0)=ROUND(SUM(CF!AR28:AR35),0),"OK","ERROR")</f>
        <v>OK</v>
      </c>
      <c r="AS171" s="215"/>
      <c r="AT171" s="237" t="str">
        <f>IF(ROUND(CF!AT36,0)=ROUND(SUM(CF!AT28:AT35),0),"OK","ERROR")</f>
        <v>OK</v>
      </c>
      <c r="AU171" s="215"/>
      <c r="AV171" s="237" t="str">
        <f>IF(ROUND(CF!AV36,0)=ROUND(SUM(CF!AV28:AV35),0),"OK","ERROR")</f>
        <v>OK</v>
      </c>
      <c r="AW171" s="246"/>
      <c r="AX171" s="237" t="str">
        <f>IF(ROUND(CF!AX36,0)=ROUND(SUM(CF!AX28:AX35),0),"OK","ERROR")</f>
        <v>OK</v>
      </c>
    </row>
    <row r="172" spans="1:50" s="54" customFormat="1" ht="15" customHeight="1" thickTop="1" x14ac:dyDescent="0.3">
      <c r="A172" s="43"/>
      <c r="B172" s="154"/>
      <c r="C172" s="115"/>
      <c r="D172" s="208"/>
      <c r="E172" s="208"/>
      <c r="F172" s="208"/>
      <c r="G172" s="208"/>
      <c r="H172" s="220"/>
      <c r="I172" s="210"/>
      <c r="J172" s="208"/>
      <c r="K172" s="208"/>
      <c r="L172" s="208"/>
      <c r="M172" s="208"/>
      <c r="N172" s="220"/>
      <c r="O172" s="210"/>
      <c r="P172" s="208"/>
      <c r="Q172" s="208"/>
      <c r="R172" s="208"/>
      <c r="S172" s="208"/>
      <c r="T172" s="220"/>
      <c r="U172" s="210"/>
      <c r="V172" s="208"/>
      <c r="W172" s="208"/>
      <c r="X172" s="208"/>
      <c r="Y172" s="208"/>
      <c r="Z172" s="220"/>
      <c r="AA172" s="232"/>
      <c r="AB172" s="208"/>
      <c r="AC172" s="208"/>
      <c r="AD172" s="208"/>
      <c r="AE172" s="208"/>
      <c r="AF172" s="220"/>
      <c r="AG172" s="229"/>
      <c r="AH172" s="208"/>
      <c r="AI172" s="208"/>
      <c r="AJ172" s="208"/>
      <c r="AK172" s="208"/>
      <c r="AL172" s="220"/>
      <c r="AM172" s="230"/>
      <c r="AN172" s="208"/>
      <c r="AO172" s="208"/>
      <c r="AP172" s="208"/>
      <c r="AQ172" s="208"/>
      <c r="AR172" s="220"/>
      <c r="AS172" s="230"/>
      <c r="AT172" s="220"/>
      <c r="AU172" s="230"/>
      <c r="AV172" s="220"/>
      <c r="AW172" s="246"/>
      <c r="AX172" s="220"/>
    </row>
    <row r="173" spans="1:50" s="54" customFormat="1" ht="15" customHeight="1" x14ac:dyDescent="0.3">
      <c r="A173" s="44" t="s">
        <v>70</v>
      </c>
      <c r="B173" s="158" t="s">
        <v>809</v>
      </c>
      <c r="C173" s="27"/>
      <c r="D173" s="208"/>
      <c r="E173" s="208"/>
      <c r="F173" s="208"/>
      <c r="G173" s="208"/>
      <c r="H173" s="220"/>
      <c r="I173" s="210"/>
      <c r="J173" s="208"/>
      <c r="K173" s="208"/>
      <c r="L173" s="208"/>
      <c r="M173" s="208"/>
      <c r="N173" s="220"/>
      <c r="O173" s="210"/>
      <c r="P173" s="208"/>
      <c r="Q173" s="208"/>
      <c r="R173" s="208"/>
      <c r="S173" s="208"/>
      <c r="T173" s="220"/>
      <c r="U173" s="210"/>
      <c r="V173" s="208"/>
      <c r="W173" s="208"/>
      <c r="X173" s="208"/>
      <c r="Y173" s="208"/>
      <c r="Z173" s="220"/>
      <c r="AA173" s="213"/>
      <c r="AB173" s="208"/>
      <c r="AC173" s="208"/>
      <c r="AD173" s="208"/>
      <c r="AE173" s="208"/>
      <c r="AF173" s="220"/>
      <c r="AG173" s="211"/>
      <c r="AH173" s="208"/>
      <c r="AI173" s="208"/>
      <c r="AJ173" s="208"/>
      <c r="AK173" s="208"/>
      <c r="AL173" s="220"/>
      <c r="AM173" s="215"/>
      <c r="AN173" s="208"/>
      <c r="AO173" s="208"/>
      <c r="AP173" s="208"/>
      <c r="AQ173" s="208"/>
      <c r="AR173" s="220"/>
      <c r="AS173" s="215"/>
      <c r="AT173" s="220"/>
      <c r="AU173" s="215"/>
      <c r="AV173" s="220"/>
      <c r="AW173" s="246"/>
      <c r="AX173" s="220"/>
    </row>
    <row r="174" spans="1:50" s="54" customFormat="1" ht="15" customHeight="1" thickBot="1" x14ac:dyDescent="0.35">
      <c r="A174" s="113"/>
      <c r="B174" s="160" t="s">
        <v>816</v>
      </c>
      <c r="C174" s="17"/>
      <c r="D174" s="217" t="str">
        <f>IF(ROUND(CF!D45,0)=ROUND(SUM(CF!D39:D44),0),"OK","ERROR")</f>
        <v>OK</v>
      </c>
      <c r="E174" s="217" t="str">
        <f>IF(ROUND(CF!E45,0)=ROUND(SUM(CF!E39:E44),0),"OK","ERROR")</f>
        <v>OK</v>
      </c>
      <c r="F174" s="217" t="str">
        <f>IF(ROUND(CF!F45,0)=ROUND(SUM(CF!F39:F44),0),"OK","ERROR")</f>
        <v>OK</v>
      </c>
      <c r="G174" s="217" t="str">
        <f>IF(ROUND(CF!G45,0)=ROUND(SUM(CF!G39:G44),0),"OK","ERROR")</f>
        <v>OK</v>
      </c>
      <c r="H174" s="237" t="str">
        <f>IF(ROUND(CF!H45,0)=ROUND(SUM(CF!H39:H44),0),"OK","ERROR")</f>
        <v>OK</v>
      </c>
      <c r="I174" s="210"/>
      <c r="J174" s="217" t="str">
        <f>IF(ROUND(CF!J45,0)=ROUND(SUM(CF!J39:J44),0),"OK","ERROR")</f>
        <v>OK</v>
      </c>
      <c r="K174" s="217" t="str">
        <f>IF(ROUND(CF!K45,0)=ROUND(SUM(CF!K39:K44),0),"OK","ERROR")</f>
        <v>OK</v>
      </c>
      <c r="L174" s="217" t="str">
        <f>IF(ROUND(CF!L45,0)=ROUND(SUM(CF!L39:L44),0),"OK","ERROR")</f>
        <v>OK</v>
      </c>
      <c r="M174" s="217" t="str">
        <f>IF(ROUND(CF!M45,0)=ROUND(SUM(CF!M39:M44),0),"OK","ERROR")</f>
        <v>OK</v>
      </c>
      <c r="N174" s="237" t="str">
        <f>IF(ROUND(CF!N45,0)=ROUND(SUM(CF!N39:N44),0),"OK","ERROR")</f>
        <v>OK</v>
      </c>
      <c r="O174" s="210"/>
      <c r="P174" s="217" t="str">
        <f>IF(ROUND(CF!P45,0)=ROUND(SUM(CF!P39:P44),0),"OK","ERROR")</f>
        <v>OK</v>
      </c>
      <c r="Q174" s="217" t="str">
        <f>IF(ROUND(CF!Q45,0)=ROUND(SUM(CF!Q39:Q44),0),"OK","ERROR")</f>
        <v>OK</v>
      </c>
      <c r="R174" s="217" t="str">
        <f>IF(ROUND(CF!R45,0)=ROUND(SUM(CF!R39:R44),0),"OK","ERROR")</f>
        <v>OK</v>
      </c>
      <c r="S174" s="217" t="str">
        <f>IF(ROUND(CF!S45,0)=ROUND(SUM(CF!S39:S44),0),"OK","ERROR")</f>
        <v>OK</v>
      </c>
      <c r="T174" s="237" t="str">
        <f>IF(ROUND(CF!T45,0)=ROUND(SUM(CF!T39:T44),0),"OK","ERROR")</f>
        <v>OK</v>
      </c>
      <c r="U174" s="210"/>
      <c r="V174" s="217" t="str">
        <f>IF(ROUND(CF!V45,0)=ROUND(SUM(CF!V39:V44),0),"OK","ERROR")</f>
        <v>OK</v>
      </c>
      <c r="W174" s="217" t="str">
        <f>IF(ROUND(CF!W45,0)=ROUND(SUM(CF!W39:W44),0),"OK","ERROR")</f>
        <v>OK</v>
      </c>
      <c r="X174" s="217" t="str">
        <f>IF(ROUND(CF!X45,0)=ROUND(SUM(CF!X39:X44),0),"OK","ERROR")</f>
        <v>OK</v>
      </c>
      <c r="Y174" s="217" t="str">
        <f>IF(ROUND(CF!Y45,0)=ROUND(SUM(CF!Y39:Y44),0),"OK","ERROR")</f>
        <v>OK</v>
      </c>
      <c r="Z174" s="237" t="str">
        <f>IF(ROUND(CF!Z45,0)=ROUND(SUM(CF!Z39:Z44),0),"OK","ERROR")</f>
        <v>OK</v>
      </c>
      <c r="AA174" s="210"/>
      <c r="AB174" s="217" t="str">
        <f>IF(ROUND(CF!AB45,0)=ROUND(SUM(CF!AB39:AB44),0),"OK","ERROR")</f>
        <v>OK</v>
      </c>
      <c r="AC174" s="217" t="str">
        <f>IF(ROUND(CF!AC45,0)=ROUND(SUM(CF!AC39:AC44),0),"OK","ERROR")</f>
        <v>OK</v>
      </c>
      <c r="AD174" s="217" t="str">
        <f>IF(ROUND(CF!AD45,0)=ROUND(SUM(CF!AD39:AD44),0),"OK","ERROR")</f>
        <v>OK</v>
      </c>
      <c r="AE174" s="217" t="str">
        <f>IF(ROUND(CF!AE45,0)=ROUND(SUM(CF!AE39:AE44),0),"OK","ERROR")</f>
        <v>OK</v>
      </c>
      <c r="AF174" s="237" t="str">
        <f>IF(ROUND(CF!AF45,0)=ROUND(SUM(CF!AF39:AF44),0),"OK","ERROR")</f>
        <v>OK</v>
      </c>
      <c r="AG174" s="238"/>
      <c r="AH174" s="217" t="str">
        <f>IF(ROUND(CF!AH45,0)=ROUND(SUM(CF!AH39:AH44),0),"OK","ERROR")</f>
        <v>OK</v>
      </c>
      <c r="AI174" s="217" t="str">
        <f>IF(ROUND(CF!AI45,0)=ROUND(SUM(CF!AI39:AI44),0),"OK","ERROR")</f>
        <v>OK</v>
      </c>
      <c r="AJ174" s="217" t="str">
        <f>IF(ROUND(CF!AJ45,0)=ROUND(SUM(CF!AJ39:AJ44),0),"OK","ERROR")</f>
        <v>OK</v>
      </c>
      <c r="AK174" s="217" t="str">
        <f>IF(ROUND(CF!AK45,0)=ROUND(SUM(CF!AK39:AK44),0),"OK","ERROR")</f>
        <v>OK</v>
      </c>
      <c r="AL174" s="237" t="str">
        <f>IF(ROUND(CF!AL45,0)=ROUND(SUM(CF!AL39:AL44),0),"OK","ERROR")</f>
        <v>OK</v>
      </c>
      <c r="AM174" s="239"/>
      <c r="AN174" s="217" t="str">
        <f>IF(ROUND(CF!AN45,0)=ROUND(SUM(CF!AN39:AN44),0),"OK","ERROR")</f>
        <v>OK</v>
      </c>
      <c r="AO174" s="217" t="str">
        <f>IF(ROUND(CF!AO45,0)=ROUND(SUM(CF!AO39:AO44),0),"OK","ERROR")</f>
        <v>OK</v>
      </c>
      <c r="AP174" s="217" t="str">
        <f>IF(ROUND(CF!AP45,0)=ROUND(SUM(CF!AP39:AP44),0),"OK","ERROR")</f>
        <v>OK</v>
      </c>
      <c r="AQ174" s="217" t="str">
        <f>IF(ROUND(CF!AQ45,0)=ROUND(SUM(CF!AQ39:AQ44),0),"OK","ERROR")</f>
        <v>OK</v>
      </c>
      <c r="AR174" s="237" t="str">
        <f>IF(ROUND(CF!AR45,0)=ROUND(SUM(CF!AR39:AR44),0),"OK","ERROR")</f>
        <v>OK</v>
      </c>
      <c r="AS174" s="239"/>
      <c r="AT174" s="237" t="str">
        <f>IF(ROUND(CF!AT45,0)=ROUND(SUM(CF!AT39:AT44),0),"OK","ERROR")</f>
        <v>OK</v>
      </c>
      <c r="AU174" s="239"/>
      <c r="AV174" s="237" t="str">
        <f>IF(ROUND(CF!AV45,0)=ROUND(SUM(CF!AV39:AV44),0),"OK","ERROR")</f>
        <v>OK</v>
      </c>
      <c r="AW174" s="246"/>
      <c r="AX174" s="237" t="str">
        <f>IF(ROUND(CF!AX45,0)=ROUND(SUM(CF!AX39:AX44),0),"OK","ERROR")</f>
        <v>OK</v>
      </c>
    </row>
    <row r="175" spans="1:50" s="54" customFormat="1" ht="15" customHeight="1" thickTop="1" x14ac:dyDescent="0.3">
      <c r="A175" s="113"/>
      <c r="B175" s="9"/>
      <c r="C175" s="115"/>
      <c r="D175" s="208"/>
      <c r="E175" s="208"/>
      <c r="F175" s="208"/>
      <c r="G175" s="208"/>
      <c r="H175" s="220"/>
      <c r="I175" s="210"/>
      <c r="J175" s="208"/>
      <c r="K175" s="208"/>
      <c r="L175" s="208"/>
      <c r="M175" s="208"/>
      <c r="N175" s="220"/>
      <c r="O175" s="210"/>
      <c r="P175" s="208"/>
      <c r="Q175" s="208"/>
      <c r="R175" s="208"/>
      <c r="S175" s="208"/>
      <c r="T175" s="220"/>
      <c r="U175" s="210"/>
      <c r="V175" s="208"/>
      <c r="W175" s="208"/>
      <c r="X175" s="208"/>
      <c r="Y175" s="208"/>
      <c r="Z175" s="220"/>
      <c r="AA175" s="228"/>
      <c r="AB175" s="208"/>
      <c r="AC175" s="208"/>
      <c r="AD175" s="208"/>
      <c r="AE175" s="208"/>
      <c r="AF175" s="220"/>
      <c r="AG175" s="229"/>
      <c r="AH175" s="208"/>
      <c r="AI175" s="208"/>
      <c r="AJ175" s="208"/>
      <c r="AK175" s="208"/>
      <c r="AL175" s="220"/>
      <c r="AM175" s="230"/>
      <c r="AN175" s="208"/>
      <c r="AO175" s="208"/>
      <c r="AP175" s="208"/>
      <c r="AQ175" s="208"/>
      <c r="AR175" s="220"/>
      <c r="AS175" s="230"/>
      <c r="AT175" s="220"/>
      <c r="AU175" s="230"/>
      <c r="AV175" s="220"/>
      <c r="AW175" s="246"/>
      <c r="AX175" s="220"/>
    </row>
    <row r="176" spans="1:50" s="54" customFormat="1" ht="15" customHeight="1" x14ac:dyDescent="0.3">
      <c r="A176" s="44" t="s">
        <v>70</v>
      </c>
      <c r="B176" s="158" t="s">
        <v>818</v>
      </c>
      <c r="C176" s="17"/>
      <c r="D176" s="217" t="str">
        <f>IF(ROUND(CF!D49,0)=ROUND(SUM(CF!D25,CF!D36,CF!D45,CF!D47),0),"OK","ERROR")</f>
        <v>OK</v>
      </c>
      <c r="E176" s="217" t="str">
        <f>IF(ROUND(CF!E49,0)=ROUND(SUM(CF!E25,CF!E36,CF!E45,CF!E47),0),"OK","ERROR")</f>
        <v>OK</v>
      </c>
      <c r="F176" s="217" t="str">
        <f>IF(ROUND(CF!F49,0)=ROUND(SUM(CF!F25,CF!F36,CF!F45,CF!F47),0),"OK","ERROR")</f>
        <v>OK</v>
      </c>
      <c r="G176" s="217" t="str">
        <f>IF(ROUND(CF!G49,0)=ROUND(SUM(CF!G25,CF!G36,CF!G45,CF!G47),0),"OK","ERROR")</f>
        <v>OK</v>
      </c>
      <c r="H176" s="226" t="str">
        <f>IF(ROUND(CF!H49,0)=ROUND(SUM(CF!H25,CF!H36,CF!H45,CF!H47),0),"OK","ERROR")</f>
        <v>OK</v>
      </c>
      <c r="I176" s="210"/>
      <c r="J176" s="217" t="str">
        <f>IF(ROUND(CF!J49,0)=ROUND(SUM(CF!J25,CF!J36,CF!J45,CF!J47),0),"OK","ERROR")</f>
        <v>OK</v>
      </c>
      <c r="K176" s="217" t="str">
        <f>IF(ROUND(CF!K49,0)=ROUND(SUM(CF!K25,CF!K36,CF!K45,CF!K47),0),"OK","ERROR")</f>
        <v>OK</v>
      </c>
      <c r="L176" s="217" t="str">
        <f>IF(ROUND(CF!L49,0)=ROUND(SUM(CF!L25,CF!L36,CF!L45,CF!L47),0),"OK","ERROR")</f>
        <v>OK</v>
      </c>
      <c r="M176" s="217" t="str">
        <f>IF(ROUND(CF!M49,0)=ROUND(SUM(CF!M25,CF!M36,CF!M45,CF!M47),0),"OK","ERROR")</f>
        <v>OK</v>
      </c>
      <c r="N176" s="226" t="str">
        <f>IF(ROUND(CF!N49,0)=ROUND(SUM(CF!N25,CF!N36,CF!N45,CF!N47),0),"OK","ERROR")</f>
        <v>OK</v>
      </c>
      <c r="O176" s="210"/>
      <c r="P176" s="217" t="str">
        <f>IF(ROUND(CF!P49,0)=ROUND(SUM(CF!P25,CF!P36,CF!P45,CF!P47),0),"OK","ERROR")</f>
        <v>OK</v>
      </c>
      <c r="Q176" s="217" t="str">
        <f>IF(ROUND(CF!Q49,0)=ROUND(SUM(CF!Q25,CF!Q36,CF!Q45,CF!Q47),0),"OK","ERROR")</f>
        <v>OK</v>
      </c>
      <c r="R176" s="217" t="str">
        <f>IF(ROUND(CF!R49,0)=ROUND(SUM(CF!R25,CF!R36,CF!R45,CF!R47),0),"OK","ERROR")</f>
        <v>OK</v>
      </c>
      <c r="S176" s="217" t="str">
        <f>IF(ROUND(CF!S49,0)=ROUND(SUM(CF!S25,CF!S36,CF!S45,CF!S47),0),"OK","ERROR")</f>
        <v>OK</v>
      </c>
      <c r="T176" s="226" t="str">
        <f>IF(ROUND(CF!T49,0)=ROUND(SUM(CF!T25,CF!T36,CF!T45,CF!T47),0),"OK","ERROR")</f>
        <v>OK</v>
      </c>
      <c r="U176" s="210"/>
      <c r="V176" s="217" t="str">
        <f>IF(ROUND(CF!V49,0)=ROUND(SUM(CF!V25,CF!V36,CF!V45,CF!V47),0),"OK","ERROR")</f>
        <v>OK</v>
      </c>
      <c r="W176" s="217" t="str">
        <f>IF(ROUND(CF!W49,0)=ROUND(SUM(CF!W25,CF!W36,CF!W45,CF!W47),0),"OK","ERROR")</f>
        <v>OK</v>
      </c>
      <c r="X176" s="217" t="str">
        <f>IF(ROUND(CF!X49,0)=ROUND(SUM(CF!X25,CF!X36,CF!X45,CF!X47),0),"OK","ERROR")</f>
        <v>OK</v>
      </c>
      <c r="Y176" s="217" t="str">
        <f>IF(ROUND(CF!Y49,0)=ROUND(SUM(CF!Y25,CF!Y36,CF!Y45,CF!Y47),0),"OK","ERROR")</f>
        <v>OK</v>
      </c>
      <c r="Z176" s="226" t="str">
        <f>IF(ROUND(CF!Z49,0)=ROUND(SUM(CF!Z25,CF!Z36,CF!Z45,CF!Z47),0),"OK","ERROR")</f>
        <v>OK</v>
      </c>
      <c r="AA176" s="210"/>
      <c r="AB176" s="217" t="str">
        <f>IF(ROUND(CF!AB49,0)=ROUND(SUM(CF!AB25,CF!AB36,CF!AB45,CF!AB47),0),"OK","ERROR")</f>
        <v>OK</v>
      </c>
      <c r="AC176" s="217" t="str">
        <f>IF(ROUND(CF!AC49,0)=ROUND(SUM(CF!AC25,CF!AC36,CF!AC45,CF!AC47),0),"OK","ERROR")</f>
        <v>OK</v>
      </c>
      <c r="AD176" s="217" t="str">
        <f>IF(ROUND(CF!AD49,0)=ROUND(SUM(CF!AD25,CF!AD36,CF!AD45,CF!AD47),0),"OK","ERROR")</f>
        <v>OK</v>
      </c>
      <c r="AE176" s="217" t="str">
        <f>IF(ROUND(CF!AE49,0)=ROUND(SUM(CF!AE25,CF!AE36,CF!AE45,CF!AE47),0),"OK","ERROR")</f>
        <v>OK</v>
      </c>
      <c r="AF176" s="226" t="str">
        <f>IF(ROUND(CF!AF49,0)=ROUND(SUM(CF!AF25,CF!AF36,CF!AF45,CF!AF47),0),"OK","ERROR")</f>
        <v>OK</v>
      </c>
      <c r="AG176" s="238"/>
      <c r="AH176" s="217" t="str">
        <f>IF(ROUND(CF!AH49,0)=ROUND(SUM(CF!AH25,CF!AH36,CF!AH45,CF!AH47),0),"OK","ERROR")</f>
        <v>OK</v>
      </c>
      <c r="AI176" s="217" t="str">
        <f>IF(ROUND(CF!AI49,0)=ROUND(SUM(CF!AI25,CF!AI36,CF!AI45,CF!AI47),0),"OK","ERROR")</f>
        <v>OK</v>
      </c>
      <c r="AJ176" s="217" t="str">
        <f>IF(ROUND(CF!AJ49,0)=ROUND(SUM(CF!AJ24,CF!AJ36,CF!AJ45,CF!AJ47),0),"OK","ERROR")</f>
        <v>OK</v>
      </c>
      <c r="AK176" s="217" t="str">
        <f>IF(ROUND(CF!AK49,0)=ROUND(SUM(CF!AK25,CF!AK36,CF!AK45,CF!AK47),0),"OK","ERROR")</f>
        <v>OK</v>
      </c>
      <c r="AL176" s="226" t="str">
        <f>IF(ROUND(CF!AL49,0)=ROUND(SUM(CF!AL25,CF!AL36,CF!AL45,CF!AL47),0),"OK","ERROR")</f>
        <v>OK</v>
      </c>
      <c r="AM176" s="239"/>
      <c r="AN176" s="217" t="str">
        <f>IF(ROUND(CF!AN49,0)=ROUND(SUM(CF!AN25,CF!AN36,CF!AN45,CF!AN47),0),"OK","ERROR")</f>
        <v>OK</v>
      </c>
      <c r="AO176" s="217" t="str">
        <f>IF(ROUND(CF!AO49,0)=ROUND(SUM(CF!AO25,CF!AO36,CF!AO45,CF!AO47),0),"OK","ERROR")</f>
        <v>OK</v>
      </c>
      <c r="AP176" s="217" t="str">
        <f>IF(ROUND(CF!AP49,0)=ROUND(SUM(CF!AP25,CF!AP36,CF!AP45,CF!AP47),0),"OK","ERROR")</f>
        <v>OK</v>
      </c>
      <c r="AQ176" s="217" t="str">
        <f>IF(ROUND(CF!AQ49,0)=ROUND(SUM(CF!AQ25,CF!AQ36,CF!AQ45,CF!AQ47),0),"OK","ERROR")</f>
        <v>OK</v>
      </c>
      <c r="AR176" s="226" t="str">
        <f>IF(ROUND(CF!AR49,0)=ROUND(SUM(CF!AR25,CF!AR36,CF!AR45,CF!AR47),0),"OK","ERROR")</f>
        <v>OK</v>
      </c>
      <c r="AS176" s="239"/>
      <c r="AT176" s="226" t="str">
        <f>IF(ROUND(CF!AT49,0)=ROUND(SUM(CF!AT25,CF!AT36,CF!AT45,CF!AT47),0),"OK","ERROR")</f>
        <v>OK</v>
      </c>
      <c r="AU176" s="239"/>
      <c r="AV176" s="226" t="str">
        <f>IF(ROUND(CF!AV49,0)=ROUND(SUM(CF!AV25,CF!AV36,CF!AV45,CF!AV47),0),"OK","ERROR")</f>
        <v>OK</v>
      </c>
      <c r="AW176" s="246"/>
      <c r="AX176" s="226" t="str">
        <f>IF(ROUND(CF!AX49,0)=ROUND(SUM(CF!AX25,CF!AX36,CF!AX45,CF!AX47),0),"OK","ERROR")</f>
        <v>OK</v>
      </c>
    </row>
    <row r="177" spans="2:50" s="54" customFormat="1" ht="15" customHeight="1" thickBot="1" x14ac:dyDescent="0.3">
      <c r="B177" s="158" t="s">
        <v>819</v>
      </c>
      <c r="C177" s="115"/>
      <c r="D177" s="208" t="str">
        <f>IF(ROUND(CF!D50,0)=ROUND(SUM(CF!D49,CF!D12),0),"OK","ERROR")</f>
        <v>ERROR</v>
      </c>
      <c r="E177" s="208" t="str">
        <f>IF(ROUND(CF!E50,0)=ROUND(SUM(CF!E49,CF!E12),0),"OK","ERROR")</f>
        <v>ERROR</v>
      </c>
      <c r="F177" s="208" t="str">
        <f>IF(ROUND(CF!F50,0)=ROUND(SUM(CF!F49,CF!F12),0),"OK","ERROR")</f>
        <v>ERROR</v>
      </c>
      <c r="G177" s="208" t="str">
        <f>IF(ROUND(CF!G50,0)=ROUND(SUM(CF!G49,CF!G12),0),"OK","ERROR")</f>
        <v>ERROR</v>
      </c>
      <c r="H177" s="237" t="str">
        <f>IF(ROUND(CF!H50,0)=ROUND(SUM(CF!H49,CF!H12),0),"OK","ERROR")</f>
        <v>ERROR</v>
      </c>
      <c r="I177" s="210"/>
      <c r="J177" s="208" t="str">
        <f>IF(ROUND(CF!J50,0)=ROUND(SUM(CF!J49,CF!J12),0),"OK","ERROR")</f>
        <v>ERROR</v>
      </c>
      <c r="K177" s="208" t="str">
        <f>IF(ROUND(CF!K50,0)=ROUND(SUM(CF!K49,CF!K12),0),"OK","ERROR")</f>
        <v>ERROR</v>
      </c>
      <c r="L177" s="208" t="str">
        <f>IF(ROUND(CF!L50,0)=ROUND(SUM(CF!L49,CF!L12),0),"OK","ERROR")</f>
        <v>ERROR</v>
      </c>
      <c r="M177" s="208" t="str">
        <f>IF(ROUND(CF!M50,0)=ROUND(SUM(CF!M49,CF!M12),0),"OK","ERROR")</f>
        <v>ERROR</v>
      </c>
      <c r="N177" s="237" t="str">
        <f>IF(ROUND(CF!N50,0)=ROUND(SUM(CF!N49,CF!N12),0),"OK","ERROR")</f>
        <v>ERROR</v>
      </c>
      <c r="O177" s="210"/>
      <c r="P177" s="208" t="str">
        <f>IF(ROUND(CF!P50,0)=ROUND(SUM(CF!P49,CF!P12),0),"OK","ERROR")</f>
        <v>ERROR</v>
      </c>
      <c r="Q177" s="208" t="str">
        <f>IF(ROUND(CF!Q50,0)=ROUND(SUM(CF!Q49,CF!Q12),0),"OK","ERROR")</f>
        <v>ERROR</v>
      </c>
      <c r="R177" s="208" t="str">
        <f>IF(ROUND(CF!R50,0)=ROUND(SUM(CF!R49,CF!R12),0),"OK","ERROR")</f>
        <v>ERROR</v>
      </c>
      <c r="S177" s="208" t="str">
        <f>IF(ROUND(CF!S50,0)=ROUND(SUM(CF!S49,CF!S12),0),"OK","ERROR")</f>
        <v>ERROR</v>
      </c>
      <c r="T177" s="237" t="str">
        <f>IF(ROUND(CF!T50,0)=ROUND(SUM(CF!T49,CF!T12),0),"OK","ERROR")</f>
        <v>ERROR</v>
      </c>
      <c r="U177" s="210"/>
      <c r="V177" s="208" t="str">
        <f>IF(ROUND(CF!V50,0)=ROUND(SUM(CF!V49,CF!V12),0),"OK","ERROR")</f>
        <v>ERROR</v>
      </c>
      <c r="W177" s="208" t="str">
        <f>IF(ROUND(CF!W50,0)=ROUND(SUM(CF!W49,CF!W12),0),"OK","ERROR")</f>
        <v>ERROR</v>
      </c>
      <c r="X177" s="208" t="str">
        <f>IF(ROUND(CF!X50,0)=ROUND(SUM(CF!X49,CF!X12),0),"OK","ERROR")</f>
        <v>ERROR</v>
      </c>
      <c r="Y177" s="208" t="str">
        <f>IF(ROUND(CF!Y50,0)=ROUND(SUM(CF!Y49,CF!Y12),0),"OK","ERROR")</f>
        <v>ERROR</v>
      </c>
      <c r="Z177" s="237" t="str">
        <f>IF(ROUND(CF!Z50,0)=ROUND(SUM(CF!Z49,CF!Z12),0),"OK","ERROR")</f>
        <v>ERROR</v>
      </c>
      <c r="AA177" s="210"/>
      <c r="AB177" s="208" t="str">
        <f>IF(ROUND(CF!AB50,0)=ROUND(SUM(CF!AB49,CF!AB12),0),"OK","ERROR")</f>
        <v>ERROR</v>
      </c>
      <c r="AC177" s="208" t="str">
        <f>IF(ROUND(CF!AC50,0)=ROUND(SUM(CF!AC49,CF!AC12),0),"OK","ERROR")</f>
        <v>ERROR</v>
      </c>
      <c r="AD177" s="208" t="str">
        <f>IF(ROUND(CF!AD50,0)=ROUND(SUM(CF!AD49,CF!AD12),0),"OK","ERROR")</f>
        <v>ERROR</v>
      </c>
      <c r="AE177" s="208" t="str">
        <f>IF(ROUND(CF!AE50,0)=ROUND(SUM(CF!AE49,CF!AE12),0),"OK","ERROR")</f>
        <v>ERROR</v>
      </c>
      <c r="AF177" s="237" t="str">
        <f>IF(ROUND(CF!AF50,0)=ROUND(SUM(CF!AF49,CF!AF12),0),"OK","ERROR")</f>
        <v>ERROR</v>
      </c>
      <c r="AG177" s="238"/>
      <c r="AH177" s="208" t="str">
        <f>IF(ROUND(CF!AH50,0)=ROUND(SUM(CF!AH49,CF!AH12),0),"OK","ERROR")</f>
        <v>ERROR</v>
      </c>
      <c r="AI177" s="208" t="str">
        <f>IF(ROUND(CF!AI50,0)=ROUND(SUM(CF!AI49,CF!AI12),0),"OK","ERROR")</f>
        <v>ERROR</v>
      </c>
      <c r="AJ177" s="208" t="str">
        <f>IF(ROUND(CF!AJ50,0)=ROUND(SUM(CF!AJ49,CF!AJ12),0),"OK","ERROR")</f>
        <v>OK</v>
      </c>
      <c r="AK177" s="208" t="str">
        <f>IF(ROUND(CF!AK50,0)=ROUND(SUM(CF!AK49,CF!AK12),0),"OK","ERROR")</f>
        <v>OK</v>
      </c>
      <c r="AL177" s="237" t="str">
        <f>IF(ROUND(CF!AL50,0)=ROUND(SUM(CF!AL49,CF!AL12),0),"OK","ERROR")</f>
        <v>OK</v>
      </c>
      <c r="AM177" s="239"/>
      <c r="AN177" s="208" t="str">
        <f>IF(ROUND(CF!AN50,0)=ROUND(SUM(CF!AN49,CF!AN12),0),"OK","ERROR")</f>
        <v>OK</v>
      </c>
      <c r="AO177" s="208" t="str">
        <f>IF(ROUND(CF!AO50,0)=ROUND(SUM(CF!AO49,CF!AO12),0),"OK","ERROR")</f>
        <v>OK</v>
      </c>
      <c r="AP177" s="208" t="str">
        <f>IF(ROUND(CF!AP50,0)=ROUND(SUM(CF!AP49,CF!AP12),0),"OK","ERROR")</f>
        <v>OK</v>
      </c>
      <c r="AQ177" s="208" t="str">
        <f>IF(ROUND(CF!AQ50,0)=ROUND(SUM(CF!AQ49,CF!AQ12),0),"OK","ERROR")</f>
        <v>OK</v>
      </c>
      <c r="AR177" s="237" t="str">
        <f>IF(ROUND(CF!AR50,0)=ROUND(SUM(CF!AR49,CF!AR12),0),"OK","ERROR")</f>
        <v>OK</v>
      </c>
      <c r="AS177" s="239"/>
      <c r="AT177" s="237" t="str">
        <f>IF(ROUND(CF!AT50,0)=ROUND(SUM(CF!AT49,CF!AT12),0),"OK","ERROR")</f>
        <v>OK</v>
      </c>
      <c r="AU177" s="239"/>
      <c r="AV177" s="237" t="str">
        <f>IF(ROUND(CF!AV50,0)=ROUND(SUM(CF!AV49,CF!AV12),0),"OK","ERROR")</f>
        <v>OK</v>
      </c>
      <c r="AW177" s="246"/>
      <c r="AX177" s="237" t="str">
        <f>IF(ROUND(CF!AX50,0)=ROUND(SUM(CF!AX49,CF!AX12),0),"OK","ERROR")</f>
        <v>OK</v>
      </c>
    </row>
  </sheetData>
  <mergeCells count="35">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162:AR162"/>
    <mergeCell ref="D162:H162"/>
    <mergeCell ref="J162:N162"/>
    <mergeCell ref="P162:T162"/>
    <mergeCell ref="V162:Z162"/>
    <mergeCell ref="AB162:AF162"/>
    <mergeCell ref="AH162:AL162"/>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AA176"/>
  <sheetViews>
    <sheetView showGridLines="0" topLeftCell="A8" zoomScale="85" zoomScaleNormal="85" workbookViewId="0">
      <selection activeCell="K22" sqref="K22"/>
    </sheetView>
  </sheetViews>
  <sheetFormatPr defaultColWidth="9" defaultRowHeight="15" customHeight="1" x14ac:dyDescent="0.25"/>
  <cols>
    <col min="1" max="1" width="2.09765625" customWidth="1"/>
    <col min="2" max="2" width="12.59765625" customWidth="1"/>
    <col min="3" max="3" width="9.5" bestFit="1" customWidth="1"/>
    <col min="4" max="4" width="18.09765625" customWidth="1"/>
    <col min="5" max="5" width="8.59765625"/>
    <col min="6" max="6" width="11.59765625" customWidth="1"/>
    <col min="7" max="9" width="8.59765625"/>
    <col min="10" max="10" width="10.09765625" customWidth="1"/>
    <col min="11" max="11" width="8.59765625"/>
    <col min="12" max="12" width="14" customWidth="1"/>
    <col min="13" max="15" width="8.59765625"/>
    <col min="16" max="16" width="10.09765625" customWidth="1"/>
    <col min="17" max="17" width="12.09765625" customWidth="1"/>
    <col min="18" max="18" width="12.5" customWidth="1"/>
    <col min="19" max="20" width="8.59765625"/>
    <col min="21" max="21" width="12.09765625" customWidth="1"/>
    <col min="22" max="23" width="8.59765625" customWidth="1"/>
    <col min="24" max="16384" width="9" style="4"/>
  </cols>
  <sheetData>
    <row r="1" spans="1:27" s="581" customFormat="1" ht="15" customHeight="1" x14ac:dyDescent="0.25"/>
    <row r="2" spans="1:27" s="581" customFormat="1" ht="15" customHeight="1" x14ac:dyDescent="0.25"/>
    <row r="3" spans="1:27" s="581" customFormat="1" ht="15" customHeight="1" x14ac:dyDescent="0.25"/>
    <row r="4" spans="1:27" s="581" customFormat="1" ht="15" customHeight="1" x14ac:dyDescent="0.25"/>
    <row r="5" spans="1:27" s="580" customFormat="1" ht="4.3499999999999996" customHeight="1" x14ac:dyDescent="0.25">
      <c r="A5" s="38"/>
      <c r="B5" s="38"/>
      <c r="C5" s="38"/>
      <c r="D5" s="38"/>
      <c r="E5" s="38"/>
      <c r="F5" s="38"/>
      <c r="G5" s="38"/>
      <c r="H5" s="38"/>
      <c r="I5" s="38"/>
      <c r="J5" s="38"/>
      <c r="K5" s="38"/>
      <c r="L5" s="38"/>
      <c r="M5" s="38"/>
      <c r="N5" s="38"/>
      <c r="O5" s="38"/>
      <c r="P5" s="38"/>
      <c r="Q5" s="38"/>
      <c r="R5" s="38"/>
      <c r="S5" s="38"/>
      <c r="T5" s="38"/>
      <c r="U5" s="38"/>
      <c r="V5" s="38"/>
      <c r="W5" s="38"/>
    </row>
    <row r="7" spans="1:27" s="565" customFormat="1" ht="15" customHeight="1" x14ac:dyDescent="0.25">
      <c r="B7" s="2" t="s">
        <v>827</v>
      </c>
      <c r="C7" s="2"/>
      <c r="D7" s="2"/>
      <c r="E7" s="2"/>
      <c r="F7" s="2"/>
      <c r="G7" s="2"/>
      <c r="H7" s="2"/>
      <c r="I7" s="2"/>
      <c r="J7" s="2"/>
      <c r="K7" s="2"/>
      <c r="L7" s="2"/>
      <c r="M7" s="2"/>
      <c r="N7" s="2"/>
      <c r="O7" s="2"/>
      <c r="P7" s="2"/>
      <c r="Q7" s="2"/>
      <c r="R7" s="2"/>
      <c r="S7" s="13" t="str">
        <f>D15</f>
        <v>DE US Equity</v>
      </c>
    </row>
    <row r="8" spans="1:27" s="565" customFormat="1" ht="15" customHeight="1" x14ac:dyDescent="0.25">
      <c r="B8" s="2"/>
      <c r="C8" s="2"/>
      <c r="D8" s="2"/>
      <c r="E8" s="2"/>
      <c r="F8" s="2"/>
      <c r="G8" s="2"/>
      <c r="H8" s="2"/>
      <c r="I8" s="2"/>
      <c r="J8" s="2"/>
      <c r="K8" s="2"/>
      <c r="L8" s="2"/>
      <c r="M8" s="2"/>
      <c r="N8" s="2"/>
      <c r="O8" s="2"/>
      <c r="P8" s="2"/>
      <c r="Q8" s="2"/>
      <c r="R8" s="2"/>
    </row>
    <row r="9" spans="1:27" s="565" customFormat="1" ht="15" customHeight="1" x14ac:dyDescent="0.25">
      <c r="B9" s="2"/>
      <c r="C9" s="2"/>
      <c r="D9" s="2"/>
      <c r="E9" s="2"/>
      <c r="F9" s="2"/>
      <c r="G9" s="2"/>
      <c r="H9" s="2"/>
      <c r="I9" s="2"/>
      <c r="J9" s="2"/>
      <c r="K9" s="2"/>
      <c r="L9" s="2"/>
      <c r="M9" s="2"/>
      <c r="N9" s="2"/>
      <c r="O9" s="2"/>
      <c r="P9" s="2"/>
      <c r="Q9" s="2"/>
      <c r="R9" s="2"/>
    </row>
    <row r="10" spans="1:27" ht="4.3499999999999996" customHeight="1" x14ac:dyDescent="0.25">
      <c r="B10" s="38"/>
      <c r="C10" s="38"/>
      <c r="D10" s="38"/>
      <c r="E10" s="38"/>
      <c r="F10" s="38"/>
      <c r="G10" s="38"/>
      <c r="H10" s="38"/>
      <c r="I10" s="38"/>
      <c r="J10" s="38"/>
      <c r="K10" s="38"/>
      <c r="L10" s="38"/>
      <c r="M10" s="38"/>
      <c r="N10" s="38"/>
      <c r="O10" s="38"/>
      <c r="P10" s="38"/>
      <c r="Q10" s="38"/>
      <c r="R10" s="38"/>
    </row>
    <row r="11" spans="1:27" ht="4.3499999999999996" customHeight="1" x14ac:dyDescent="0.25"/>
    <row r="12" spans="1:27" ht="15" customHeight="1" thickBot="1" x14ac:dyDescent="0.3">
      <c r="B12" s="407" t="s">
        <v>355</v>
      </c>
      <c r="C12" s="408"/>
      <c r="D12" s="408"/>
      <c r="F12" s="409" t="s">
        <v>828</v>
      </c>
      <c r="G12" s="408"/>
      <c r="H12" s="408"/>
      <c r="I12" s="408"/>
      <c r="J12" s="408"/>
      <c r="L12" s="409" t="s">
        <v>829</v>
      </c>
      <c r="M12" s="408"/>
      <c r="O12" s="409" t="s">
        <v>830</v>
      </c>
      <c r="P12" s="408"/>
      <c r="Q12" s="408"/>
      <c r="R12" s="408"/>
    </row>
    <row r="13" spans="1:27" ht="15" customHeight="1" x14ac:dyDescent="0.25">
      <c r="B13" s="1" t="s">
        <v>831</v>
      </c>
      <c r="D13" s="406" t="s">
        <v>832</v>
      </c>
      <c r="F13" s="6" t="s">
        <v>833</v>
      </c>
      <c r="J13" s="350">
        <f>'Stock Data'!AQ4</f>
        <v>130166.30457889999</v>
      </c>
      <c r="L13" s="1" t="s">
        <v>834</v>
      </c>
      <c r="M13" s="353">
        <f>J18/(IS!AI18+IS!AH18+IS!AE18+IS!AD18)</f>
        <v>6.8940049162906556</v>
      </c>
      <c r="O13" s="10" t="s">
        <v>835</v>
      </c>
      <c r="R13" s="364" t="s">
        <v>836</v>
      </c>
    </row>
    <row r="14" spans="1:27" ht="15" customHeight="1" x14ac:dyDescent="0.25">
      <c r="B14" s="1" t="s">
        <v>837</v>
      </c>
      <c r="D14" s="364" t="s">
        <v>838</v>
      </c>
      <c r="F14" s="6" t="s">
        <v>839</v>
      </c>
      <c r="J14" s="350">
        <f>Inputs!U63</f>
        <v>126816.9234368</v>
      </c>
      <c r="L14" s="1" t="s">
        <v>840</v>
      </c>
      <c r="M14" s="353">
        <f>J18/(IS!AI33+IS!AH33+IS!AE33+IS!AD33+IS!AI28+IS!AH28+IS!AE28+IS!AD28)</f>
        <v>30.080650006291297</v>
      </c>
      <c r="O14" s="10" t="s">
        <v>841</v>
      </c>
      <c r="R14" s="364" t="s">
        <v>842</v>
      </c>
      <c r="T14" s="689" t="s">
        <v>843</v>
      </c>
      <c r="U14" s="689" t="s">
        <v>844</v>
      </c>
      <c r="V14" s="689" t="s">
        <v>845</v>
      </c>
      <c r="W14" s="689" t="s">
        <v>846</v>
      </c>
      <c r="X14" s="689" t="s">
        <v>847</v>
      </c>
      <c r="Y14" s="689" t="s">
        <v>848</v>
      </c>
      <c r="Z14" s="689" t="s">
        <v>849</v>
      </c>
      <c r="AA14" s="690"/>
    </row>
    <row r="15" spans="1:27" ht="15" customHeight="1" x14ac:dyDescent="0.25">
      <c r="B15" s="1" t="s">
        <v>850</v>
      </c>
      <c r="D15" s="363" t="s">
        <v>851</v>
      </c>
      <c r="F15" s="6" t="s">
        <v>852</v>
      </c>
      <c r="J15" s="351">
        <f>BS!AI53</f>
        <v>91</v>
      </c>
      <c r="L15" s="1" t="s">
        <v>853</v>
      </c>
      <c r="M15" s="353">
        <f>J13/(IS!AI52+IS!AH52+IS!AE52+IS!AD52)</f>
        <v>22.917450218916542</v>
      </c>
    </row>
    <row r="16" spans="1:27" ht="15" customHeight="1" thickBot="1" x14ac:dyDescent="0.3">
      <c r="B16" s="369" t="s">
        <v>854</v>
      </c>
      <c r="D16" s="363" t="s">
        <v>851</v>
      </c>
      <c r="F16" s="6" t="s">
        <v>855</v>
      </c>
      <c r="J16" s="351">
        <f>BS!AI38+BS!AI39+BS!AI44+BS!AI45</f>
        <v>66321</v>
      </c>
      <c r="L16" s="1" t="s">
        <v>856</v>
      </c>
      <c r="M16" s="353">
        <f>W63</f>
        <v>2.8660999999999999</v>
      </c>
      <c r="O16" s="409" t="s">
        <v>857</v>
      </c>
      <c r="P16" s="408"/>
      <c r="Q16" s="408"/>
      <c r="R16" s="408"/>
    </row>
    <row r="17" spans="1:23" ht="15" customHeight="1" x14ac:dyDescent="0.25">
      <c r="B17" t="s">
        <v>858</v>
      </c>
      <c r="C17" s="10"/>
      <c r="D17" s="15" t="s">
        <v>859</v>
      </c>
      <c r="F17" s="16" t="s">
        <v>860</v>
      </c>
      <c r="G17" s="7"/>
      <c r="H17" s="7"/>
      <c r="I17" s="7"/>
      <c r="J17" s="352">
        <f>BS!AI15</f>
        <v>9263</v>
      </c>
      <c r="O17" s="1" t="s">
        <v>831</v>
      </c>
      <c r="R17" s="406" t="s">
        <v>832</v>
      </c>
    </row>
    <row r="18" spans="1:23" ht="15" customHeight="1" x14ac:dyDescent="0.25">
      <c r="B18" t="s">
        <v>861</v>
      </c>
      <c r="C18" s="10"/>
      <c r="D18" t="s">
        <v>862</v>
      </c>
      <c r="F18" s="5" t="s">
        <v>648</v>
      </c>
      <c r="G18" s="1"/>
      <c r="H18" s="1"/>
      <c r="I18" s="1"/>
      <c r="J18" s="8">
        <f>J13+J14-J17+J16+J15</f>
        <v>314132.22801570001</v>
      </c>
      <c r="L18" s="1" t="s">
        <v>21</v>
      </c>
      <c r="M18" s="40">
        <v>0.89700514078140259</v>
      </c>
      <c r="O18" s="1" t="s">
        <v>837</v>
      </c>
      <c r="Q18" s="4"/>
      <c r="R18" s="364" t="s">
        <v>838</v>
      </c>
      <c r="S18" s="4"/>
    </row>
    <row r="19" spans="1:23" ht="15" customHeight="1" x14ac:dyDescent="0.25">
      <c r="C19" s="10"/>
      <c r="F19" s="5"/>
      <c r="G19" s="1"/>
      <c r="H19" s="1"/>
      <c r="I19" s="1"/>
      <c r="J19" s="8"/>
      <c r="O19" s="10"/>
    </row>
    <row r="20" spans="1:23" ht="15" customHeight="1" thickBot="1" x14ac:dyDescent="0.3">
      <c r="B20" s="409" t="s">
        <v>863</v>
      </c>
      <c r="C20" s="408"/>
      <c r="D20" s="408"/>
      <c r="E20" s="408"/>
      <c r="F20" s="408"/>
      <c r="G20" s="1"/>
      <c r="H20" s="409" t="s">
        <v>863</v>
      </c>
      <c r="I20" s="408"/>
      <c r="J20" s="408"/>
      <c r="K20" s="408"/>
      <c r="L20" s="408"/>
      <c r="N20" s="409" t="s">
        <v>863</v>
      </c>
      <c r="O20" s="408"/>
      <c r="P20" s="408"/>
      <c r="Q20" s="408"/>
      <c r="R20" s="408"/>
    </row>
    <row r="21" spans="1:23" ht="15" customHeight="1" x14ac:dyDescent="0.25">
      <c r="B21" s="10" t="s">
        <v>185</v>
      </c>
      <c r="C21" s="10"/>
      <c r="E21" s="370" t="s">
        <v>843</v>
      </c>
      <c r="F21" s="371"/>
      <c r="G21" s="1"/>
      <c r="H21" s="10" t="s">
        <v>187</v>
      </c>
      <c r="I21" s="10"/>
      <c r="K21" s="370" t="s">
        <v>848</v>
      </c>
      <c r="L21" s="371"/>
      <c r="N21" s="10"/>
      <c r="O21" s="10"/>
      <c r="Q21" s="370"/>
      <c r="R21" s="371"/>
    </row>
    <row r="22" spans="1:23" ht="15" customHeight="1" x14ac:dyDescent="0.25">
      <c r="B22" s="10" t="s">
        <v>190</v>
      </c>
      <c r="C22" s="10"/>
      <c r="E22" s="372" t="s">
        <v>844</v>
      </c>
      <c r="F22" s="373"/>
      <c r="G22" s="1"/>
      <c r="H22" s="10" t="s">
        <v>186</v>
      </c>
      <c r="I22" s="10"/>
      <c r="K22" s="372" t="s">
        <v>849</v>
      </c>
      <c r="L22" s="373"/>
      <c r="N22" s="10"/>
      <c r="O22" s="10"/>
      <c r="Q22" s="372"/>
      <c r="R22" s="373"/>
    </row>
    <row r="23" spans="1:23" ht="15" customHeight="1" x14ac:dyDescent="0.25">
      <c r="B23" s="10" t="s">
        <v>188</v>
      </c>
      <c r="C23" s="10"/>
      <c r="E23" s="372" t="s">
        <v>845</v>
      </c>
      <c r="F23" s="373"/>
      <c r="G23" s="1"/>
      <c r="H23" s="10"/>
      <c r="I23" s="10"/>
      <c r="K23" s="372"/>
      <c r="L23" s="373"/>
      <c r="N23" s="10"/>
      <c r="O23" s="10"/>
      <c r="Q23" s="372"/>
      <c r="R23" s="373"/>
    </row>
    <row r="24" spans="1:23" ht="15" customHeight="1" x14ac:dyDescent="0.25">
      <c r="B24" s="10" t="s">
        <v>184</v>
      </c>
      <c r="C24" s="10"/>
      <c r="E24" s="372" t="s">
        <v>846</v>
      </c>
      <c r="F24" s="373"/>
      <c r="G24" s="1"/>
      <c r="H24" s="10"/>
      <c r="I24" s="10"/>
      <c r="K24" s="372"/>
      <c r="L24" s="373"/>
      <c r="N24" s="10"/>
      <c r="O24" s="10"/>
      <c r="Q24" s="372"/>
      <c r="R24" s="373"/>
    </row>
    <row r="25" spans="1:23" ht="15" customHeight="1" x14ac:dyDescent="0.25">
      <c r="B25" s="10" t="s">
        <v>183</v>
      </c>
      <c r="C25" s="10"/>
      <c r="E25" s="370" t="s">
        <v>847</v>
      </c>
      <c r="F25" s="371"/>
      <c r="G25" s="1"/>
      <c r="H25" s="10"/>
      <c r="I25" s="10"/>
      <c r="K25" s="370"/>
      <c r="L25" s="371"/>
      <c r="N25" s="10"/>
      <c r="O25" s="10"/>
      <c r="Q25" s="370"/>
      <c r="R25" s="371"/>
    </row>
    <row r="26" spans="1:23" ht="15" customHeight="1" x14ac:dyDescent="0.25">
      <c r="A26" s="4"/>
      <c r="B26" s="4"/>
      <c r="C26" s="4"/>
      <c r="D26" s="4"/>
      <c r="E26" s="4"/>
      <c r="F26" s="4"/>
      <c r="G26" s="4"/>
      <c r="H26" s="4"/>
      <c r="I26" s="4"/>
      <c r="J26" s="4"/>
      <c r="K26" s="4"/>
      <c r="L26" s="4"/>
      <c r="M26" s="4"/>
      <c r="N26" s="4"/>
      <c r="O26" s="4"/>
      <c r="P26" s="4"/>
      <c r="Q26" s="4"/>
      <c r="R26" s="4"/>
      <c r="S26" s="4"/>
      <c r="T26" s="4"/>
      <c r="U26" s="4"/>
      <c r="V26" s="4"/>
      <c r="W26" s="4"/>
    </row>
    <row r="27" spans="1:23" s="565" customFormat="1" ht="15" customHeight="1" x14ac:dyDescent="0.25">
      <c r="B27" s="2" t="s">
        <v>3</v>
      </c>
      <c r="C27" s="2"/>
      <c r="D27" s="2"/>
      <c r="E27" s="2"/>
      <c r="F27" s="2"/>
      <c r="G27" s="2"/>
      <c r="H27" s="2"/>
      <c r="I27" s="2"/>
      <c r="J27" s="2"/>
      <c r="K27" s="2"/>
      <c r="L27" s="2"/>
      <c r="M27" s="2"/>
      <c r="N27" s="2"/>
      <c r="O27" s="2"/>
      <c r="P27" s="2"/>
      <c r="Q27" s="2"/>
      <c r="R27" s="2"/>
      <c r="S27" s="2"/>
      <c r="T27" s="2"/>
      <c r="U27" s="2"/>
    </row>
    <row r="28" spans="1:23" ht="4.3499999999999996" customHeight="1" x14ac:dyDescent="0.25">
      <c r="B28" s="38"/>
      <c r="C28" s="38"/>
      <c r="D28" s="38"/>
      <c r="E28" s="38"/>
      <c r="F28" s="38"/>
      <c r="G28" s="38"/>
      <c r="H28" s="38"/>
      <c r="I28" s="38"/>
      <c r="J28" s="38"/>
      <c r="K28" s="38"/>
      <c r="L28" s="38"/>
      <c r="M28" s="38"/>
      <c r="N28" s="38"/>
      <c r="O28" s="38"/>
      <c r="P28" s="38"/>
      <c r="Q28" s="38"/>
      <c r="R28" s="38"/>
      <c r="S28" s="38"/>
      <c r="T28" s="38"/>
      <c r="U28" s="38"/>
    </row>
    <row r="30" spans="1:23" ht="15" customHeight="1" x14ac:dyDescent="0.25">
      <c r="B30" s="2" t="str">
        <f>S7&amp;" vs "&amp;R13</f>
        <v>DE US Equity vs NDX Index</v>
      </c>
      <c r="C30" s="2"/>
      <c r="D30" s="2"/>
      <c r="E30" s="2"/>
      <c r="F30" s="2"/>
      <c r="G30" s="2"/>
      <c r="H30" s="2"/>
      <c r="I30" s="2"/>
      <c r="J30" s="2"/>
      <c r="L30" s="2" t="s">
        <v>864</v>
      </c>
      <c r="M30" s="2"/>
      <c r="N30" s="2"/>
      <c r="O30" s="2"/>
      <c r="P30" s="2"/>
      <c r="Q30" s="2"/>
      <c r="R30" s="2"/>
      <c r="S30" s="2"/>
      <c r="T30" s="2"/>
      <c r="U30" s="2"/>
    </row>
    <row r="56" spans="1:23" s="565" customFormat="1" ht="15" customHeight="1" x14ac:dyDescent="0.25">
      <c r="A56" s="12"/>
      <c r="B56" s="2" t="s">
        <v>827</v>
      </c>
      <c r="C56" s="2"/>
      <c r="D56" s="2"/>
      <c r="E56" s="2"/>
      <c r="F56" s="2"/>
      <c r="G56" s="2"/>
      <c r="H56" s="2"/>
      <c r="I56" s="2"/>
      <c r="J56" s="2"/>
      <c r="K56" s="2"/>
      <c r="L56" s="2"/>
      <c r="M56" s="2"/>
      <c r="N56" s="2"/>
      <c r="O56" s="2"/>
      <c r="P56" s="2"/>
      <c r="Q56" s="2"/>
      <c r="R56" s="2"/>
      <c r="S56" s="2"/>
      <c r="T56" s="2"/>
      <c r="U56" s="2"/>
      <c r="V56" s="2"/>
      <c r="W56" s="2"/>
    </row>
    <row r="57" spans="1:23" s="565" customFormat="1" ht="15" customHeight="1" x14ac:dyDescent="0.25">
      <c r="A57" s="12"/>
      <c r="B57" s="2"/>
      <c r="C57" s="2"/>
      <c r="D57" s="2"/>
      <c r="E57" s="2"/>
      <c r="F57" s="2"/>
      <c r="G57" s="2"/>
      <c r="H57" s="2"/>
      <c r="I57" s="2"/>
      <c r="J57" s="2"/>
      <c r="K57" s="2"/>
      <c r="L57" s="2"/>
      <c r="M57" s="2"/>
      <c r="N57" s="2"/>
      <c r="O57" s="2"/>
      <c r="P57" s="2"/>
      <c r="Q57" s="2"/>
      <c r="R57" s="2"/>
      <c r="S57" s="2"/>
      <c r="T57" s="2"/>
      <c r="U57" s="2"/>
      <c r="V57" s="2"/>
      <c r="W57" s="2"/>
    </row>
    <row r="58" spans="1:23" s="565" customFormat="1" ht="15" customHeight="1" x14ac:dyDescent="0.25">
      <c r="A58" s="12"/>
      <c r="B58" s="2"/>
      <c r="C58" s="2"/>
      <c r="D58" s="2"/>
      <c r="E58" s="2"/>
      <c r="F58" s="2"/>
      <c r="G58" s="2"/>
      <c r="H58" s="2"/>
      <c r="I58" s="2"/>
      <c r="J58" s="2"/>
      <c r="K58" s="2"/>
      <c r="L58" s="2"/>
      <c r="M58" s="2"/>
      <c r="N58" s="2"/>
      <c r="O58" s="2"/>
      <c r="P58" s="2"/>
      <c r="Q58" s="2"/>
      <c r="R58" s="2"/>
      <c r="S58" s="2"/>
      <c r="T58" s="2"/>
      <c r="U58" s="2"/>
      <c r="V58" s="2"/>
      <c r="W58" s="2"/>
    </row>
    <row r="59" spans="1:23" ht="4.3499999999999996" customHeight="1" x14ac:dyDescent="0.25">
      <c r="B59" s="38"/>
      <c r="C59" s="38"/>
      <c r="D59" s="38"/>
      <c r="E59" s="38"/>
      <c r="F59" s="38"/>
      <c r="G59" s="38"/>
      <c r="H59" s="38"/>
      <c r="I59" s="38"/>
      <c r="J59" s="38"/>
      <c r="K59" s="38"/>
      <c r="L59" s="38"/>
      <c r="M59" s="38"/>
      <c r="N59" s="38"/>
      <c r="O59" s="38"/>
      <c r="P59" s="38"/>
      <c r="Q59" s="38"/>
      <c r="R59" s="38"/>
      <c r="S59" s="38"/>
      <c r="T59" s="38"/>
      <c r="U59" s="38"/>
      <c r="V59" s="38"/>
      <c r="W59" s="38"/>
    </row>
    <row r="60" spans="1:23" ht="4.3499999999999996" customHeight="1" x14ac:dyDescent="0.25"/>
    <row r="61" spans="1:23" ht="15" customHeight="1" x14ac:dyDescent="0.25">
      <c r="A61" s="13" t="str">
        <f>D13</f>
        <v>USD</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x14ac:dyDescent="0.25">
      <c r="A62" s="10" t="s">
        <v>70</v>
      </c>
      <c r="B62" s="367" t="str">
        <f>$D$15</f>
        <v>DE US Equity</v>
      </c>
      <c r="C62" s="368"/>
      <c r="D62" s="368"/>
      <c r="E62" s="365">
        <v>2015</v>
      </c>
      <c r="F62" s="365">
        <f t="shared" ref="F62:N62" si="0">+E62+1</f>
        <v>2016</v>
      </c>
      <c r="G62" s="365">
        <f t="shared" si="0"/>
        <v>2017</v>
      </c>
      <c r="H62" s="365">
        <f t="shared" si="0"/>
        <v>2018</v>
      </c>
      <c r="I62" s="365">
        <f t="shared" si="0"/>
        <v>2019</v>
      </c>
      <c r="J62" s="365">
        <f t="shared" si="0"/>
        <v>2020</v>
      </c>
      <c r="K62" s="365">
        <f t="shared" si="0"/>
        <v>2021</v>
      </c>
      <c r="L62" s="365">
        <f t="shared" si="0"/>
        <v>2022</v>
      </c>
      <c r="M62" s="365">
        <f t="shared" si="0"/>
        <v>2023</v>
      </c>
      <c r="N62" s="365">
        <f t="shared" si="0"/>
        <v>2024</v>
      </c>
      <c r="O62" s="10"/>
      <c r="P62" s="3"/>
      <c r="Q62" s="3"/>
      <c r="R62" s="411" t="s">
        <v>255</v>
      </c>
      <c r="S62" s="566" t="s">
        <v>865</v>
      </c>
      <c r="T62" s="3"/>
      <c r="U62" s="411" t="s">
        <v>866</v>
      </c>
      <c r="V62" s="3"/>
      <c r="W62" s="411" t="s">
        <v>867</v>
      </c>
    </row>
    <row r="63" spans="1:23" ht="15" customHeight="1" x14ac:dyDescent="0.25">
      <c r="A63" s="10"/>
      <c r="B63" s="10" t="s">
        <v>526</v>
      </c>
      <c r="C63" s="10"/>
      <c r="D63" s="10"/>
      <c r="E63" s="11">
        <v>28862.799999999999</v>
      </c>
      <c r="F63" s="11">
        <v>26569</v>
      </c>
      <c r="G63" s="11">
        <v>29363</v>
      </c>
      <c r="H63" s="11">
        <v>37358</v>
      </c>
      <c r="I63" s="11">
        <v>39258</v>
      </c>
      <c r="J63" s="11">
        <v>35540</v>
      </c>
      <c r="K63" s="11">
        <v>44024</v>
      </c>
      <c r="L63" s="11">
        <v>52577</v>
      </c>
      <c r="M63" s="11">
        <v>61251</v>
      </c>
      <c r="N63" s="11">
        <v>51716</v>
      </c>
      <c r="O63" s="10"/>
      <c r="P63" s="10"/>
      <c r="Q63" s="15">
        <v>45918</v>
      </c>
      <c r="R63" s="304">
        <v>469.12</v>
      </c>
      <c r="S63" s="304">
        <v>270.32938999999999</v>
      </c>
      <c r="U63" s="410">
        <v>126816.9234368</v>
      </c>
      <c r="W63" s="353">
        <v>2.8660999999999999</v>
      </c>
    </row>
    <row r="64" spans="1:23" ht="15" customHeight="1" x14ac:dyDescent="0.25">
      <c r="A64" s="10"/>
      <c r="B64" s="10" t="s">
        <v>868</v>
      </c>
      <c r="C64" s="10"/>
      <c r="D64" s="10"/>
      <c r="E64" s="11">
        <v>3494.9</v>
      </c>
      <c r="F64" s="11">
        <v>2997.8</v>
      </c>
      <c r="G64" s="11">
        <v>3820</v>
      </c>
      <c r="H64" s="11">
        <v>5250</v>
      </c>
      <c r="I64" s="11">
        <v>5636</v>
      </c>
      <c r="J64" s="11">
        <v>5683</v>
      </c>
      <c r="K64" s="11">
        <v>8560</v>
      </c>
      <c r="L64" s="11">
        <v>10036</v>
      </c>
      <c r="M64" s="11">
        <v>15663</v>
      </c>
      <c r="N64" s="11">
        <v>12802</v>
      </c>
      <c r="O64" s="10"/>
      <c r="P64" s="10"/>
      <c r="Q64" s="303">
        <f>Q63-1</f>
        <v>45917</v>
      </c>
      <c r="R64" s="304">
        <v>469.12</v>
      </c>
      <c r="S64" s="304">
        <v>270.32938999999999</v>
      </c>
      <c r="U64" s="410">
        <v>126816.9234368</v>
      </c>
      <c r="W64" s="353">
        <v>2.8660999999999999</v>
      </c>
    </row>
    <row r="65" spans="1:23" ht="15" customHeight="1" x14ac:dyDescent="0.25">
      <c r="A65" s="10"/>
      <c r="B65" s="10" t="s">
        <v>289</v>
      </c>
      <c r="C65" s="10"/>
      <c r="D65" s="10"/>
      <c r="E65" s="14">
        <v>5.6181157465181396E-2</v>
      </c>
      <c r="F65" s="14">
        <v>4.7112640492849904E-2</v>
      </c>
      <c r="G65" s="14">
        <v>5.9980929336792679E-2</v>
      </c>
      <c r="H65" s="14">
        <v>5.7400114940271217E-2</v>
      </c>
      <c r="I65" s="14">
        <v>7.6110674250681978E-2</v>
      </c>
      <c r="J65" s="14">
        <v>5.999504073585496E-2</v>
      </c>
      <c r="K65" s="14">
        <v>0.10263226168142925</v>
      </c>
      <c r="L65" s="14">
        <v>0.11002008883412354</v>
      </c>
      <c r="M65" s="14">
        <v>0.14784865152149546</v>
      </c>
      <c r="N65" s="14">
        <v>0.10713832983252447</v>
      </c>
      <c r="O65" s="10"/>
      <c r="P65" s="10"/>
      <c r="Q65" s="303">
        <f t="shared" ref="Q65:Q70" si="1">Q64-1</f>
        <v>45916</v>
      </c>
      <c r="R65" s="304">
        <v>468.7</v>
      </c>
      <c r="S65" s="304">
        <v>270.32938999999999</v>
      </c>
      <c r="U65" s="410">
        <v>126703.38509299999</v>
      </c>
      <c r="W65" s="353">
        <v>2.8635999999999999</v>
      </c>
    </row>
    <row r="66" spans="1:23" ht="15" customHeight="1" x14ac:dyDescent="0.25">
      <c r="A66" s="10"/>
      <c r="B66" s="10" t="s">
        <v>517</v>
      </c>
      <c r="C66" s="10"/>
      <c r="D66" s="10"/>
      <c r="E66" s="14">
        <v>4.5973565829452404E-2</v>
      </c>
      <c r="F66" s="14">
        <v>4.63186562513744E-2</v>
      </c>
      <c r="G66" s="14">
        <v>5.7535369017388087E-2</v>
      </c>
      <c r="H66" s="14">
        <v>6.3461285072745455E-2</v>
      </c>
      <c r="I66" s="14">
        <v>5.5251073975482505E-2</v>
      </c>
      <c r="J66" s="14">
        <v>6.5255068696215779E-2</v>
      </c>
      <c r="K66" s="14">
        <v>7.9750175842479024E-2</v>
      </c>
      <c r="L66" s="14">
        <v>7.4881693695327545E-2</v>
      </c>
      <c r="M66" s="14">
        <v>8.5868062682150137E-2</v>
      </c>
      <c r="N66" s="14">
        <v>6.0905550789303459E-2</v>
      </c>
      <c r="O66" s="10"/>
      <c r="P66" s="10"/>
      <c r="Q66" s="303">
        <f t="shared" si="1"/>
        <v>45915</v>
      </c>
      <c r="R66" s="304">
        <v>469.11</v>
      </c>
      <c r="S66" s="304">
        <v>270.32938999999999</v>
      </c>
      <c r="U66" s="410">
        <v>126814.2201429</v>
      </c>
      <c r="W66" s="353">
        <v>2.8660999999999999</v>
      </c>
    </row>
    <row r="67" spans="1:23" ht="15" customHeight="1" x14ac:dyDescent="0.25">
      <c r="A67" s="10"/>
      <c r="B67" s="10" t="s">
        <v>869</v>
      </c>
      <c r="C67" s="10"/>
      <c r="D67" s="10"/>
      <c r="E67" s="11">
        <v>-2826.1</v>
      </c>
      <c r="F67" s="11">
        <v>-2955.1</v>
      </c>
      <c r="G67" s="11">
        <v>-2592</v>
      </c>
      <c r="H67" s="11">
        <v>-2950</v>
      </c>
      <c r="I67" s="11">
        <v>-3449</v>
      </c>
      <c r="J67" s="11">
        <v>-2656</v>
      </c>
      <c r="K67" s="11">
        <v>-2580</v>
      </c>
      <c r="L67" s="11">
        <v>-3788</v>
      </c>
      <c r="M67" s="11">
        <v>-4468</v>
      </c>
      <c r="N67" s="11">
        <v>-4802</v>
      </c>
      <c r="O67" s="10"/>
      <c r="P67" s="10"/>
      <c r="Q67" s="303">
        <f t="shared" si="1"/>
        <v>45914</v>
      </c>
      <c r="R67" s="304">
        <v>470.51</v>
      </c>
      <c r="S67" s="304">
        <v>270.32938999999999</v>
      </c>
      <c r="U67" s="410">
        <v>127192.6812889</v>
      </c>
      <c r="W67" s="353">
        <v>2.8746</v>
      </c>
    </row>
    <row r="68" spans="1:23" ht="15" customHeight="1" x14ac:dyDescent="0.25">
      <c r="A68" s="10"/>
      <c r="B68" s="10" t="s">
        <v>870</v>
      </c>
      <c r="C68" s="10"/>
      <c r="D68" s="10"/>
      <c r="E68" s="14">
        <v>5.4530309999999993</v>
      </c>
      <c r="F68" s="14">
        <v>5.4411900000000006</v>
      </c>
      <c r="G68" s="14">
        <v>4.1824950000000003</v>
      </c>
      <c r="H68" s="14">
        <v>3.7378149999999999</v>
      </c>
      <c r="I68" s="14">
        <v>3.9658819999999997</v>
      </c>
      <c r="J68" s="14">
        <v>3.5812729999999999</v>
      </c>
      <c r="K68" s="14">
        <v>2.6413690000000001</v>
      </c>
      <c r="L68" s="14">
        <v>2.5642779999999998</v>
      </c>
      <c r="M68" s="14">
        <v>2.9101710000000001</v>
      </c>
      <c r="N68" s="14">
        <v>2.8555290000000002</v>
      </c>
      <c r="O68" s="10"/>
      <c r="P68" s="10"/>
      <c r="Q68" s="303">
        <f t="shared" si="1"/>
        <v>45913</v>
      </c>
      <c r="R68" s="304">
        <v>470.51</v>
      </c>
      <c r="S68" s="304">
        <v>270.32938999999999</v>
      </c>
      <c r="U68" s="410">
        <v>127192.6812889</v>
      </c>
      <c r="W68" s="353">
        <v>2.8746</v>
      </c>
    </row>
    <row r="69" spans="1:23" ht="15" customHeight="1" x14ac:dyDescent="0.25">
      <c r="A69" s="10"/>
      <c r="B69" s="10" t="s">
        <v>871</v>
      </c>
      <c r="C69" s="10"/>
      <c r="D69" s="10"/>
      <c r="E69" s="14">
        <v>0.12108665825907397</v>
      </c>
      <c r="F69" s="14">
        <v>0.11283074259475329</v>
      </c>
      <c r="G69" s="14">
        <v>0.13009569866839218</v>
      </c>
      <c r="H69" s="14">
        <v>0.14053214840194872</v>
      </c>
      <c r="I69" s="14">
        <v>0.14356309542004178</v>
      </c>
      <c r="J69" s="14">
        <v>0.15990433314575125</v>
      </c>
      <c r="K69" s="14">
        <v>0.19443939669271307</v>
      </c>
      <c r="L69" s="14">
        <v>0.19088194457652585</v>
      </c>
      <c r="M69" s="14">
        <v>0.25571827398736346</v>
      </c>
      <c r="N69" s="14">
        <v>0.24754428030010056</v>
      </c>
      <c r="P69" s="10"/>
      <c r="Q69" s="303">
        <f t="shared" si="1"/>
        <v>45912</v>
      </c>
      <c r="R69" s="304">
        <v>470.51</v>
      </c>
      <c r="S69" s="304">
        <v>270.32938999999999</v>
      </c>
      <c r="U69" s="410">
        <v>127192.6812889</v>
      </c>
      <c r="W69" s="353">
        <v>2.8746</v>
      </c>
    </row>
    <row r="70" spans="1:23" ht="15" customHeight="1" x14ac:dyDescent="0.25">
      <c r="A70" s="10"/>
      <c r="B70" s="10" t="s">
        <v>872</v>
      </c>
      <c r="C70" s="10"/>
      <c r="D70" s="10"/>
      <c r="E70" s="366">
        <v>1.2220317578496298</v>
      </c>
      <c r="F70" s="366">
        <v>1.017141780563894</v>
      </c>
      <c r="G70" s="366">
        <v>1.042505338214925</v>
      </c>
      <c r="H70" s="366">
        <v>0.90449027110739499</v>
      </c>
      <c r="I70" s="366">
        <v>1.3775419874092558</v>
      </c>
      <c r="J70" s="366">
        <v>0.91939280632975784</v>
      </c>
      <c r="K70" s="366">
        <v>1.2869220738039058</v>
      </c>
      <c r="L70" s="366">
        <v>1.4692521416751629</v>
      </c>
      <c r="M70" s="366">
        <v>1.7218118926098651</v>
      </c>
      <c r="N70" s="366">
        <v>1.75908974541842</v>
      </c>
      <c r="O70" s="10"/>
      <c r="P70" s="10"/>
      <c r="Q70" s="303">
        <f t="shared" si="1"/>
        <v>45911</v>
      </c>
      <c r="R70" s="304">
        <v>476.46</v>
      </c>
      <c r="S70" s="304">
        <v>270.32938999999999</v>
      </c>
      <c r="U70" s="410">
        <v>128801.14115939999</v>
      </c>
      <c r="W70" s="353">
        <v>2.911</v>
      </c>
    </row>
    <row r="71" spans="1:23" ht="15" customHeight="1" x14ac:dyDescent="0.25">
      <c r="A71" s="10"/>
      <c r="B71" s="10" t="s">
        <v>873</v>
      </c>
      <c r="C71" s="10"/>
      <c r="D71" s="10"/>
      <c r="E71" s="14">
        <v>9.7914963205233033E-2</v>
      </c>
      <c r="F71" s="14">
        <v>0.11122360645865483</v>
      </c>
      <c r="G71" s="14">
        <v>8.8274358887034707E-2</v>
      </c>
      <c r="H71" s="14">
        <v>7.8965683387761651E-2</v>
      </c>
      <c r="I71" s="14">
        <v>8.7854704773549341E-2</v>
      </c>
      <c r="J71" s="14">
        <v>7.4732695554305006E-2</v>
      </c>
      <c r="K71" s="14">
        <v>5.8604397601308381E-2</v>
      </c>
      <c r="L71" s="14">
        <v>7.2046712440801117E-2</v>
      </c>
      <c r="M71" s="14">
        <v>7.2945747824525314E-2</v>
      </c>
      <c r="N71" s="14">
        <v>9.28532755820249E-2</v>
      </c>
      <c r="P71" s="10"/>
      <c r="Q71" s="10"/>
      <c r="R71" s="304"/>
      <c r="S71" s="304"/>
      <c r="U71" s="410"/>
      <c r="W71" s="353"/>
    </row>
    <row r="72" spans="1:23" ht="1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x14ac:dyDescent="0.25">
      <c r="A73" s="10" t="s">
        <v>70</v>
      </c>
      <c r="B73" s="367" t="str">
        <f>E21</f>
        <v>AGCO US Equity</v>
      </c>
      <c r="C73" s="368"/>
      <c r="D73" s="368"/>
      <c r="E73" s="365">
        <v>2015</v>
      </c>
      <c r="F73" s="365">
        <f t="shared" ref="F73:N73" si="2">+E73+1</f>
        <v>2016</v>
      </c>
      <c r="G73" s="365">
        <f t="shared" si="2"/>
        <v>2017</v>
      </c>
      <c r="H73" s="365">
        <f t="shared" si="2"/>
        <v>2018</v>
      </c>
      <c r="I73" s="365">
        <f t="shared" si="2"/>
        <v>2019</v>
      </c>
      <c r="J73" s="365">
        <f t="shared" si="2"/>
        <v>2020</v>
      </c>
      <c r="K73" s="365">
        <f t="shared" si="2"/>
        <v>2021</v>
      </c>
      <c r="L73" s="365">
        <f t="shared" si="2"/>
        <v>2022</v>
      </c>
      <c r="M73" s="365">
        <f t="shared" si="2"/>
        <v>2023</v>
      </c>
      <c r="N73" s="365">
        <f t="shared" si="2"/>
        <v>2024</v>
      </c>
      <c r="O73" s="10"/>
      <c r="P73" s="10"/>
      <c r="Q73" s="10"/>
      <c r="R73" s="10"/>
      <c r="S73" s="10"/>
      <c r="T73" s="10"/>
      <c r="U73" s="10"/>
      <c r="V73" s="10"/>
      <c r="W73" s="10"/>
    </row>
    <row r="74" spans="1:23" ht="15" customHeight="1" x14ac:dyDescent="0.25">
      <c r="A74" s="10"/>
      <c r="B74" s="10" t="s">
        <v>526</v>
      </c>
      <c r="C74" s="10"/>
      <c r="D74" s="10"/>
      <c r="E74" s="11">
        <v>7467.3</v>
      </c>
      <c r="F74" s="11">
        <v>7410.5</v>
      </c>
      <c r="G74" s="11">
        <v>8306.5</v>
      </c>
      <c r="H74" s="11">
        <v>9352</v>
      </c>
      <c r="I74" s="11">
        <v>9041.4</v>
      </c>
      <c r="J74" s="11">
        <v>9149.7000000000007</v>
      </c>
      <c r="K74" s="11">
        <v>11138.3</v>
      </c>
      <c r="L74" s="11">
        <v>12651.4</v>
      </c>
      <c r="M74" s="11">
        <v>14412.4</v>
      </c>
      <c r="N74" s="11">
        <v>11661.9</v>
      </c>
      <c r="O74" s="10"/>
      <c r="S74" s="10"/>
      <c r="T74" s="10"/>
      <c r="U74" s="10"/>
      <c r="V74" s="10"/>
      <c r="W74" s="10"/>
    </row>
    <row r="75" spans="1:23" ht="15" customHeight="1" x14ac:dyDescent="0.25">
      <c r="A75" s="10"/>
      <c r="B75" s="10" t="s">
        <v>868</v>
      </c>
      <c r="C75" s="10"/>
      <c r="D75" s="10"/>
      <c r="E75" s="11">
        <v>383.4</v>
      </c>
      <c r="F75" s="11">
        <v>300.3</v>
      </c>
      <c r="G75" s="11">
        <v>415.6</v>
      </c>
      <c r="H75" s="11">
        <v>501</v>
      </c>
      <c r="I75" s="11">
        <v>533.70000000000005</v>
      </c>
      <c r="J75" s="11">
        <v>639.4</v>
      </c>
      <c r="K75" s="11">
        <v>1016.7</v>
      </c>
      <c r="L75" s="11">
        <v>1321.9304</v>
      </c>
      <c r="M75" s="11">
        <v>1726.7797</v>
      </c>
      <c r="N75" s="11">
        <v>1020.438</v>
      </c>
      <c r="O75" s="10"/>
      <c r="S75" s="10"/>
      <c r="T75" s="10"/>
      <c r="U75" s="10"/>
      <c r="V75" s="10"/>
      <c r="W75" s="10"/>
    </row>
    <row r="76" spans="1:23" ht="15" customHeight="1" x14ac:dyDescent="0.25">
      <c r="A76" s="10"/>
      <c r="B76" s="10" t="s">
        <v>289</v>
      </c>
      <c r="C76" s="10"/>
      <c r="D76" s="10"/>
      <c r="E76" s="14">
        <v>7.3234310256672472E-2</v>
      </c>
      <c r="F76" s="14">
        <v>4.6652901663006785E-2</v>
      </c>
      <c r="G76" s="14">
        <v>5.3502279069588349E-2</v>
      </c>
      <c r="H76" s="14">
        <v>8.0033814020061017E-2</v>
      </c>
      <c r="I76" s="14">
        <v>3.4589095804232729E-2</v>
      </c>
      <c r="J76" s="14">
        <v>9.1914557951088105E-2</v>
      </c>
      <c r="K76" s="14">
        <v>0.18057842843773508</v>
      </c>
      <c r="L76" s="14">
        <v>0.17872341619020479</v>
      </c>
      <c r="M76" s="14">
        <v>0.24575029647916821</v>
      </c>
      <c r="N76" s="14">
        <v>-3.255858595165699E-2</v>
      </c>
      <c r="O76" s="10"/>
      <c r="S76" s="10"/>
      <c r="T76" s="10"/>
      <c r="U76" s="10"/>
      <c r="V76" s="10"/>
      <c r="W76" s="10"/>
    </row>
    <row r="77" spans="1:23" ht="15" customHeight="1" x14ac:dyDescent="0.25">
      <c r="A77" s="10"/>
      <c r="B77" s="10" t="s">
        <v>517</v>
      </c>
      <c r="C77" s="10"/>
      <c r="D77" s="10"/>
      <c r="E77" s="14">
        <v>8.5715005182053175E-2</v>
      </c>
      <c r="F77" s="14">
        <v>7.5585338952861805E-2</v>
      </c>
      <c r="G77" s="14">
        <v>6.8335684350066192E-2</v>
      </c>
      <c r="H77" s="14">
        <v>7.6751866403859503E-2</v>
      </c>
      <c r="I77" s="14">
        <v>6.40378593219426E-2</v>
      </c>
      <c r="J77" s="14">
        <v>5.6841776707229112E-2</v>
      </c>
      <c r="K77" s="14">
        <v>8.6274781609455162E-2</v>
      </c>
      <c r="L77" s="14">
        <v>4.7616050356274045E-2</v>
      </c>
      <c r="M77" s="14">
        <v>0.10295334530704922</v>
      </c>
      <c r="N77" s="14">
        <v>6.5946346068161507E-2</v>
      </c>
      <c r="O77" s="10"/>
      <c r="S77" s="10"/>
      <c r="T77" s="10"/>
      <c r="U77" s="10"/>
      <c r="V77" s="10"/>
      <c r="W77" s="10"/>
    </row>
    <row r="78" spans="1:23" ht="15" customHeight="1" x14ac:dyDescent="0.25">
      <c r="A78" s="10"/>
      <c r="B78" s="10" t="s">
        <v>869</v>
      </c>
      <c r="C78" s="10"/>
      <c r="D78" s="10"/>
      <c r="E78" s="11">
        <v>-211.4</v>
      </c>
      <c r="F78" s="11">
        <v>-201</v>
      </c>
      <c r="G78" s="11">
        <v>-203.9</v>
      </c>
      <c r="H78" s="11">
        <v>-203.3</v>
      </c>
      <c r="I78" s="11">
        <v>-273.39999999999998</v>
      </c>
      <c r="J78" s="11">
        <v>-269.89999999999998</v>
      </c>
      <c r="K78" s="11">
        <v>-269.8</v>
      </c>
      <c r="L78" s="11">
        <v>-388.3</v>
      </c>
      <c r="M78" s="11">
        <v>-518.1</v>
      </c>
      <c r="N78" s="11">
        <v>-393.3</v>
      </c>
      <c r="O78" s="10"/>
      <c r="S78" s="10"/>
      <c r="T78" s="10"/>
      <c r="U78" s="10"/>
      <c r="V78" s="10"/>
      <c r="W78" s="10"/>
    </row>
    <row r="79" spans="1:23" ht="15" customHeight="1" x14ac:dyDescent="0.25">
      <c r="A79" s="10"/>
      <c r="B79" s="10" t="s">
        <v>870</v>
      </c>
      <c r="C79" s="10"/>
      <c r="D79" s="10"/>
      <c r="E79" s="14">
        <v>0.42832900000000002</v>
      </c>
      <c r="F79" s="14">
        <v>0.59756100000000001</v>
      </c>
      <c r="G79" s="14">
        <v>0.55358099999999999</v>
      </c>
      <c r="H79" s="14">
        <v>0.48755599999999999</v>
      </c>
      <c r="I79" s="14">
        <v>0.53408999999999995</v>
      </c>
      <c r="J79" s="14">
        <v>0.59595799999999999</v>
      </c>
      <c r="K79" s="14">
        <v>0.48542299999999999</v>
      </c>
      <c r="L79" s="14">
        <v>0.42098100000000005</v>
      </c>
      <c r="M79" s="14">
        <v>0.33883800000000003</v>
      </c>
      <c r="N79" s="14">
        <v>0.699152</v>
      </c>
      <c r="O79" s="10"/>
      <c r="S79" s="10"/>
      <c r="T79" s="10"/>
      <c r="U79" s="10"/>
      <c r="V79" s="10"/>
      <c r="W79" s="10"/>
    </row>
    <row r="80" spans="1:23" ht="15" customHeight="1" x14ac:dyDescent="0.25">
      <c r="A80" s="10"/>
      <c r="B80" s="10" t="s">
        <v>871</v>
      </c>
      <c r="C80" s="10"/>
      <c r="D80" s="10"/>
      <c r="E80" s="14">
        <v>5.1343859226226342E-2</v>
      </c>
      <c r="F80" s="14">
        <v>4.052358140476351E-2</v>
      </c>
      <c r="G80" s="14">
        <v>5.003310660326251E-2</v>
      </c>
      <c r="H80" s="14">
        <v>5.3571428571428568E-2</v>
      </c>
      <c r="I80" s="14">
        <v>5.9028469042404948E-2</v>
      </c>
      <c r="J80" s="14">
        <v>6.9882072636261297E-2</v>
      </c>
      <c r="K80" s="14">
        <v>9.1279638724042281E-2</v>
      </c>
      <c r="L80" s="14">
        <v>0.10448886289264429</v>
      </c>
      <c r="M80" s="14">
        <v>0.11981208542643836</v>
      </c>
      <c r="N80" s="14">
        <v>8.7501865047719493E-2</v>
      </c>
      <c r="O80" s="10"/>
      <c r="S80" s="10"/>
      <c r="T80" s="10"/>
      <c r="U80" s="10"/>
      <c r="V80" s="10"/>
      <c r="W80" s="10"/>
    </row>
    <row r="81" spans="1:23" ht="15" customHeight="1" x14ac:dyDescent="0.25">
      <c r="A81" s="10"/>
      <c r="B81" s="10" t="s">
        <v>872</v>
      </c>
      <c r="C81" s="10"/>
      <c r="D81" s="10"/>
      <c r="E81" s="366">
        <v>0.85439311473093293</v>
      </c>
      <c r="F81" s="366">
        <v>0.61722157113169118</v>
      </c>
      <c r="G81" s="366">
        <v>0.7829332445916527</v>
      </c>
      <c r="H81" s="366">
        <v>1.0427604926104634</v>
      </c>
      <c r="I81" s="366">
        <v>0.54013510399122233</v>
      </c>
      <c r="J81" s="366">
        <v>1.6170247180081274</v>
      </c>
      <c r="K81" s="366">
        <v>2.0930615536666259</v>
      </c>
      <c r="L81" s="366">
        <v>3.7534279902040555</v>
      </c>
      <c r="M81" s="366">
        <v>2.3870064226299763</v>
      </c>
      <c r="N81" s="366">
        <v>-0.49371326681245919</v>
      </c>
      <c r="O81" s="10"/>
      <c r="S81" s="10"/>
      <c r="T81" s="10"/>
      <c r="U81" s="10"/>
      <c r="V81" s="10"/>
      <c r="W81" s="10"/>
    </row>
    <row r="82" spans="1:23" ht="15" customHeight="1" x14ac:dyDescent="0.25">
      <c r="A82" s="10"/>
      <c r="B82" s="10" t="s">
        <v>873</v>
      </c>
      <c r="C82" s="10"/>
      <c r="D82" s="10"/>
      <c r="E82" s="14">
        <v>2.8310098696985524E-2</v>
      </c>
      <c r="F82" s="14">
        <v>2.7123675865326227E-2</v>
      </c>
      <c r="G82" s="14">
        <v>2.4547041473544817E-2</v>
      </c>
      <c r="H82" s="14">
        <v>2.1738665526090679E-2</v>
      </c>
      <c r="I82" s="14">
        <v>3.0238679850465633E-2</v>
      </c>
      <c r="J82" s="14">
        <v>2.9498234914805944E-2</v>
      </c>
      <c r="K82" s="14">
        <v>2.4222726987062661E-2</v>
      </c>
      <c r="L82" s="14">
        <v>3.0692255402564143E-2</v>
      </c>
      <c r="M82" s="14">
        <v>3.5948211262523941E-2</v>
      </c>
      <c r="N82" s="14">
        <v>3.3725207727728759E-2</v>
      </c>
      <c r="O82" s="10"/>
      <c r="S82" s="10"/>
      <c r="T82" s="10"/>
      <c r="U82" s="10"/>
      <c r="V82" s="10"/>
      <c r="W82" s="10"/>
    </row>
    <row r="83" spans="1:23" ht="15" customHeight="1" x14ac:dyDescent="0.25">
      <c r="A83" s="10"/>
      <c r="B83" s="10"/>
      <c r="C83" s="10"/>
      <c r="D83" s="10"/>
      <c r="E83" s="10"/>
      <c r="F83" s="10"/>
      <c r="G83" s="10"/>
      <c r="H83" s="10"/>
      <c r="I83" s="10"/>
      <c r="J83" s="10"/>
      <c r="K83" s="10"/>
      <c r="L83" s="10"/>
      <c r="M83" s="10"/>
      <c r="N83" s="10"/>
      <c r="O83" s="10"/>
      <c r="S83" s="10"/>
      <c r="T83" s="10"/>
      <c r="U83" s="10"/>
      <c r="V83" s="10"/>
      <c r="W83" s="10"/>
    </row>
    <row r="84" spans="1:23" ht="15" customHeight="1" x14ac:dyDescent="0.25">
      <c r="A84" s="10" t="s">
        <v>70</v>
      </c>
      <c r="B84" s="367" t="str">
        <f>+E22</f>
        <v>CAT US Equity</v>
      </c>
      <c r="C84" s="368"/>
      <c r="D84" s="368"/>
      <c r="E84" s="365">
        <f>+E73</f>
        <v>2015</v>
      </c>
      <c r="F84" s="365">
        <f>+F73</f>
        <v>2016</v>
      </c>
      <c r="G84" s="365">
        <f>+G73</f>
        <v>2017</v>
      </c>
      <c r="H84" s="365">
        <f t="shared" ref="H84:N84" si="3">+G84+1</f>
        <v>2018</v>
      </c>
      <c r="I84" s="365">
        <f t="shared" si="3"/>
        <v>2019</v>
      </c>
      <c r="J84" s="365">
        <f t="shared" si="3"/>
        <v>2020</v>
      </c>
      <c r="K84" s="365">
        <f t="shared" si="3"/>
        <v>2021</v>
      </c>
      <c r="L84" s="365">
        <f t="shared" si="3"/>
        <v>2022</v>
      </c>
      <c r="M84" s="365">
        <f t="shared" si="3"/>
        <v>2023</v>
      </c>
      <c r="N84" s="365">
        <f t="shared" si="3"/>
        <v>2024</v>
      </c>
      <c r="O84" s="10"/>
      <c r="S84" s="10"/>
      <c r="T84" s="10"/>
      <c r="U84" s="10"/>
      <c r="V84" s="10"/>
      <c r="W84" s="10"/>
    </row>
    <row r="85" spans="1:23" ht="15" customHeight="1" x14ac:dyDescent="0.25">
      <c r="A85" s="10"/>
      <c r="B85" s="10" t="s">
        <v>526</v>
      </c>
      <c r="C85" s="10"/>
      <c r="D85" s="10"/>
      <c r="E85" s="11">
        <v>47011</v>
      </c>
      <c r="F85" s="11">
        <v>38537</v>
      </c>
      <c r="G85" s="11">
        <v>45462</v>
      </c>
      <c r="H85" s="11">
        <v>54722</v>
      </c>
      <c r="I85" s="11">
        <v>53800</v>
      </c>
      <c r="J85" s="11">
        <v>41748</v>
      </c>
      <c r="K85" s="11">
        <v>50971</v>
      </c>
      <c r="L85" s="11">
        <v>59427</v>
      </c>
      <c r="M85" s="11">
        <v>67060</v>
      </c>
      <c r="N85" s="11">
        <v>64809</v>
      </c>
      <c r="O85" s="10"/>
      <c r="S85" s="10"/>
      <c r="T85" s="10"/>
      <c r="U85" s="10"/>
      <c r="V85" s="10"/>
      <c r="W85" s="10"/>
    </row>
    <row r="86" spans="1:23" ht="15" customHeight="1" x14ac:dyDescent="0.25">
      <c r="A86" s="10"/>
      <c r="B86" s="10" t="s">
        <v>868</v>
      </c>
      <c r="C86" s="10"/>
      <c r="D86" s="10"/>
      <c r="E86" s="11">
        <v>4907</v>
      </c>
      <c r="F86" s="11">
        <v>2776</v>
      </c>
      <c r="G86" s="11">
        <v>5716</v>
      </c>
      <c r="H86" s="11">
        <v>8679</v>
      </c>
      <c r="I86" s="11">
        <v>8526</v>
      </c>
      <c r="J86" s="11">
        <v>4907</v>
      </c>
      <c r="K86" s="11">
        <v>6968</v>
      </c>
      <c r="L86" s="11">
        <v>9128</v>
      </c>
      <c r="M86" s="11">
        <v>13746</v>
      </c>
      <c r="N86" s="11">
        <v>13431</v>
      </c>
    </row>
    <row r="87" spans="1:23" ht="15" customHeight="1" x14ac:dyDescent="0.25">
      <c r="A87" s="10"/>
      <c r="B87" s="10" t="s">
        <v>289</v>
      </c>
      <c r="C87" s="10"/>
      <c r="D87" s="10"/>
      <c r="E87" s="14">
        <v>5.7606998529518429E-2</v>
      </c>
      <c r="F87" s="14">
        <v>2.6616761288036483E-3</v>
      </c>
      <c r="G87" s="14">
        <v>1.6155779353742999E-2</v>
      </c>
      <c r="H87" s="14">
        <v>0.13557531564306846</v>
      </c>
      <c r="I87" s="14">
        <v>0.1244612111405273</v>
      </c>
      <c r="J87" s="14">
        <v>6.1622483935841459E-2</v>
      </c>
      <c r="K87" s="14">
        <v>8.1077381906245874E-2</v>
      </c>
      <c r="L87" s="14">
        <v>0.10802095842059403</v>
      </c>
      <c r="M87" s="14">
        <v>0.18361307310587466</v>
      </c>
      <c r="N87" s="14">
        <v>0.18004763237919483</v>
      </c>
    </row>
    <row r="88" spans="1:23" ht="15" customHeight="1" x14ac:dyDescent="0.25">
      <c r="A88" s="10"/>
      <c r="B88" s="10" t="s">
        <v>517</v>
      </c>
      <c r="C88" s="10"/>
      <c r="D88" s="10"/>
      <c r="E88" s="14">
        <v>6.4297450251801197E-2</v>
      </c>
      <c r="F88" s="14">
        <v>6.8564222505099165E-2</v>
      </c>
      <c r="G88" s="14">
        <v>8.0742520887948116E-2</v>
      </c>
      <c r="H88" s="14">
        <v>9.9191278389037088E-2</v>
      </c>
      <c r="I88" s="14">
        <v>6.5148660659708216E-2</v>
      </c>
      <c r="J88" s="14">
        <v>6.0515672238096077E-2</v>
      </c>
      <c r="K88" s="14">
        <v>7.0868236602969814E-2</v>
      </c>
      <c r="L88" s="14">
        <v>7.2830439553595083E-2</v>
      </c>
      <c r="M88" s="14">
        <v>5.6559928966400719E-2</v>
      </c>
      <c r="N88" s="14">
        <v>9.6254614875432465E-2</v>
      </c>
    </row>
    <row r="89" spans="1:23" ht="15" customHeight="1" x14ac:dyDescent="0.25">
      <c r="A89" s="10"/>
      <c r="B89" s="10" t="s">
        <v>869</v>
      </c>
      <c r="C89" s="10"/>
      <c r="D89" s="10"/>
      <c r="E89" s="11">
        <v>-3261</v>
      </c>
      <c r="F89" s="11">
        <v>-2928</v>
      </c>
      <c r="G89" s="11">
        <v>-898</v>
      </c>
      <c r="H89" s="11">
        <v>-2916</v>
      </c>
      <c r="I89" s="11">
        <v>-2669</v>
      </c>
      <c r="J89" s="11">
        <v>-2115</v>
      </c>
      <c r="K89" s="11">
        <v>-2472</v>
      </c>
      <c r="L89" s="11">
        <v>-2599</v>
      </c>
      <c r="M89" s="11">
        <v>-3092</v>
      </c>
      <c r="N89" s="11">
        <v>-3215</v>
      </c>
    </row>
    <row r="90" spans="1:23" ht="15" customHeight="1" x14ac:dyDescent="0.25">
      <c r="A90" s="10"/>
      <c r="B90" s="10" t="s">
        <v>870</v>
      </c>
      <c r="C90" s="10"/>
      <c r="D90" s="10"/>
      <c r="E90" s="14">
        <v>2.553779</v>
      </c>
      <c r="F90" s="14">
        <v>2.783849</v>
      </c>
      <c r="G90" s="14">
        <v>2.5336340000000002</v>
      </c>
      <c r="H90" s="14">
        <v>2.5960939999999999</v>
      </c>
      <c r="I90" s="14">
        <v>2.6174720000000002</v>
      </c>
      <c r="J90" s="14">
        <v>2.4569510000000001</v>
      </c>
      <c r="K90" s="14">
        <v>2.3268949999999999</v>
      </c>
      <c r="L90" s="14">
        <v>2.364357</v>
      </c>
      <c r="M90" s="14">
        <v>1.9715940000000001</v>
      </c>
      <c r="N90" s="14">
        <v>2.0011799999999997</v>
      </c>
    </row>
    <row r="91" spans="1:23" ht="15" customHeight="1" x14ac:dyDescent="0.25">
      <c r="A91" s="10"/>
      <c r="B91" s="10" t="s">
        <v>871</v>
      </c>
      <c r="C91" s="10"/>
      <c r="D91" s="10"/>
      <c r="E91" s="14">
        <v>0.10437982599817064</v>
      </c>
      <c r="F91" s="14">
        <v>7.2034667981420455E-2</v>
      </c>
      <c r="G91" s="14">
        <v>0.12573138005367121</v>
      </c>
      <c r="H91" s="14">
        <v>0.15860165929607836</v>
      </c>
      <c r="I91" s="14">
        <v>0.15847583643122676</v>
      </c>
      <c r="J91" s="14">
        <v>0.11753856472166331</v>
      </c>
      <c r="K91" s="14">
        <v>0.13670518530144593</v>
      </c>
      <c r="L91" s="14">
        <v>0.1536002153903108</v>
      </c>
      <c r="M91" s="14">
        <v>0.20498061437518639</v>
      </c>
      <c r="N91" s="14">
        <v>0.2072397352219599</v>
      </c>
    </row>
    <row r="92" spans="1:23" ht="15" customHeight="1" x14ac:dyDescent="0.25">
      <c r="A92" s="10"/>
      <c r="B92" s="10" t="s">
        <v>872</v>
      </c>
      <c r="C92" s="10"/>
      <c r="D92" s="10"/>
      <c r="E92" s="366">
        <v>0.89594530271291206</v>
      </c>
      <c r="F92" s="366">
        <v>3.8820189765962819E-2</v>
      </c>
      <c r="G92" s="366">
        <v>0.20009010340615291</v>
      </c>
      <c r="H92" s="366">
        <v>1.3668068185524327</v>
      </c>
      <c r="I92" s="366">
        <v>1.9104185700858387</v>
      </c>
      <c r="J92" s="366">
        <v>1.0182896703748192</v>
      </c>
      <c r="K92" s="366">
        <v>1.1440581252285349</v>
      </c>
      <c r="L92" s="366">
        <v>1.4831842164168547</v>
      </c>
      <c r="M92" s="366">
        <v>3.246345539347292</v>
      </c>
      <c r="N92" s="366">
        <v>1.870535065899986</v>
      </c>
    </row>
    <row r="93" spans="1:23" ht="15" customHeight="1" x14ac:dyDescent="0.25">
      <c r="A93" s="10"/>
      <c r="B93" s="10" t="s">
        <v>873</v>
      </c>
      <c r="C93" s="10"/>
      <c r="D93" s="10"/>
      <c r="E93" s="14">
        <v>6.9366743953542781E-2</v>
      </c>
      <c r="F93" s="14">
        <v>7.5978929340633675E-2</v>
      </c>
      <c r="G93" s="14">
        <v>1.9752760547270248E-2</v>
      </c>
      <c r="H93" s="14">
        <v>5.3287526040714885E-2</v>
      </c>
      <c r="I93" s="14">
        <v>4.9609665427509296E-2</v>
      </c>
      <c r="J93" s="14">
        <v>5.0661109514228225E-2</v>
      </c>
      <c r="K93" s="14">
        <v>4.8498165623589884E-2</v>
      </c>
      <c r="L93" s="14">
        <v>4.3734329513520791E-2</v>
      </c>
      <c r="M93" s="14">
        <v>4.6107963018192664E-2</v>
      </c>
      <c r="N93" s="14">
        <v>4.9607307627027107E-2</v>
      </c>
    </row>
    <row r="94" spans="1:23" ht="15" customHeight="1" x14ac:dyDescent="0.25">
      <c r="A94" s="10"/>
      <c r="B94" s="10"/>
      <c r="C94" s="10"/>
      <c r="D94" s="10"/>
      <c r="E94" s="10"/>
      <c r="F94" s="10"/>
      <c r="G94" s="10"/>
      <c r="H94" s="10"/>
      <c r="I94" s="10"/>
      <c r="J94" s="10"/>
      <c r="K94" s="10"/>
      <c r="L94" s="10"/>
      <c r="M94" s="10"/>
      <c r="N94" s="10"/>
    </row>
    <row r="95" spans="1:23" ht="15" customHeight="1" x14ac:dyDescent="0.25">
      <c r="A95" s="10" t="s">
        <v>70</v>
      </c>
      <c r="B95" s="367" t="str">
        <f>+E23</f>
        <v>CNH US Equity</v>
      </c>
      <c r="C95" s="368"/>
      <c r="D95" s="368"/>
      <c r="E95" s="365">
        <f>+E84</f>
        <v>2015</v>
      </c>
      <c r="F95" s="365">
        <f>+F84</f>
        <v>2016</v>
      </c>
      <c r="G95" s="365">
        <f>+G84</f>
        <v>2017</v>
      </c>
      <c r="H95" s="365">
        <f t="shared" ref="H95:N95" si="4">+G95+1</f>
        <v>2018</v>
      </c>
      <c r="I95" s="365">
        <f t="shared" si="4"/>
        <v>2019</v>
      </c>
      <c r="J95" s="365">
        <f t="shared" si="4"/>
        <v>2020</v>
      </c>
      <c r="K95" s="365">
        <f t="shared" si="4"/>
        <v>2021</v>
      </c>
      <c r="L95" s="365">
        <f t="shared" si="4"/>
        <v>2022</v>
      </c>
      <c r="M95" s="365">
        <f t="shared" si="4"/>
        <v>2023</v>
      </c>
      <c r="N95" s="365">
        <f t="shared" si="4"/>
        <v>2024</v>
      </c>
    </row>
    <row r="96" spans="1:23" ht="15" customHeight="1" x14ac:dyDescent="0.25">
      <c r="A96" s="10"/>
      <c r="B96" s="10" t="s">
        <v>526</v>
      </c>
      <c r="C96" s="10"/>
      <c r="D96" s="10"/>
      <c r="E96" s="11">
        <v>25912</v>
      </c>
      <c r="F96" s="11">
        <v>24872</v>
      </c>
      <c r="G96" s="11">
        <v>27701</v>
      </c>
      <c r="H96" s="11">
        <v>29706</v>
      </c>
      <c r="I96" s="11">
        <v>28079</v>
      </c>
      <c r="J96" s="11">
        <v>26032</v>
      </c>
      <c r="K96" s="11">
        <v>19496</v>
      </c>
      <c r="L96" s="11">
        <v>23551</v>
      </c>
      <c r="M96" s="11">
        <v>24687</v>
      </c>
      <c r="N96" s="11">
        <v>19836</v>
      </c>
    </row>
    <row r="97" spans="1:14" ht="15" customHeight="1" x14ac:dyDescent="0.25">
      <c r="A97" s="10"/>
      <c r="B97" s="10" t="s">
        <v>868</v>
      </c>
      <c r="C97" s="10"/>
      <c r="D97" s="10"/>
      <c r="E97" s="11">
        <v>2382</v>
      </c>
      <c r="F97" s="11">
        <v>2211</v>
      </c>
      <c r="G97" s="11">
        <v>2949</v>
      </c>
      <c r="H97" s="11">
        <v>3256</v>
      </c>
      <c r="I97" s="11">
        <v>3185</v>
      </c>
      <c r="J97" s="11">
        <v>1887</v>
      </c>
      <c r="K97" s="11">
        <v>3357</v>
      </c>
      <c r="L97" s="11">
        <v>4087</v>
      </c>
      <c r="M97" s="11">
        <v>4954</v>
      </c>
      <c r="N97" s="11">
        <v>3837</v>
      </c>
    </row>
    <row r="98" spans="1:14" ht="15" customHeight="1" x14ac:dyDescent="0.25">
      <c r="A98" s="10"/>
      <c r="B98" s="10" t="s">
        <v>289</v>
      </c>
      <c r="C98" s="10"/>
      <c r="D98" s="10"/>
      <c r="E98" s="14">
        <v>3.0840454575064697E-2</v>
      </c>
      <c r="F98" s="14">
        <v>4.17227099552758E-2</v>
      </c>
      <c r="G98" s="14">
        <v>3.4487775640380566E-2</v>
      </c>
      <c r="H98" s="14">
        <v>7.9873012922652364E-2</v>
      </c>
      <c r="I98" s="14">
        <v>9.4580359503039932E-2</v>
      </c>
      <c r="J98" s="14">
        <v>2.4062692469772117E-2</v>
      </c>
      <c r="K98" s="14">
        <v>0.10053303544196432</v>
      </c>
      <c r="L98" s="14">
        <v>0.10499163519171165</v>
      </c>
      <c r="M98" s="14">
        <v>0.12149287265240458</v>
      </c>
      <c r="N98" s="14">
        <v>8.5610216881040632E-2</v>
      </c>
    </row>
    <row r="99" spans="1:14" ht="15" customHeight="1" x14ac:dyDescent="0.25">
      <c r="A99" s="10"/>
      <c r="B99" s="10" t="s">
        <v>517</v>
      </c>
      <c r="C99" s="10"/>
      <c r="D99" s="10"/>
      <c r="E99" s="14">
        <v>3.7962658727086866E-2</v>
      </c>
      <c r="F99" s="14">
        <v>5.4207601554908363E-2</v>
      </c>
      <c r="G99" s="14">
        <v>5.040697254618836E-2</v>
      </c>
      <c r="H99" s="14">
        <v>5.7428821939772237E-2</v>
      </c>
      <c r="I99" s="14">
        <v>5.4500279282123303E-2</v>
      </c>
      <c r="J99" s="14">
        <v>5.771779548807783E-2</v>
      </c>
      <c r="K99" s="14">
        <v>7.3595032501384008E-2</v>
      </c>
      <c r="L99" s="14">
        <v>5.2949762723830958E-2</v>
      </c>
      <c r="M99" s="14">
        <v>5.1860795590615148E-2</v>
      </c>
      <c r="N99" s="14">
        <v>6.5994344207076699E-2</v>
      </c>
    </row>
    <row r="100" spans="1:14" ht="15" customHeight="1" x14ac:dyDescent="0.25">
      <c r="A100" s="10"/>
      <c r="B100" s="10" t="s">
        <v>869</v>
      </c>
      <c r="C100" s="10"/>
      <c r="D100" s="10"/>
      <c r="E100" s="11">
        <v>-2507</v>
      </c>
      <c r="F100" s="11">
        <v>-2134</v>
      </c>
      <c r="G100" s="11">
        <v>-2235</v>
      </c>
      <c r="H100" s="11">
        <v>-1902</v>
      </c>
      <c r="I100" s="11">
        <v>-1962</v>
      </c>
      <c r="J100" s="11">
        <v>-1850</v>
      </c>
      <c r="K100" s="11">
        <v>-921</v>
      </c>
      <c r="L100" s="11">
        <v>-999</v>
      </c>
      <c r="M100" s="11">
        <v>-1195</v>
      </c>
      <c r="N100" s="11">
        <v>-1186</v>
      </c>
    </row>
    <row r="101" spans="1:14" ht="15" customHeight="1" x14ac:dyDescent="0.25">
      <c r="A101" s="10"/>
      <c r="B101" s="10" t="s">
        <v>870</v>
      </c>
      <c r="C101" s="10"/>
      <c r="D101" s="10"/>
      <c r="E101" s="14">
        <v>5.4285130000000006</v>
      </c>
      <c r="F101" s="14">
        <v>5.6520570000000001</v>
      </c>
      <c r="G101" s="14">
        <v>6.0829219999999999</v>
      </c>
      <c r="H101" s="14">
        <v>4.7950179999999998</v>
      </c>
      <c r="I101" s="14">
        <v>4.1102990000000004</v>
      </c>
      <c r="J101" s="14">
        <v>5.2706299999999997</v>
      </c>
      <c r="K101" s="14">
        <v>3.0779219999999996</v>
      </c>
      <c r="L101" s="14">
        <v>3.324255</v>
      </c>
      <c r="M101" s="14">
        <v>3.3896929999999998</v>
      </c>
      <c r="N101" s="14">
        <v>3.4969099999999997</v>
      </c>
    </row>
    <row r="102" spans="1:14" ht="15" customHeight="1" x14ac:dyDescent="0.25">
      <c r="A102" s="10"/>
      <c r="B102" s="10" t="s">
        <v>871</v>
      </c>
      <c r="C102" s="10"/>
      <c r="D102" s="10"/>
      <c r="E102" s="14">
        <v>9.1926520531028094E-2</v>
      </c>
      <c r="F102" s="14">
        <v>8.8895143132840138E-2</v>
      </c>
      <c r="G102" s="14">
        <v>0.10645825060467132</v>
      </c>
      <c r="H102" s="14">
        <v>0.10960748670302296</v>
      </c>
      <c r="I102" s="14">
        <v>0.1134299654546102</v>
      </c>
      <c r="J102" s="14">
        <v>7.2487707437000615E-2</v>
      </c>
      <c r="K102" s="14">
        <v>0.17218916700861714</v>
      </c>
      <c r="L102" s="14">
        <v>0.17353827862935756</v>
      </c>
      <c r="M102" s="14">
        <v>0.20067241868189736</v>
      </c>
      <c r="N102" s="14">
        <v>0.19343617664851784</v>
      </c>
    </row>
    <row r="103" spans="1:14" ht="15" customHeight="1" x14ac:dyDescent="0.25">
      <c r="A103" s="10"/>
      <c r="B103" s="10" t="s">
        <v>872</v>
      </c>
      <c r="C103" s="10"/>
      <c r="D103" s="10"/>
      <c r="E103" s="366">
        <v>0.81238921638171824</v>
      </c>
      <c r="F103" s="366">
        <v>0.76968374837639186</v>
      </c>
      <c r="G103" s="366">
        <v>0.68418660947707399</v>
      </c>
      <c r="H103" s="366">
        <v>1.3908175411715427</v>
      </c>
      <c r="I103" s="366">
        <v>1.7354105474109625</v>
      </c>
      <c r="J103" s="366">
        <v>0.41690248676844388</v>
      </c>
      <c r="K103" s="366">
        <v>1.3660301792797458</v>
      </c>
      <c r="L103" s="366">
        <v>1.9828537426940791</v>
      </c>
      <c r="M103" s="366">
        <v>2.342672750558231</v>
      </c>
      <c r="N103" s="366">
        <v>1.2972356632928022</v>
      </c>
    </row>
    <row r="104" spans="1:14" ht="15" customHeight="1" x14ac:dyDescent="0.25">
      <c r="A104" s="10"/>
      <c r="B104" s="10" t="s">
        <v>873</v>
      </c>
      <c r="C104" s="10"/>
      <c r="D104" s="10"/>
      <c r="E104" s="14">
        <v>9.675054029021303E-2</v>
      </c>
      <c r="F104" s="14">
        <v>8.5799292376970093E-2</v>
      </c>
      <c r="G104" s="14">
        <v>8.0683007833652218E-2</v>
      </c>
      <c r="H104" s="14">
        <v>6.4027469198141784E-2</v>
      </c>
      <c r="I104" s="14">
        <v>6.9874283272196303E-2</v>
      </c>
      <c r="J104" s="14">
        <v>7.1066379840196675E-2</v>
      </c>
      <c r="K104" s="14">
        <v>4.7240459581452607E-2</v>
      </c>
      <c r="L104" s="14">
        <v>4.2418580951976564E-2</v>
      </c>
      <c r="M104" s="14">
        <v>4.8406043666707171E-2</v>
      </c>
      <c r="N104" s="14">
        <v>5.9790280298447268E-2</v>
      </c>
    </row>
    <row r="105" spans="1:14" ht="15" customHeight="1" x14ac:dyDescent="0.25">
      <c r="A105" s="10"/>
      <c r="B105" s="10"/>
      <c r="C105" s="10"/>
      <c r="D105" s="10"/>
      <c r="E105" s="10"/>
      <c r="F105" s="10"/>
      <c r="G105" s="10"/>
      <c r="H105" s="10"/>
      <c r="I105" s="10"/>
      <c r="J105" s="10"/>
      <c r="K105" s="10"/>
      <c r="L105" s="10"/>
      <c r="M105" s="10"/>
      <c r="N105" s="10"/>
    </row>
    <row r="106" spans="1:14" ht="15" customHeight="1" x14ac:dyDescent="0.25">
      <c r="A106" s="10" t="s">
        <v>70</v>
      </c>
      <c r="B106" s="367" t="str">
        <f>+E24</f>
        <v>TEX US Equity</v>
      </c>
      <c r="C106" s="368"/>
      <c r="D106" s="368"/>
      <c r="E106" s="365">
        <f>+E95</f>
        <v>2015</v>
      </c>
      <c r="F106" s="365">
        <f>+F95</f>
        <v>2016</v>
      </c>
      <c r="G106" s="365">
        <f>+G95</f>
        <v>2017</v>
      </c>
      <c r="H106" s="365">
        <f t="shared" ref="H106:N106" si="5">+G106+1</f>
        <v>2018</v>
      </c>
      <c r="I106" s="365">
        <f t="shared" si="5"/>
        <v>2019</v>
      </c>
      <c r="J106" s="365">
        <f t="shared" si="5"/>
        <v>2020</v>
      </c>
      <c r="K106" s="365">
        <f t="shared" si="5"/>
        <v>2021</v>
      </c>
      <c r="L106" s="365">
        <f t="shared" si="5"/>
        <v>2022</v>
      </c>
      <c r="M106" s="365">
        <f t="shared" si="5"/>
        <v>2023</v>
      </c>
      <c r="N106" s="365">
        <f t="shared" si="5"/>
        <v>2024</v>
      </c>
    </row>
    <row r="107" spans="1:14" ht="15" customHeight="1" x14ac:dyDescent="0.25">
      <c r="A107" s="10"/>
      <c r="B107" s="10" t="s">
        <v>526</v>
      </c>
      <c r="C107" s="10"/>
      <c r="D107" s="10"/>
      <c r="E107" s="11">
        <v>5021.7</v>
      </c>
      <c r="F107" s="11">
        <v>4443.1000000000004</v>
      </c>
      <c r="G107" s="11">
        <v>4363.3999999999996</v>
      </c>
      <c r="H107" s="11">
        <v>4517.2</v>
      </c>
      <c r="I107" s="11">
        <v>4353.1000000000004</v>
      </c>
      <c r="J107" s="11">
        <v>3076.4</v>
      </c>
      <c r="K107" s="11">
        <v>3886.8</v>
      </c>
      <c r="L107" s="11">
        <v>4417.7</v>
      </c>
      <c r="M107" s="11">
        <v>5151.5</v>
      </c>
      <c r="N107" s="11">
        <v>5127</v>
      </c>
    </row>
    <row r="108" spans="1:14" ht="15" customHeight="1" x14ac:dyDescent="0.25">
      <c r="A108" s="10"/>
      <c r="B108" s="10" t="s">
        <v>868</v>
      </c>
      <c r="C108" s="10"/>
      <c r="D108" s="10"/>
      <c r="E108" s="11">
        <v>391.2</v>
      </c>
      <c r="F108" s="11">
        <v>233.9</v>
      </c>
      <c r="G108" s="11">
        <v>224.7</v>
      </c>
      <c r="H108" s="11">
        <v>495</v>
      </c>
      <c r="I108" s="11">
        <v>364.2</v>
      </c>
      <c r="J108" s="11">
        <v>102.4</v>
      </c>
      <c r="K108" s="11">
        <v>328</v>
      </c>
      <c r="L108" s="11">
        <v>420</v>
      </c>
      <c r="M108" s="11">
        <v>636.5</v>
      </c>
      <c r="N108" s="11">
        <v>608</v>
      </c>
    </row>
    <row r="109" spans="1:14" ht="15" customHeight="1" x14ac:dyDescent="0.25">
      <c r="A109" s="10"/>
      <c r="B109" s="10" t="s">
        <v>289</v>
      </c>
      <c r="C109" s="10"/>
      <c r="D109" s="10"/>
      <c r="E109" s="14">
        <v>5.5819373145806032E-2</v>
      </c>
      <c r="F109" s="14">
        <v>-3.1456716505166529E-2</v>
      </c>
      <c r="G109" s="14">
        <v>2.8329184400010709E-2</v>
      </c>
      <c r="H109" s="14">
        <v>0.18512211688174368</v>
      </c>
      <c r="I109" s="14">
        <v>0.13160241092763653</v>
      </c>
      <c r="J109" s="14">
        <v>2.4688371305362854E-2</v>
      </c>
      <c r="K109" s="14">
        <v>0.12937738341167115</v>
      </c>
      <c r="L109" s="14">
        <v>0.17267990600924887</v>
      </c>
      <c r="M109" s="14">
        <v>0.25546995489761137</v>
      </c>
      <c r="N109" s="14">
        <v>0.12483167847584649</v>
      </c>
    </row>
    <row r="110" spans="1:14" ht="15" customHeight="1" x14ac:dyDescent="0.25">
      <c r="A110" s="10"/>
      <c r="B110" s="10" t="s">
        <v>517</v>
      </c>
      <c r="C110" s="10"/>
      <c r="D110" s="10"/>
      <c r="E110" s="14">
        <v>4.8777986306509258E-2</v>
      </c>
      <c r="F110" s="14">
        <v>7.5278705130253573E-2</v>
      </c>
      <c r="G110" s="14">
        <v>7.2488030166744877E-2</v>
      </c>
      <c r="H110" s="14">
        <v>9.0397730377599253E-2</v>
      </c>
      <c r="I110" s="14">
        <v>7.5219848049840138E-2</v>
      </c>
      <c r="J110" s="14">
        <v>5.9789789124287583E-2</v>
      </c>
      <c r="K110" s="14">
        <v>6.7725107059135578E-2</v>
      </c>
      <c r="L110" s="14">
        <v>8.998735105903935E-2</v>
      </c>
      <c r="M110" s="14">
        <v>7.2665740230422174E-2</v>
      </c>
      <c r="N110" s="14">
        <v>9.4681911083742201E-2</v>
      </c>
    </row>
    <row r="111" spans="1:14" ht="15" customHeight="1" x14ac:dyDescent="0.25">
      <c r="A111" s="10"/>
      <c r="B111" s="10" t="s">
        <v>869</v>
      </c>
      <c r="C111" s="10"/>
      <c r="D111" s="10"/>
      <c r="E111" s="11">
        <v>-103.8</v>
      </c>
      <c r="F111" s="11">
        <v>-73</v>
      </c>
      <c r="G111" s="11">
        <v>-43.5</v>
      </c>
      <c r="H111" s="11">
        <v>-103.8</v>
      </c>
      <c r="I111" s="11">
        <v>-108.9</v>
      </c>
      <c r="J111" s="11">
        <v>-64.5</v>
      </c>
      <c r="K111" s="11">
        <v>-59.7</v>
      </c>
      <c r="L111" s="11">
        <v>-109.6</v>
      </c>
      <c r="M111" s="11">
        <v>-127.2</v>
      </c>
      <c r="N111" s="11">
        <v>-137</v>
      </c>
    </row>
    <row r="112" spans="1:14" ht="15" customHeight="1" x14ac:dyDescent="0.25">
      <c r="A112" s="10"/>
      <c r="B112" s="10" t="s">
        <v>870</v>
      </c>
      <c r="C112" s="10"/>
      <c r="D112" s="10"/>
      <c r="E112" s="14">
        <v>0.93943500000000002</v>
      </c>
      <c r="F112" s="14">
        <v>1.035893</v>
      </c>
      <c r="G112" s="14">
        <v>0.805562</v>
      </c>
      <c r="H112" s="14">
        <v>1.410801</v>
      </c>
      <c r="I112" s="14">
        <v>1.4011580000000001</v>
      </c>
      <c r="J112" s="14">
        <v>1.3906669999999999</v>
      </c>
      <c r="K112" s="14">
        <v>0.69160100000000002</v>
      </c>
      <c r="L112" s="14">
        <v>0.73196700000000003</v>
      </c>
      <c r="M112" s="14">
        <v>0.44489600000000001</v>
      </c>
      <c r="N112" s="14">
        <v>1.4836240000000001</v>
      </c>
    </row>
    <row r="113" spans="1:23" ht="15" customHeight="1" x14ac:dyDescent="0.25">
      <c r="A113" s="10"/>
      <c r="B113" s="10" t="s">
        <v>871</v>
      </c>
      <c r="C113" s="10"/>
      <c r="D113" s="10"/>
      <c r="E113" s="14">
        <v>7.7901905729135551E-2</v>
      </c>
      <c r="F113" s="14">
        <v>5.2643424635952375E-2</v>
      </c>
      <c r="G113" s="14">
        <v>5.1496539395883945E-2</v>
      </c>
      <c r="H113" s="14">
        <v>0.10958115646860887</v>
      </c>
      <c r="I113" s="14">
        <v>8.366451494337368E-2</v>
      </c>
      <c r="J113" s="14">
        <v>3.3285658561955533E-2</v>
      </c>
      <c r="K113" s="14">
        <v>8.4388185654008435E-2</v>
      </c>
      <c r="L113" s="14">
        <v>9.5072096339724299E-2</v>
      </c>
      <c r="M113" s="14">
        <v>0.12355624575366399</v>
      </c>
      <c r="N113" s="14">
        <v>0.11858786814901502</v>
      </c>
    </row>
    <row r="114" spans="1:23" ht="15" customHeight="1" x14ac:dyDescent="0.25">
      <c r="A114" s="10"/>
      <c r="B114" s="10" t="s">
        <v>872</v>
      </c>
      <c r="C114" s="10"/>
      <c r="D114" s="10"/>
      <c r="E114" s="366">
        <v>1.1443558328761334</v>
      </c>
      <c r="F114" s="366">
        <v>-0.41787005303475216</v>
      </c>
      <c r="G114" s="366">
        <v>0.39081189452720438</v>
      </c>
      <c r="H114" s="366">
        <v>2.0478624419935363</v>
      </c>
      <c r="I114" s="366">
        <v>1.7495702841680523</v>
      </c>
      <c r="J114" s="366">
        <v>0.41291952467071064</v>
      </c>
      <c r="K114" s="366">
        <v>1.9103311759803143</v>
      </c>
      <c r="L114" s="366">
        <v>1.9189353167641992</v>
      </c>
      <c r="M114" s="366">
        <v>3.5156864030768733</v>
      </c>
      <c r="N114" s="366">
        <v>1.3184321804134063</v>
      </c>
    </row>
    <row r="115" spans="1:23" ht="15" customHeight="1" x14ac:dyDescent="0.25">
      <c r="A115" s="10"/>
      <c r="B115" s="10" t="s">
        <v>873</v>
      </c>
      <c r="C115" s="10"/>
      <c r="D115" s="10"/>
      <c r="E115" s="14">
        <v>2.067029093733198E-2</v>
      </c>
      <c r="F115" s="14">
        <v>1.6429970065944946E-2</v>
      </c>
      <c r="G115" s="14">
        <v>9.9692900032085086E-3</v>
      </c>
      <c r="H115" s="14">
        <v>2.2978836447356769E-2</v>
      </c>
      <c r="I115" s="14">
        <v>2.5016654797730353E-2</v>
      </c>
      <c r="J115" s="14">
        <v>2.0966064230919255E-2</v>
      </c>
      <c r="K115" s="14">
        <v>1.5359678913244829E-2</v>
      </c>
      <c r="L115" s="14">
        <v>2.4809289901985197E-2</v>
      </c>
      <c r="M115" s="14">
        <v>2.4691837328933319E-2</v>
      </c>
      <c r="N115" s="14">
        <v>2.6721279500682659E-2</v>
      </c>
    </row>
    <row r="116" spans="1:23" ht="15" customHeight="1" x14ac:dyDescent="0.25">
      <c r="A116" s="10"/>
      <c r="B116" s="10"/>
      <c r="C116" s="10"/>
      <c r="D116" s="10"/>
      <c r="E116" s="10"/>
      <c r="F116" s="10"/>
      <c r="G116" s="10"/>
      <c r="H116" s="10"/>
      <c r="I116" s="10"/>
      <c r="J116" s="10"/>
      <c r="K116" s="10"/>
      <c r="L116" s="10"/>
      <c r="M116" s="10"/>
      <c r="N116" s="10"/>
    </row>
    <row r="117" spans="1:23" ht="15" customHeight="1" x14ac:dyDescent="0.25">
      <c r="A117" s="10" t="s">
        <v>70</v>
      </c>
      <c r="B117" s="367" t="str">
        <f>+E25</f>
        <v>ALG US Equity</v>
      </c>
      <c r="C117" s="368"/>
      <c r="D117" s="368"/>
      <c r="E117" s="365">
        <f>+E106</f>
        <v>2015</v>
      </c>
      <c r="F117" s="365">
        <f>+F106</f>
        <v>2016</v>
      </c>
      <c r="G117" s="365">
        <f>+G106</f>
        <v>2017</v>
      </c>
      <c r="H117" s="365">
        <f t="shared" ref="H117:N117" si="6">+G117+1</f>
        <v>2018</v>
      </c>
      <c r="I117" s="365">
        <f t="shared" si="6"/>
        <v>2019</v>
      </c>
      <c r="J117" s="365">
        <f t="shared" si="6"/>
        <v>2020</v>
      </c>
      <c r="K117" s="365">
        <f t="shared" si="6"/>
        <v>2021</v>
      </c>
      <c r="L117" s="365">
        <f t="shared" si="6"/>
        <v>2022</v>
      </c>
      <c r="M117" s="365">
        <f t="shared" si="6"/>
        <v>2023</v>
      </c>
      <c r="N117" s="365">
        <f t="shared" si="6"/>
        <v>2024</v>
      </c>
    </row>
    <row r="118" spans="1:23" ht="15" customHeight="1" x14ac:dyDescent="0.25">
      <c r="A118" s="10"/>
      <c r="B118" s="10" t="s">
        <v>526</v>
      </c>
      <c r="C118" s="10"/>
      <c r="D118" s="10"/>
      <c r="E118" s="11">
        <v>879.577</v>
      </c>
      <c r="F118" s="11">
        <v>844.74800000000005</v>
      </c>
      <c r="G118" s="11">
        <v>912.38</v>
      </c>
      <c r="H118" s="11">
        <v>1008.822</v>
      </c>
      <c r="I118" s="11">
        <v>1119.1379999999999</v>
      </c>
      <c r="J118" s="11">
        <v>1163.4659999999999</v>
      </c>
      <c r="K118" s="11">
        <v>1334.223</v>
      </c>
      <c r="L118" s="11">
        <v>1513.616</v>
      </c>
      <c r="M118" s="11">
        <v>1689.6510000000001</v>
      </c>
      <c r="N118" s="11">
        <v>1628.5129999999999</v>
      </c>
      <c r="O118" s="10"/>
      <c r="P118" s="10"/>
      <c r="Q118" s="10"/>
      <c r="R118" s="10"/>
      <c r="S118" s="10"/>
      <c r="T118" s="10"/>
      <c r="U118" s="10"/>
      <c r="V118" s="10"/>
      <c r="W118" s="10"/>
    </row>
    <row r="119" spans="1:23" ht="15" customHeight="1" x14ac:dyDescent="0.25">
      <c r="A119" s="10"/>
      <c r="B119" s="10" t="s">
        <v>868</v>
      </c>
      <c r="C119" s="10"/>
      <c r="D119" s="10"/>
      <c r="E119" s="11">
        <v>66.120199999999997</v>
      </c>
      <c r="F119" s="11">
        <v>70.509</v>
      </c>
      <c r="G119" s="11">
        <v>87.888000000000005</v>
      </c>
      <c r="H119" s="11">
        <v>94.708299999999994</v>
      </c>
      <c r="I119" s="11">
        <v>96.064999999999998</v>
      </c>
      <c r="J119" s="11">
        <v>94.2928</v>
      </c>
      <c r="K119" s="11">
        <v>117.96080000000001</v>
      </c>
      <c r="L119" s="11">
        <v>148.59200000000001</v>
      </c>
      <c r="M119" s="11">
        <v>197.96700000000001</v>
      </c>
      <c r="N119" s="11">
        <v>164.80799999999999</v>
      </c>
      <c r="O119" s="10"/>
      <c r="P119" s="10"/>
      <c r="Q119" s="10"/>
      <c r="R119" s="10"/>
      <c r="S119" s="10"/>
      <c r="T119" s="10"/>
      <c r="U119" s="10"/>
      <c r="V119" s="10"/>
      <c r="W119" s="10"/>
    </row>
    <row r="120" spans="1:23" ht="15" customHeight="1" x14ac:dyDescent="0.25">
      <c r="A120" s="10"/>
      <c r="B120" s="10" t="s">
        <v>289</v>
      </c>
      <c r="C120" s="10"/>
      <c r="D120" s="10"/>
      <c r="E120" s="14">
        <v>8.2137269888000131E-2</v>
      </c>
      <c r="F120" s="14">
        <v>9.4826190270274335E-2</v>
      </c>
      <c r="G120" s="14">
        <v>9.6446623449800928E-2</v>
      </c>
      <c r="H120" s="14">
        <v>0.13944943945564786</v>
      </c>
      <c r="I120" s="14">
        <v>8.5168291498276719E-2</v>
      </c>
      <c r="J120" s="14">
        <v>6.7251955944395689E-2</v>
      </c>
      <c r="K120" s="14">
        <v>8.6903326923772534E-2</v>
      </c>
      <c r="L120" s="14">
        <v>0.10464520976027814</v>
      </c>
      <c r="M120" s="14">
        <v>0.13312673884178769</v>
      </c>
      <c r="N120" s="14">
        <v>0.10386905542654774</v>
      </c>
      <c r="O120" s="10"/>
      <c r="P120" s="10"/>
      <c r="Q120" s="10"/>
      <c r="R120" s="10"/>
      <c r="S120" s="10"/>
      <c r="T120" s="10"/>
      <c r="U120" s="10"/>
      <c r="V120" s="10"/>
      <c r="W120" s="10"/>
    </row>
    <row r="121" spans="1:23" ht="15" customHeight="1" x14ac:dyDescent="0.25">
      <c r="A121" s="10"/>
      <c r="B121" s="10" t="s">
        <v>517</v>
      </c>
      <c r="C121" s="10"/>
      <c r="D121" s="10"/>
      <c r="E121" s="14">
        <v>8.0039998255939798E-2</v>
      </c>
      <c r="F121" s="14">
        <v>6.9170920400465088E-2</v>
      </c>
      <c r="G121" s="14">
        <v>8.0520555222893031E-2</v>
      </c>
      <c r="H121" s="14">
        <v>8.4796187512708288E-2</v>
      </c>
      <c r="I121" s="14">
        <v>3.5072867811997782E-2</v>
      </c>
      <c r="J121" s="14">
        <v>6.9110637248224624E-2</v>
      </c>
      <c r="K121" s="14">
        <v>0.11328888225395105</v>
      </c>
      <c r="L121" s="14">
        <v>6.8175126383561158E-2</v>
      </c>
      <c r="M121" s="14">
        <v>9.9351733771321574E-2</v>
      </c>
      <c r="N121" s="14">
        <v>9.7199953968253011E-2</v>
      </c>
      <c r="O121" s="10"/>
      <c r="P121" s="10"/>
      <c r="Q121" s="10"/>
      <c r="R121" s="10"/>
      <c r="S121" s="10"/>
      <c r="T121" s="10"/>
      <c r="U121" s="10"/>
      <c r="V121" s="10"/>
      <c r="W121" s="10"/>
    </row>
    <row r="122" spans="1:23" ht="15" customHeight="1" x14ac:dyDescent="0.25">
      <c r="A122" s="10"/>
      <c r="B122" s="10" t="s">
        <v>869</v>
      </c>
      <c r="C122" s="10"/>
      <c r="D122" s="10"/>
      <c r="E122" s="11">
        <v>-15.478999999999999</v>
      </c>
      <c r="F122" s="11">
        <v>-9.7609999999999992</v>
      </c>
      <c r="G122" s="11">
        <v>-13.49</v>
      </c>
      <c r="H122" s="11">
        <v>-26.699000000000002</v>
      </c>
      <c r="I122" s="11">
        <v>-31.433</v>
      </c>
      <c r="J122" s="11">
        <v>-17.873999999999999</v>
      </c>
      <c r="K122" s="11">
        <v>-25.306999999999999</v>
      </c>
      <c r="L122" s="11">
        <v>-31.303999999999998</v>
      </c>
      <c r="M122" s="11">
        <v>-37.744999999999997</v>
      </c>
      <c r="N122" s="11">
        <v>-25.225999999999999</v>
      </c>
      <c r="O122" s="10"/>
      <c r="P122" s="10"/>
      <c r="Q122" s="10"/>
      <c r="R122" s="10"/>
      <c r="S122" s="10"/>
      <c r="T122" s="10"/>
      <c r="U122" s="10"/>
      <c r="V122" s="10"/>
      <c r="W122" s="10"/>
    </row>
    <row r="123" spans="1:23" ht="15" customHeight="1" x14ac:dyDescent="0.25">
      <c r="A123" s="10"/>
      <c r="B123" s="10" t="s">
        <v>870</v>
      </c>
      <c r="C123" s="10"/>
      <c r="D123" s="10"/>
      <c r="E123" s="14">
        <v>0.39970999999999995</v>
      </c>
      <c r="F123" s="14">
        <v>0.18077599999999999</v>
      </c>
      <c r="G123" s="14">
        <v>0.13378100000000001</v>
      </c>
      <c r="H123" s="14">
        <v>0.16811800000000002</v>
      </c>
      <c r="I123" s="14">
        <v>0.80199500000000001</v>
      </c>
      <c r="J123" s="14">
        <v>0.47891699999999998</v>
      </c>
      <c r="K123" s="14">
        <v>0.40592500000000004</v>
      </c>
      <c r="L123" s="14">
        <v>0.406802</v>
      </c>
      <c r="M123" s="14">
        <v>0.27003499999999997</v>
      </c>
      <c r="N123" s="14">
        <v>0.23447800000000002</v>
      </c>
      <c r="O123" s="10"/>
      <c r="P123" s="10"/>
      <c r="Q123" s="10"/>
      <c r="R123" s="10"/>
      <c r="S123" s="10"/>
      <c r="T123" s="10"/>
      <c r="U123" s="10"/>
      <c r="V123" s="10"/>
      <c r="W123" s="10"/>
    </row>
    <row r="124" spans="1:23" ht="15" customHeight="1" x14ac:dyDescent="0.25">
      <c r="A124" s="10"/>
      <c r="B124" s="10" t="s">
        <v>871</v>
      </c>
      <c r="C124" s="10"/>
      <c r="D124" s="10"/>
      <c r="E124" s="14">
        <v>7.5172725071255844E-2</v>
      </c>
      <c r="F124" s="14">
        <v>8.3467495631833394E-2</v>
      </c>
      <c r="G124" s="14">
        <v>9.6328284267520117E-2</v>
      </c>
      <c r="H124" s="14">
        <v>9.3880089847366524E-2</v>
      </c>
      <c r="I124" s="14">
        <v>8.5838386329478586E-2</v>
      </c>
      <c r="J124" s="14">
        <v>8.1044740456532469E-2</v>
      </c>
      <c r="K124" s="14">
        <v>8.8411607354992386E-2</v>
      </c>
      <c r="L124" s="14">
        <v>9.8170209617234494E-2</v>
      </c>
      <c r="M124" s="14">
        <v>0.11716443218155702</v>
      </c>
      <c r="N124" s="14">
        <v>0.10120152556350487</v>
      </c>
      <c r="O124" s="10"/>
      <c r="P124" s="10"/>
      <c r="Q124" s="10"/>
      <c r="R124" s="10"/>
      <c r="S124" s="10"/>
      <c r="T124" s="10"/>
      <c r="U124" s="10"/>
      <c r="V124" s="10"/>
      <c r="W124" s="10"/>
    </row>
    <row r="125" spans="1:23" ht="15" customHeight="1" x14ac:dyDescent="0.25">
      <c r="A125" s="10"/>
      <c r="B125" s="10" t="s">
        <v>872</v>
      </c>
      <c r="C125" s="10"/>
      <c r="D125" s="10"/>
      <c r="E125" s="366">
        <v>1.0262027945747074</v>
      </c>
      <c r="F125" s="366">
        <v>1.3708967543192725</v>
      </c>
      <c r="G125" s="366">
        <v>1.1977888525833205</v>
      </c>
      <c r="H125" s="366">
        <v>1.6445248724743522</v>
      </c>
      <c r="I125" s="366">
        <v>2.4283241380433171</v>
      </c>
      <c r="J125" s="366">
        <v>0.97310571313135041</v>
      </c>
      <c r="K125" s="366">
        <v>0.76709492754079767</v>
      </c>
      <c r="L125" s="366">
        <v>1.5349470593062353</v>
      </c>
      <c r="M125" s="366">
        <v>1.3399538567510683</v>
      </c>
      <c r="N125" s="366">
        <v>1.0686121874139258</v>
      </c>
      <c r="O125" s="10"/>
      <c r="P125" s="10"/>
      <c r="Q125" s="10"/>
      <c r="R125" s="10"/>
      <c r="S125" s="10"/>
      <c r="T125" s="10"/>
      <c r="U125" s="10"/>
      <c r="V125" s="10"/>
      <c r="W125" s="10"/>
    </row>
    <row r="126" spans="1:23" ht="15" customHeight="1" x14ac:dyDescent="0.25">
      <c r="A126" s="10"/>
      <c r="B126" s="10" t="s">
        <v>873</v>
      </c>
      <c r="C126" s="10"/>
      <c r="D126" s="10"/>
      <c r="E126" s="14">
        <v>1.7598231877368326E-2</v>
      </c>
      <c r="F126" s="14">
        <v>1.1554925255815933E-2</v>
      </c>
      <c r="G126" s="14">
        <v>1.4785506039150355E-2</v>
      </c>
      <c r="H126" s="14">
        <v>2.6465521172218689E-2</v>
      </c>
      <c r="I126" s="14">
        <v>2.8086795372867332E-2</v>
      </c>
      <c r="J126" s="14">
        <v>1.5362717947924563E-2</v>
      </c>
      <c r="K126" s="14">
        <v>1.8967593872988249E-2</v>
      </c>
      <c r="L126" s="14">
        <v>2.0681599560258349E-2</v>
      </c>
      <c r="M126" s="14">
        <v>2.2338932714507313E-2</v>
      </c>
      <c r="N126" s="14">
        <v>1.54902048678764E-2</v>
      </c>
      <c r="O126" s="10"/>
      <c r="P126" s="10"/>
      <c r="Q126" s="10"/>
      <c r="R126" s="10"/>
      <c r="S126" s="10"/>
      <c r="T126" s="10"/>
      <c r="U126" s="10"/>
      <c r="V126" s="10"/>
      <c r="W126" s="10"/>
    </row>
    <row r="127" spans="1:23" ht="1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x14ac:dyDescent="0.25">
      <c r="A128" s="10"/>
      <c r="B128" s="383" t="s">
        <v>874</v>
      </c>
      <c r="C128" s="383"/>
      <c r="D128" s="383"/>
      <c r="E128" s="32"/>
      <c r="F128" s="339"/>
      <c r="G128" s="339"/>
      <c r="H128" s="339"/>
      <c r="I128" s="339"/>
      <c r="J128" s="339"/>
      <c r="K128" s="32"/>
      <c r="L128" s="339"/>
      <c r="M128" s="339"/>
      <c r="N128" s="339"/>
      <c r="O128" s="339"/>
      <c r="P128" s="339"/>
      <c r="Q128" s="32"/>
      <c r="R128" s="339"/>
      <c r="S128" s="339"/>
      <c r="T128" s="339"/>
      <c r="U128" s="339"/>
      <c r="V128" s="32"/>
      <c r="W128" s="339"/>
    </row>
    <row r="129" spans="1:23" ht="15" customHeight="1" x14ac:dyDescent="0.25">
      <c r="A129" s="10"/>
      <c r="B129" s="384"/>
      <c r="C129" s="384"/>
      <c r="D129" s="384"/>
      <c r="E129" s="32"/>
      <c r="F129" s="385"/>
      <c r="G129" s="385"/>
      <c r="H129" s="385"/>
      <c r="I129" s="385"/>
      <c r="J129" s="385"/>
      <c r="K129" s="386"/>
      <c r="L129" s="385"/>
      <c r="M129" s="385"/>
      <c r="N129" s="385"/>
      <c r="O129" s="385"/>
      <c r="P129" s="385"/>
      <c r="Q129" s="386"/>
      <c r="R129" s="385"/>
      <c r="S129" s="385"/>
      <c r="T129" s="385"/>
      <c r="U129" s="385"/>
      <c r="V129" s="386"/>
      <c r="W129" s="532"/>
    </row>
    <row r="130" spans="1:23" ht="15" customHeight="1" x14ac:dyDescent="0.25">
      <c r="A130" s="10"/>
      <c r="B130" s="384"/>
      <c r="C130" s="384"/>
      <c r="D130" s="384"/>
      <c r="E130" s="32"/>
      <c r="F130" s="387"/>
      <c r="G130" s="387"/>
      <c r="H130" s="387"/>
      <c r="I130" s="387"/>
      <c r="J130" s="387"/>
      <c r="K130" s="385"/>
      <c r="L130" s="387"/>
      <c r="M130" s="387"/>
      <c r="N130" s="387"/>
      <c r="O130" s="387"/>
      <c r="P130" s="387"/>
      <c r="Q130" s="385"/>
      <c r="R130" s="387"/>
      <c r="S130" s="387"/>
      <c r="T130" s="387"/>
      <c r="U130" s="387"/>
      <c r="V130" s="385"/>
      <c r="W130" s="387"/>
    </row>
    <row r="131" spans="1:23" ht="4.3499999999999996" customHeight="1" x14ac:dyDescent="0.25">
      <c r="A131" s="10"/>
      <c r="B131" s="388"/>
      <c r="C131" s="388"/>
      <c r="D131" s="388"/>
      <c r="E131" s="389"/>
      <c r="F131" s="390"/>
      <c r="G131" s="390"/>
      <c r="H131" s="390"/>
      <c r="I131" s="390"/>
      <c r="J131" s="390"/>
      <c r="K131" s="391"/>
      <c r="L131" s="390"/>
      <c r="M131" s="390"/>
      <c r="N131" s="390"/>
      <c r="O131" s="390"/>
      <c r="P131" s="390"/>
      <c r="Q131" s="391"/>
      <c r="R131" s="390"/>
      <c r="S131" s="390"/>
      <c r="T131" s="390"/>
      <c r="U131" s="390"/>
      <c r="V131" s="391"/>
      <c r="W131" s="390"/>
    </row>
    <row r="132" spans="1:23" ht="4.3499999999999996" customHeight="1" x14ac:dyDescent="0.25">
      <c r="A132" s="10"/>
      <c r="B132" s="379"/>
      <c r="C132" s="379"/>
      <c r="D132" s="379"/>
      <c r="E132" s="380"/>
      <c r="F132" s="379"/>
      <c r="G132" s="379"/>
      <c r="H132" s="379"/>
      <c r="I132" s="379"/>
      <c r="J132" s="379"/>
      <c r="K132" s="379"/>
      <c r="L132" s="379"/>
      <c r="M132" s="379"/>
      <c r="N132" s="379"/>
      <c r="O132" s="379"/>
      <c r="P132" s="379"/>
      <c r="Q132" s="379"/>
      <c r="R132" s="379"/>
      <c r="S132" s="379"/>
      <c r="T132" s="379"/>
      <c r="U132" s="379"/>
      <c r="V132" s="379"/>
      <c r="W132" s="379"/>
    </row>
    <row r="133" spans="1:23" ht="15" customHeight="1" x14ac:dyDescent="0.25">
      <c r="A133" s="10"/>
      <c r="B133" s="383" t="s">
        <v>363</v>
      </c>
      <c r="C133" s="537" t="s">
        <v>875</v>
      </c>
      <c r="D133" s="384"/>
      <c r="E133" s="32"/>
      <c r="F133" s="387"/>
      <c r="G133" s="387">
        <v>2017</v>
      </c>
      <c r="H133" s="387">
        <f t="shared" ref="H133:N133" si="7">+G133+1</f>
        <v>2018</v>
      </c>
      <c r="I133" s="387">
        <f t="shared" si="7"/>
        <v>2019</v>
      </c>
      <c r="J133" s="387">
        <f t="shared" si="7"/>
        <v>2020</v>
      </c>
      <c r="K133" s="387">
        <f t="shared" si="7"/>
        <v>2021</v>
      </c>
      <c r="L133" s="387">
        <f t="shared" si="7"/>
        <v>2022</v>
      </c>
      <c r="M133" s="387">
        <f t="shared" si="7"/>
        <v>2023</v>
      </c>
      <c r="N133" s="387">
        <f t="shared" si="7"/>
        <v>2024</v>
      </c>
      <c r="O133" s="379"/>
      <c r="P133" s="387">
        <v>2017</v>
      </c>
      <c r="Q133" s="387">
        <f t="shared" ref="Q133:W133" si="8">+P133+1</f>
        <v>2018</v>
      </c>
      <c r="R133" s="387">
        <f t="shared" si="8"/>
        <v>2019</v>
      </c>
      <c r="S133" s="387">
        <f t="shared" si="8"/>
        <v>2020</v>
      </c>
      <c r="T133" s="387">
        <f t="shared" si="8"/>
        <v>2021</v>
      </c>
      <c r="U133" s="387">
        <f t="shared" si="8"/>
        <v>2022</v>
      </c>
      <c r="V133" s="387">
        <f t="shared" si="8"/>
        <v>2023</v>
      </c>
      <c r="W133" s="387">
        <f t="shared" si="8"/>
        <v>2024</v>
      </c>
    </row>
    <row r="135" spans="1:23" ht="15" customHeight="1" x14ac:dyDescent="0.25">
      <c r="B135" s="379" t="s">
        <v>189</v>
      </c>
      <c r="C135" s="536" t="str">
        <f>Inputs!$D$15</f>
        <v>DE US Equity</v>
      </c>
      <c r="D135" s="379"/>
      <c r="E135" s="380"/>
      <c r="F135" s="379"/>
      <c r="G135" s="379">
        <v>431</v>
      </c>
      <c r="H135" s="379">
        <v>386</v>
      </c>
      <c r="I135" s="379">
        <v>388.5</v>
      </c>
      <c r="J135" s="379">
        <v>334</v>
      </c>
      <c r="K135" s="379">
        <v>403.3</v>
      </c>
      <c r="L135" s="379">
        <v>418.2</v>
      </c>
      <c r="M135" s="379">
        <v>409.3</v>
      </c>
      <c r="N135" s="379">
        <v>353.9</v>
      </c>
      <c r="O135" s="379"/>
      <c r="P135" s="379">
        <f>+G135/G171</f>
        <v>1.467833668221912E-2</v>
      </c>
      <c r="Q135" s="379">
        <f t="shared" ref="P135:W140" si="9">+H135/H171</f>
        <v>1.0332458911076611E-2</v>
      </c>
      <c r="R135" s="379">
        <f t="shared" si="9"/>
        <v>9.8960721381629226E-3</v>
      </c>
      <c r="S135" s="379">
        <f t="shared" si="9"/>
        <v>9.3978615644344406E-3</v>
      </c>
      <c r="T135" s="379">
        <f t="shared" si="9"/>
        <v>9.1609122296928951E-3</v>
      </c>
      <c r="U135" s="379">
        <f t="shared" si="9"/>
        <v>7.9540483481370175E-3</v>
      </c>
      <c r="V135" s="379">
        <f t="shared" si="9"/>
        <v>6.6823398801652218E-3</v>
      </c>
      <c r="W135" s="379">
        <f t="shared" si="9"/>
        <v>6.8431433212158711E-3</v>
      </c>
    </row>
    <row r="136" spans="1:23" ht="15" customHeight="1" x14ac:dyDescent="0.25">
      <c r="B136" s="379" t="s">
        <v>185</v>
      </c>
      <c r="C136" s="536" t="str">
        <f>+Inputs!$E$21</f>
        <v>AGCO US Equity</v>
      </c>
      <c r="D136" s="379"/>
      <c r="E136" s="380"/>
      <c r="F136" s="379"/>
      <c r="G136" s="379">
        <v>41</v>
      </c>
      <c r="H136" s="379">
        <v>40</v>
      </c>
      <c r="I136" s="379">
        <v>47</v>
      </c>
      <c r="J136" s="379">
        <v>50.268999999999998</v>
      </c>
      <c r="K136" s="379">
        <v>58.341999999999999</v>
      </c>
      <c r="L136" s="379">
        <v>80.617999999999995</v>
      </c>
      <c r="M136" s="379">
        <v>79.540999999999997</v>
      </c>
      <c r="N136" s="379">
        <v>64.278999999999996</v>
      </c>
      <c r="O136" s="379"/>
      <c r="P136" s="379">
        <f t="shared" si="9"/>
        <v>4.9358935773189672E-3</v>
      </c>
      <c r="Q136" s="379">
        <f t="shared" si="9"/>
        <v>4.2771599657827203E-3</v>
      </c>
      <c r="R136" s="379">
        <f t="shared" si="9"/>
        <v>5.1983099962395205E-3</v>
      </c>
      <c r="S136" s="379">
        <f t="shared" si="9"/>
        <v>5.494059914532716E-3</v>
      </c>
      <c r="T136" s="379">
        <f t="shared" si="9"/>
        <v>5.2379627052602283E-3</v>
      </c>
      <c r="U136" s="379">
        <f t="shared" si="9"/>
        <v>6.3722591966106513E-3</v>
      </c>
      <c r="V136" s="379">
        <f t="shared" si="9"/>
        <v>5.5189281452082926E-3</v>
      </c>
      <c r="W136" s="379">
        <f t="shared" si="9"/>
        <v>5.511880568346496E-3</v>
      </c>
    </row>
    <row r="137" spans="1:23" ht="15" customHeight="1" x14ac:dyDescent="0.25">
      <c r="B137" s="379" t="s">
        <v>876</v>
      </c>
      <c r="C137" s="536" t="str">
        <f>+Inputs!$E$22</f>
        <v>CAT US Equity</v>
      </c>
      <c r="D137" s="379"/>
      <c r="E137" s="380"/>
      <c r="F137" s="379"/>
      <c r="G137" s="379">
        <v>860</v>
      </c>
      <c r="H137" s="379">
        <v>940</v>
      </c>
      <c r="I137" s="379">
        <v>910</v>
      </c>
      <c r="J137" s="379">
        <v>700</v>
      </c>
      <c r="K137" s="379">
        <v>740</v>
      </c>
      <c r="L137" s="379">
        <v>740</v>
      </c>
      <c r="M137" s="379">
        <v>690</v>
      </c>
      <c r="N137" s="379">
        <v>680</v>
      </c>
      <c r="O137" s="379"/>
      <c r="P137" s="379">
        <f t="shared" si="9"/>
        <v>1.8916897628788877E-2</v>
      </c>
      <c r="Q137" s="379">
        <f t="shared" si="9"/>
        <v>1.7177734731917693E-2</v>
      </c>
      <c r="R137" s="379">
        <f t="shared" si="9"/>
        <v>1.6914498141263942E-2</v>
      </c>
      <c r="S137" s="379">
        <f t="shared" si="9"/>
        <v>1.676727028839705E-2</v>
      </c>
      <c r="T137" s="379">
        <f t="shared" si="9"/>
        <v>1.4518059288615095E-2</v>
      </c>
      <c r="U137" s="379">
        <f t="shared" si="9"/>
        <v>1.2452252343210998E-2</v>
      </c>
      <c r="V137" s="379">
        <f t="shared" si="9"/>
        <v>1.0289293170295259E-2</v>
      </c>
      <c r="W137" s="379">
        <f t="shared" si="9"/>
        <v>1.0492369886898424E-2</v>
      </c>
    </row>
    <row r="138" spans="1:23" ht="15" customHeight="1" x14ac:dyDescent="0.25">
      <c r="B138" s="379" t="s">
        <v>188</v>
      </c>
      <c r="C138" s="536" t="str">
        <f>+Inputs!$E$23</f>
        <v>CNH US Equity</v>
      </c>
      <c r="D138" s="379"/>
      <c r="E138" s="380"/>
      <c r="F138" s="379"/>
      <c r="G138" s="379">
        <v>180.59</v>
      </c>
      <c r="H138" s="379">
        <v>184.44</v>
      </c>
      <c r="I138" s="379">
        <v>171.21700000000001</v>
      </c>
      <c r="J138" s="379">
        <v>95.063999999999993</v>
      </c>
      <c r="K138" s="379">
        <v>120.03700000000001</v>
      </c>
      <c r="L138" s="379">
        <v>127.504</v>
      </c>
      <c r="M138" s="379">
        <v>117.89</v>
      </c>
      <c r="N138" s="379">
        <v>101.69</v>
      </c>
      <c r="O138" s="379"/>
      <c r="P138" s="379">
        <f t="shared" si="9"/>
        <v>6.5192592325186817E-3</v>
      </c>
      <c r="Q138" s="379">
        <f t="shared" si="9"/>
        <v>6.2088466976368412E-3</v>
      </c>
      <c r="R138" s="379">
        <f t="shared" si="9"/>
        <v>6.0976886641262154E-3</v>
      </c>
      <c r="S138" s="379">
        <f t="shared" si="9"/>
        <v>3.6518131530424089E-3</v>
      </c>
      <c r="T138" s="379">
        <f t="shared" si="9"/>
        <v>6.1570065654493232E-3</v>
      </c>
      <c r="U138" s="379">
        <f t="shared" si="9"/>
        <v>5.4139526983992192E-3</v>
      </c>
      <c r="V138" s="379">
        <f t="shared" si="9"/>
        <v>4.7753878559565763E-3</v>
      </c>
      <c r="W138" s="379">
        <f t="shared" si="9"/>
        <v>5.1265376083887877E-3</v>
      </c>
    </row>
    <row r="139" spans="1:23" ht="15" customHeight="1" x14ac:dyDescent="0.25">
      <c r="B139" s="379" t="s">
        <v>184</v>
      </c>
      <c r="C139" s="536" t="str">
        <f>+Inputs!$E$24</f>
        <v>TEX US Equity</v>
      </c>
      <c r="D139" s="379"/>
      <c r="E139" s="380"/>
      <c r="F139" s="379"/>
      <c r="G139" s="379">
        <v>48.49</v>
      </c>
      <c r="H139" s="379">
        <v>44.104999999999997</v>
      </c>
      <c r="I139" s="379">
        <v>34.177</v>
      </c>
      <c r="J139" s="379">
        <v>28.035</v>
      </c>
      <c r="K139" s="379">
        <v>30.492999999999999</v>
      </c>
      <c r="L139" s="379">
        <v>31.196999999999999</v>
      </c>
      <c r="M139" s="379">
        <v>34.284999999999997</v>
      </c>
      <c r="N139" s="398" t="s">
        <v>877</v>
      </c>
      <c r="O139" s="379"/>
      <c r="P139" s="379">
        <f t="shared" si="9"/>
        <v>1.1112893615070818E-2</v>
      </c>
      <c r="Q139" s="379">
        <f t="shared" si="9"/>
        <v>9.7637917293898879E-3</v>
      </c>
      <c r="R139" s="379">
        <f t="shared" si="9"/>
        <v>7.8511865107624441E-3</v>
      </c>
      <c r="S139" s="379">
        <f t="shared" si="9"/>
        <v>9.1129241971135092E-3</v>
      </c>
      <c r="T139" s="379">
        <f t="shared" si="9"/>
        <v>7.8452711742307297E-3</v>
      </c>
      <c r="U139" s="379">
        <f t="shared" si="9"/>
        <v>7.0618194988342348E-3</v>
      </c>
      <c r="V139" s="379">
        <f t="shared" si="9"/>
        <v>6.6553431039503052E-3</v>
      </c>
      <c r="W139" s="379" t="e">
        <f t="shared" si="9"/>
        <v>#VALUE!</v>
      </c>
    </row>
    <row r="140" spans="1:23" ht="15" customHeight="1" x14ac:dyDescent="0.25">
      <c r="B140" s="379" t="s">
        <v>183</v>
      </c>
      <c r="C140" s="536" t="str">
        <f>+Inputs!$E$25</f>
        <v>ALG US Equity</v>
      </c>
      <c r="D140" s="379"/>
      <c r="E140" s="380"/>
      <c r="F140" s="379"/>
      <c r="G140" s="379">
        <v>27.72</v>
      </c>
      <c r="H140" s="379">
        <v>28.58</v>
      </c>
      <c r="I140" s="379">
        <v>27.597999999999999</v>
      </c>
      <c r="J140" s="379">
        <v>24.399000000000001</v>
      </c>
      <c r="K140" s="379">
        <v>25.571999999999999</v>
      </c>
      <c r="L140" s="379">
        <v>26.672999999999998</v>
      </c>
      <c r="M140" s="379">
        <v>26.091000000000001</v>
      </c>
      <c r="N140" s="379">
        <v>22.481000000000002</v>
      </c>
      <c r="O140" s="379"/>
      <c r="P140" s="379">
        <f t="shared" si="9"/>
        <v>3.0382077643087309E-2</v>
      </c>
      <c r="Q140" s="379">
        <f t="shared" si="9"/>
        <v>2.8330072103899397E-2</v>
      </c>
      <c r="R140" s="379">
        <f t="shared" si="9"/>
        <v>2.466005086057305E-2</v>
      </c>
      <c r="S140" s="379">
        <f t="shared" si="9"/>
        <v>2.0970960904744963E-2</v>
      </c>
      <c r="T140" s="379">
        <f t="shared" si="9"/>
        <v>1.9166211345479727E-2</v>
      </c>
      <c r="U140" s="379">
        <f t="shared" si="9"/>
        <v>1.7622038879081616E-2</v>
      </c>
      <c r="V140" s="379">
        <f t="shared" si="9"/>
        <v>1.5441650376320316E-2</v>
      </c>
      <c r="W140" s="379">
        <f t="shared" si="9"/>
        <v>1.3804618077964377E-2</v>
      </c>
    </row>
    <row r="141" spans="1:23" ht="15" customHeight="1" x14ac:dyDescent="0.25">
      <c r="B141" s="379"/>
      <c r="C141" s="379"/>
      <c r="D141" s="379"/>
      <c r="E141" s="380"/>
      <c r="F141" s="379"/>
      <c r="G141" s="379"/>
      <c r="H141" s="379"/>
      <c r="I141" s="379"/>
      <c r="J141" s="379"/>
      <c r="K141" s="379"/>
      <c r="L141" s="379"/>
      <c r="M141" s="379"/>
      <c r="N141" s="379"/>
      <c r="O141" s="379"/>
      <c r="P141" s="379"/>
      <c r="Q141" s="379"/>
      <c r="R141" s="379"/>
      <c r="S141" s="379"/>
      <c r="T141" s="379"/>
      <c r="U141" s="379"/>
      <c r="V141" s="379"/>
      <c r="W141" s="379"/>
    </row>
    <row r="142" spans="1:23" ht="15" customHeight="1" x14ac:dyDescent="0.25">
      <c r="B142" s="383" t="s">
        <v>377</v>
      </c>
      <c r="C142" s="537" t="s">
        <v>878</v>
      </c>
      <c r="D142" s="384"/>
      <c r="E142" s="32"/>
      <c r="F142" s="387"/>
      <c r="G142" s="387">
        <v>2017</v>
      </c>
      <c r="H142" s="387">
        <f t="shared" ref="H142:N142" si="10">+G142+1</f>
        <v>2018</v>
      </c>
      <c r="I142" s="387">
        <f t="shared" si="10"/>
        <v>2019</v>
      </c>
      <c r="J142" s="387">
        <f t="shared" si="10"/>
        <v>2020</v>
      </c>
      <c r="K142" s="387">
        <f t="shared" si="10"/>
        <v>2021</v>
      </c>
      <c r="L142" s="387">
        <f t="shared" si="10"/>
        <v>2022</v>
      </c>
      <c r="M142" s="387">
        <f t="shared" si="10"/>
        <v>2023</v>
      </c>
      <c r="N142" s="387">
        <f t="shared" si="10"/>
        <v>2024</v>
      </c>
      <c r="O142" s="379"/>
      <c r="P142" s="387">
        <v>2017</v>
      </c>
      <c r="Q142" s="387">
        <f t="shared" ref="Q142:W142" si="11">+P142+1</f>
        <v>2018</v>
      </c>
      <c r="R142" s="387">
        <f t="shared" si="11"/>
        <v>2019</v>
      </c>
      <c r="S142" s="387">
        <f t="shared" si="11"/>
        <v>2020</v>
      </c>
      <c r="T142" s="387">
        <f t="shared" si="11"/>
        <v>2021</v>
      </c>
      <c r="U142" s="387">
        <f t="shared" si="11"/>
        <v>2022</v>
      </c>
      <c r="V142" s="387">
        <f t="shared" si="11"/>
        <v>2023</v>
      </c>
      <c r="W142" s="387">
        <f t="shared" si="11"/>
        <v>2024</v>
      </c>
    </row>
    <row r="143" spans="1:23" ht="4.3499999999999996" customHeight="1" x14ac:dyDescent="0.25">
      <c r="B143" s="388"/>
      <c r="C143" s="388"/>
      <c r="D143" s="388"/>
      <c r="E143" s="389"/>
      <c r="F143" s="390"/>
      <c r="G143" s="390"/>
      <c r="H143" s="390"/>
      <c r="I143" s="390"/>
      <c r="J143" s="390"/>
      <c r="K143" s="390"/>
      <c r="L143" s="390"/>
      <c r="M143" s="390"/>
      <c r="N143" s="390"/>
      <c r="O143" s="379"/>
      <c r="P143" s="390"/>
      <c r="Q143" s="390"/>
      <c r="R143" s="390"/>
      <c r="S143" s="390"/>
      <c r="T143" s="390"/>
      <c r="U143" s="390"/>
      <c r="V143" s="390"/>
      <c r="W143" s="390"/>
    </row>
    <row r="144" spans="1:23" ht="15" customHeight="1" x14ac:dyDescent="0.25">
      <c r="B144" s="379" t="s">
        <v>189</v>
      </c>
      <c r="C144" s="536" t="str">
        <f>Inputs!$D$15</f>
        <v>DE US Equity</v>
      </c>
      <c r="D144" s="379"/>
      <c r="E144" s="380"/>
      <c r="F144" s="379"/>
      <c r="G144" s="379" t="s">
        <v>877</v>
      </c>
      <c r="H144" s="379">
        <v>3550</v>
      </c>
      <c r="I144" s="379">
        <v>3590.83</v>
      </c>
      <c r="J144" s="379">
        <v>3279.44</v>
      </c>
      <c r="K144" s="379">
        <v>3580.56</v>
      </c>
      <c r="L144" s="379">
        <v>3825</v>
      </c>
      <c r="M144" s="379">
        <v>3300</v>
      </c>
      <c r="N144" s="379" t="e">
        <v>#N/A</v>
      </c>
      <c r="O144" s="379"/>
      <c r="P144" s="379" t="e">
        <f t="shared" ref="P144:W149" si="12">+G144/G171</f>
        <v>#VALUE!</v>
      </c>
      <c r="Q144" s="379">
        <f t="shared" si="12"/>
        <v>9.5026500347984363E-2</v>
      </c>
      <c r="R144" s="379">
        <f>+I144/I171</f>
        <v>9.1467471598145597E-2</v>
      </c>
      <c r="S144" s="379">
        <f t="shared" si="12"/>
        <v>9.2274620146314018E-2</v>
      </c>
      <c r="T144" s="379">
        <f t="shared" si="12"/>
        <v>8.1332000726876241E-2</v>
      </c>
      <c r="U144" s="379">
        <f t="shared" si="12"/>
        <v>7.2750442208570285E-2</v>
      </c>
      <c r="V144" s="379">
        <f t="shared" si="12"/>
        <v>5.3876671401283244E-2</v>
      </c>
      <c r="W144" s="379" t="e">
        <f t="shared" si="12"/>
        <v>#N/A</v>
      </c>
    </row>
    <row r="145" spans="2:23" ht="15" customHeight="1" x14ac:dyDescent="0.25">
      <c r="B145" s="379" t="s">
        <v>185</v>
      </c>
      <c r="C145" s="536" t="str">
        <f>+Inputs!$E$21</f>
        <v>AGCO US Equity</v>
      </c>
      <c r="D145" s="379"/>
      <c r="E145" s="380"/>
      <c r="F145" s="379"/>
      <c r="G145" s="379" t="s">
        <v>877</v>
      </c>
      <c r="H145" s="379" t="s">
        <v>877</v>
      </c>
      <c r="I145" s="379" t="s">
        <v>877</v>
      </c>
      <c r="J145" s="379">
        <v>520.149</v>
      </c>
      <c r="K145" s="379">
        <v>584.09400000000005</v>
      </c>
      <c r="L145" s="379">
        <v>627.26700000000005</v>
      </c>
      <c r="M145" s="379">
        <v>694.83600000000001</v>
      </c>
      <c r="N145" s="379">
        <v>565.55399999999997</v>
      </c>
      <c r="O145" s="379"/>
      <c r="P145" s="379" t="e">
        <f t="shared" si="12"/>
        <v>#VALUE!</v>
      </c>
      <c r="Q145" s="379" t="e">
        <f t="shared" si="12"/>
        <v>#VALUE!</v>
      </c>
      <c r="R145" s="379" t="e">
        <f t="shared" si="12"/>
        <v>#VALUE!</v>
      </c>
      <c r="S145" s="379">
        <f t="shared" si="12"/>
        <v>5.6848749139316042E-2</v>
      </c>
      <c r="T145" s="379">
        <f t="shared" si="12"/>
        <v>5.2440138979916152E-2</v>
      </c>
      <c r="U145" s="379">
        <f t="shared" si="12"/>
        <v>4.9580836903425712E-2</v>
      </c>
      <c r="V145" s="379">
        <f t="shared" si="12"/>
        <v>4.8210984985151674E-2</v>
      </c>
      <c r="W145" s="379">
        <f t="shared" si="12"/>
        <v>4.8495871170220972E-2</v>
      </c>
    </row>
    <row r="146" spans="2:23" ht="15" customHeight="1" x14ac:dyDescent="0.25">
      <c r="B146" s="379" t="s">
        <v>876</v>
      </c>
      <c r="C146" s="536" t="str">
        <f>+Inputs!$E$22</f>
        <v>CAT US Equity</v>
      </c>
      <c r="D146" s="379"/>
      <c r="E146" s="380"/>
      <c r="F146" s="379"/>
      <c r="G146" s="379">
        <v>6580.56</v>
      </c>
      <c r="H146" s="379">
        <v>6983.33</v>
      </c>
      <c r="I146" s="379">
        <v>6666.67</v>
      </c>
      <c r="J146" s="379">
        <v>5388.89</v>
      </c>
      <c r="K146" s="379">
        <v>5666.67</v>
      </c>
      <c r="L146" s="379">
        <v>5750</v>
      </c>
      <c r="M146" s="379">
        <v>5416.67</v>
      </c>
      <c r="N146" s="379">
        <v>5305.56</v>
      </c>
      <c r="O146" s="379"/>
      <c r="P146" s="379">
        <f t="shared" si="12"/>
        <v>0.14474858123267784</v>
      </c>
      <c r="Q146" s="379">
        <f t="shared" si="12"/>
        <v>0.1276146705164285</v>
      </c>
      <c r="R146" s="379">
        <f t="shared" si="12"/>
        <v>0.12391579925650557</v>
      </c>
      <c r="S146" s="379">
        <f t="shared" si="12"/>
        <v>0.12908139312062855</v>
      </c>
      <c r="T146" s="379">
        <f t="shared" si="12"/>
        <v>0.11117439328245474</v>
      </c>
      <c r="U146" s="379">
        <f t="shared" si="12"/>
        <v>9.6757366180355728E-2</v>
      </c>
      <c r="V146" s="379">
        <f t="shared" si="12"/>
        <v>8.077348643006263E-2</v>
      </c>
      <c r="W146" s="379">
        <f t="shared" si="12"/>
        <v>8.1864555848724721E-2</v>
      </c>
    </row>
    <row r="147" spans="2:23" ht="15" customHeight="1" x14ac:dyDescent="0.25">
      <c r="B147" s="379" t="s">
        <v>188</v>
      </c>
      <c r="C147" s="536" t="str">
        <f>+Inputs!$E$23</f>
        <v>CNH US Equity</v>
      </c>
      <c r="D147" s="379"/>
      <c r="E147" s="380"/>
      <c r="F147" s="379"/>
      <c r="G147" s="379">
        <v>1825.33</v>
      </c>
      <c r="H147" s="379">
        <v>981.56299999999999</v>
      </c>
      <c r="I147" s="379">
        <v>1764.92</v>
      </c>
      <c r="J147" s="379">
        <v>793.66600000000005</v>
      </c>
      <c r="K147" s="379">
        <v>987.41600000000005</v>
      </c>
      <c r="L147" s="379">
        <v>1072.25</v>
      </c>
      <c r="M147" s="379">
        <v>981.23500000000001</v>
      </c>
      <c r="N147" s="379">
        <v>842.59900000000005</v>
      </c>
      <c r="O147" s="379"/>
      <c r="P147" s="379">
        <f t="shared" si="12"/>
        <v>6.5894011046532613E-2</v>
      </c>
      <c r="Q147" s="379">
        <f t="shared" si="12"/>
        <v>3.3042583989766373E-2</v>
      </c>
      <c r="R147" s="379">
        <f t="shared" si="12"/>
        <v>6.2855514797535525E-2</v>
      </c>
      <c r="S147" s="379">
        <f t="shared" si="12"/>
        <v>3.0488091579594347E-2</v>
      </c>
      <c r="T147" s="379">
        <f t="shared" si="12"/>
        <v>5.0647107098892086E-2</v>
      </c>
      <c r="U147" s="379">
        <f t="shared" si="12"/>
        <v>4.5528852278034902E-2</v>
      </c>
      <c r="V147" s="379">
        <f t="shared" si="12"/>
        <v>3.9747032851298256E-2</v>
      </c>
      <c r="W147" s="379">
        <f t="shared" si="12"/>
        <v>4.2478271828997785E-2</v>
      </c>
    </row>
    <row r="148" spans="2:23" ht="15" customHeight="1" x14ac:dyDescent="0.25">
      <c r="B148" s="379" t="s">
        <v>184</v>
      </c>
      <c r="C148" s="536" t="str">
        <f>+Inputs!$E$24</f>
        <v>TEX US Equity</v>
      </c>
      <c r="D148" s="379"/>
      <c r="E148" s="380"/>
      <c r="F148" s="379"/>
      <c r="G148" s="379" t="s">
        <v>877</v>
      </c>
      <c r="H148" s="379" t="s">
        <v>877</v>
      </c>
      <c r="I148" s="379">
        <v>258.68700000000001</v>
      </c>
      <c r="J148" s="379">
        <v>193.56399999999999</v>
      </c>
      <c r="K148" s="379">
        <v>238.589</v>
      </c>
      <c r="L148" s="379">
        <v>237.958</v>
      </c>
      <c r="M148" s="379">
        <v>268.17500000000001</v>
      </c>
      <c r="N148" s="379" t="s">
        <v>877</v>
      </c>
      <c r="O148" s="379"/>
      <c r="P148" s="379" t="e">
        <f t="shared" si="12"/>
        <v>#VALUE!</v>
      </c>
      <c r="Q148" s="379" t="e">
        <f t="shared" si="12"/>
        <v>#VALUE!</v>
      </c>
      <c r="R148" s="379">
        <f t="shared" si="12"/>
        <v>5.9425926351335825E-2</v>
      </c>
      <c r="S148" s="379">
        <f t="shared" si="12"/>
        <v>6.2918996229358981E-2</v>
      </c>
      <c r="T148" s="379">
        <f t="shared" si="12"/>
        <v>6.1384429350622619E-2</v>
      </c>
      <c r="U148" s="379">
        <f t="shared" si="12"/>
        <v>5.3864680716209791E-2</v>
      </c>
      <c r="V148" s="379">
        <f t="shared" si="12"/>
        <v>5.2057653110744444E-2</v>
      </c>
      <c r="W148" s="379" t="e">
        <f t="shared" si="12"/>
        <v>#VALUE!</v>
      </c>
    </row>
    <row r="149" spans="2:23" ht="15" customHeight="1" x14ac:dyDescent="0.25">
      <c r="B149" s="379" t="s">
        <v>183</v>
      </c>
      <c r="C149" s="536" t="str">
        <f>+Inputs!$E$25</f>
        <v>ALG US Equity</v>
      </c>
      <c r="D149" s="379"/>
      <c r="E149" s="380"/>
      <c r="F149" s="379"/>
      <c r="G149" s="379" t="s">
        <v>877</v>
      </c>
      <c r="H149" s="379" t="s">
        <v>877</v>
      </c>
      <c r="I149" s="379">
        <v>155.43199999999999</v>
      </c>
      <c r="J149" s="379">
        <v>155.279</v>
      </c>
      <c r="K149" s="379">
        <v>179.68600000000001</v>
      </c>
      <c r="L149" s="379">
        <v>184.42599999999999</v>
      </c>
      <c r="M149" s="379">
        <v>174.61600000000001</v>
      </c>
      <c r="N149" s="379">
        <v>156.887</v>
      </c>
      <c r="O149" s="379"/>
      <c r="P149" s="379" t="e">
        <f t="shared" si="12"/>
        <v>#VALUE!</v>
      </c>
      <c r="Q149" s="379" t="e">
        <f t="shared" si="12"/>
        <v>#VALUE!</v>
      </c>
      <c r="R149" s="379">
        <f t="shared" si="12"/>
        <v>0.13888546363361801</v>
      </c>
      <c r="S149" s="379">
        <f t="shared" si="12"/>
        <v>0.13346243035894476</v>
      </c>
      <c r="T149" s="379">
        <f t="shared" si="12"/>
        <v>0.1346746383475626</v>
      </c>
      <c r="U149" s="379">
        <f t="shared" si="12"/>
        <v>0.12184464223422585</v>
      </c>
      <c r="V149" s="379">
        <f t="shared" si="12"/>
        <v>0.10334441846274764</v>
      </c>
      <c r="W149" s="379">
        <f t="shared" si="12"/>
        <v>9.6337579128935424E-2</v>
      </c>
    </row>
    <row r="151" spans="2:23" ht="15" customHeight="1" x14ac:dyDescent="0.25">
      <c r="B151" s="383" t="s">
        <v>371</v>
      </c>
      <c r="C151" s="537" t="s">
        <v>879</v>
      </c>
      <c r="D151" s="384"/>
      <c r="E151" s="32"/>
      <c r="F151" s="387"/>
      <c r="G151" s="387">
        <v>2017</v>
      </c>
      <c r="H151" s="387">
        <f t="shared" ref="H151:N151" si="13">+G151+1</f>
        <v>2018</v>
      </c>
      <c r="I151" s="387">
        <f t="shared" si="13"/>
        <v>2019</v>
      </c>
      <c r="J151" s="387">
        <f t="shared" si="13"/>
        <v>2020</v>
      </c>
      <c r="K151" s="387">
        <f t="shared" si="13"/>
        <v>2021</v>
      </c>
      <c r="L151" s="387">
        <f t="shared" si="13"/>
        <v>2022</v>
      </c>
      <c r="M151" s="387">
        <f t="shared" si="13"/>
        <v>2023</v>
      </c>
      <c r="N151" s="387">
        <f t="shared" si="13"/>
        <v>2024</v>
      </c>
      <c r="O151" s="379"/>
      <c r="P151" s="387">
        <v>2017</v>
      </c>
      <c r="Q151" s="387">
        <f t="shared" ref="Q151:W151" si="14">+P151+1</f>
        <v>2018</v>
      </c>
      <c r="R151" s="387">
        <f t="shared" si="14"/>
        <v>2019</v>
      </c>
      <c r="S151" s="387">
        <f t="shared" si="14"/>
        <v>2020</v>
      </c>
      <c r="T151" s="387">
        <f t="shared" si="14"/>
        <v>2021</v>
      </c>
      <c r="U151" s="387">
        <f t="shared" si="14"/>
        <v>2022</v>
      </c>
      <c r="V151" s="387">
        <f t="shared" si="14"/>
        <v>2023</v>
      </c>
      <c r="W151" s="387">
        <f t="shared" si="14"/>
        <v>2024</v>
      </c>
    </row>
    <row r="152" spans="2:23" ht="4.3499999999999996" customHeight="1" x14ac:dyDescent="0.25">
      <c r="B152" s="388"/>
      <c r="C152" s="388"/>
      <c r="D152" s="388"/>
      <c r="E152" s="389"/>
      <c r="F152" s="390"/>
      <c r="G152" s="390"/>
      <c r="H152" s="390"/>
      <c r="I152" s="390"/>
      <c r="J152" s="390"/>
      <c r="K152" s="390"/>
      <c r="L152" s="390"/>
      <c r="M152" s="390"/>
      <c r="N152" s="390"/>
      <c r="O152" s="379"/>
      <c r="P152" s="390"/>
      <c r="Q152" s="390"/>
      <c r="R152" s="390"/>
      <c r="S152" s="390"/>
      <c r="T152" s="390"/>
      <c r="U152" s="390"/>
      <c r="V152" s="390"/>
      <c r="W152" s="390"/>
    </row>
    <row r="153" spans="2:23" ht="15" customHeight="1" x14ac:dyDescent="0.25">
      <c r="B153" s="379" t="s">
        <v>189</v>
      </c>
      <c r="C153" s="536" t="str">
        <f>Inputs!$D$15</f>
        <v>DE US Equity</v>
      </c>
      <c r="D153" s="379"/>
      <c r="E153" s="380"/>
      <c r="F153" s="379"/>
      <c r="G153" s="379" t="s">
        <v>877</v>
      </c>
      <c r="H153" s="379">
        <v>24500</v>
      </c>
      <c r="I153" s="379">
        <v>23000</v>
      </c>
      <c r="J153" s="379">
        <v>20246</v>
      </c>
      <c r="K153" s="379">
        <v>23900</v>
      </c>
      <c r="L153" s="379">
        <v>23900</v>
      </c>
      <c r="M153" s="379">
        <v>26300</v>
      </c>
      <c r="N153" s="379">
        <v>23700</v>
      </c>
      <c r="O153" s="379"/>
      <c r="P153" s="379" t="e">
        <f t="shared" ref="P153:W158" si="15">+G153/G171</f>
        <v>#VALUE!</v>
      </c>
      <c r="Q153" s="379">
        <f t="shared" si="15"/>
        <v>0.65581669254242736</v>
      </c>
      <c r="R153" s="379">
        <f t="shared" si="15"/>
        <v>0.58586784859136987</v>
      </c>
      <c r="S153" s="379">
        <f t="shared" si="15"/>
        <v>0.5696679797411367</v>
      </c>
      <c r="T153" s="379">
        <f t="shared" si="15"/>
        <v>0.54288569870979464</v>
      </c>
      <c r="U153" s="379">
        <f t="shared" si="15"/>
        <v>0.45457139053198165</v>
      </c>
      <c r="V153" s="379">
        <f t="shared" si="15"/>
        <v>0.42938074480416644</v>
      </c>
      <c r="W153" s="379">
        <f t="shared" si="15"/>
        <v>0.45827210147729908</v>
      </c>
    </row>
    <row r="154" spans="2:23" ht="15" customHeight="1" x14ac:dyDescent="0.25">
      <c r="B154" s="379" t="s">
        <v>185</v>
      </c>
      <c r="C154" s="536" t="str">
        <f>+Inputs!$E$21</f>
        <v>AGCO US Equity</v>
      </c>
      <c r="D154" s="379"/>
      <c r="E154" s="380"/>
      <c r="F154" s="379"/>
      <c r="G154" s="379" t="s">
        <v>877</v>
      </c>
      <c r="H154" s="379" t="s">
        <v>877</v>
      </c>
      <c r="I154" s="379" t="s">
        <v>877</v>
      </c>
      <c r="J154" s="379" t="s">
        <v>877</v>
      </c>
      <c r="K154" s="379">
        <v>178.452</v>
      </c>
      <c r="L154" s="379">
        <v>196.042</v>
      </c>
      <c r="M154" s="379">
        <v>211.91900000000001</v>
      </c>
      <c r="N154" s="379">
        <v>113.249</v>
      </c>
      <c r="O154" s="379"/>
      <c r="P154" s="379" t="e">
        <f t="shared" si="15"/>
        <v>#VALUE!</v>
      </c>
      <c r="Q154" s="379" t="e">
        <f t="shared" si="15"/>
        <v>#VALUE!</v>
      </c>
      <c r="R154" s="379" t="e">
        <f t="shared" si="15"/>
        <v>#VALUE!</v>
      </c>
      <c r="S154" s="379" t="e">
        <f t="shared" si="15"/>
        <v>#VALUE!</v>
      </c>
      <c r="T154" s="379">
        <f t="shared" si="15"/>
        <v>1.6021475449574892E-2</v>
      </c>
      <c r="U154" s="379">
        <f t="shared" si="15"/>
        <v>1.5495676367832809E-2</v>
      </c>
      <c r="V154" s="379">
        <f t="shared" si="15"/>
        <v>1.4703935499986125E-2</v>
      </c>
      <c r="W154" s="379">
        <f t="shared" si="15"/>
        <v>9.7110247901285376E-3</v>
      </c>
    </row>
    <row r="155" spans="2:23" ht="15" customHeight="1" x14ac:dyDescent="0.25">
      <c r="B155" s="379" t="s">
        <v>876</v>
      </c>
      <c r="C155" s="536" t="str">
        <f>+Inputs!$E$22</f>
        <v>CAT US Equity</v>
      </c>
      <c r="D155" s="379"/>
      <c r="E155" s="380"/>
      <c r="F155" s="379"/>
      <c r="G155" s="379" t="s">
        <v>877</v>
      </c>
      <c r="H155" s="379" t="s">
        <v>877</v>
      </c>
      <c r="I155" s="379" t="s">
        <v>877</v>
      </c>
      <c r="J155" s="379" t="s">
        <v>877</v>
      </c>
      <c r="K155" s="379" t="s">
        <v>877</v>
      </c>
      <c r="L155" s="379" t="s">
        <v>877</v>
      </c>
      <c r="M155" s="379" t="s">
        <v>877</v>
      </c>
      <c r="N155" s="379" t="s">
        <v>877</v>
      </c>
      <c r="O155" s="379"/>
      <c r="P155" s="379" t="e">
        <f t="shared" si="15"/>
        <v>#VALUE!</v>
      </c>
      <c r="Q155" s="379" t="e">
        <f t="shared" si="15"/>
        <v>#VALUE!</v>
      </c>
      <c r="R155" s="379" t="e">
        <f t="shared" si="15"/>
        <v>#VALUE!</v>
      </c>
      <c r="S155" s="379" t="e">
        <f t="shared" si="15"/>
        <v>#VALUE!</v>
      </c>
      <c r="T155" s="379" t="e">
        <f t="shared" si="15"/>
        <v>#VALUE!</v>
      </c>
      <c r="U155" s="379" t="e">
        <f t="shared" si="15"/>
        <v>#VALUE!</v>
      </c>
      <c r="V155" s="379" t="e">
        <f t="shared" si="15"/>
        <v>#VALUE!</v>
      </c>
      <c r="W155" s="379" t="e">
        <f t="shared" si="15"/>
        <v>#VALUE!</v>
      </c>
    </row>
    <row r="156" spans="2:23" ht="15" customHeight="1" x14ac:dyDescent="0.25">
      <c r="B156" s="379" t="s">
        <v>188</v>
      </c>
      <c r="C156" s="536" t="str">
        <f>+Inputs!$E$23</f>
        <v>CNH US Equity</v>
      </c>
      <c r="D156" s="379"/>
      <c r="E156" s="380"/>
      <c r="F156" s="379"/>
      <c r="G156" s="379" t="s">
        <v>877</v>
      </c>
      <c r="H156" s="379" t="s">
        <v>877</v>
      </c>
      <c r="I156" s="379" t="s">
        <v>877</v>
      </c>
      <c r="J156" s="379">
        <v>292</v>
      </c>
      <c r="K156" s="379">
        <v>341</v>
      </c>
      <c r="L156" s="379">
        <v>367</v>
      </c>
      <c r="M156" s="379">
        <v>237</v>
      </c>
      <c r="N156" s="379">
        <v>183</v>
      </c>
      <c r="O156" s="379"/>
      <c r="P156" s="379" t="e">
        <f t="shared" si="15"/>
        <v>#VALUE!</v>
      </c>
      <c r="Q156" s="379" t="e">
        <f t="shared" si="15"/>
        <v>#VALUE!</v>
      </c>
      <c r="R156" s="379" t="e">
        <f t="shared" si="15"/>
        <v>#VALUE!</v>
      </c>
      <c r="S156" s="379">
        <f t="shared" si="15"/>
        <v>1.1216963736939152E-2</v>
      </c>
      <c r="T156" s="379">
        <f t="shared" si="15"/>
        <v>1.7490767336889618E-2</v>
      </c>
      <c r="U156" s="379">
        <f t="shared" si="15"/>
        <v>1.5583202411787185E-2</v>
      </c>
      <c r="V156" s="379">
        <f t="shared" si="15"/>
        <v>9.6001944343176576E-3</v>
      </c>
      <c r="W156" s="379">
        <f t="shared" si="15"/>
        <v>9.2256503327283728E-3</v>
      </c>
    </row>
    <row r="157" spans="2:23" ht="15" customHeight="1" x14ac:dyDescent="0.25">
      <c r="B157" s="379" t="s">
        <v>184</v>
      </c>
      <c r="C157" s="536" t="str">
        <f>+Inputs!$E$24</f>
        <v>TEX US Equity</v>
      </c>
      <c r="D157" s="379"/>
      <c r="E157" s="380"/>
      <c r="F157" s="379"/>
      <c r="G157" s="379" t="s">
        <v>877</v>
      </c>
      <c r="H157" s="379" t="s">
        <v>877</v>
      </c>
      <c r="I157" s="379" t="s">
        <v>877</v>
      </c>
      <c r="J157" s="379" t="s">
        <v>877</v>
      </c>
      <c r="K157" s="379" t="s">
        <v>877</v>
      </c>
      <c r="L157" s="379" t="s">
        <v>877</v>
      </c>
      <c r="M157" s="379" t="s">
        <v>877</v>
      </c>
      <c r="N157" s="379" t="s">
        <v>877</v>
      </c>
      <c r="O157" s="379"/>
      <c r="P157" s="379" t="e">
        <f t="shared" si="15"/>
        <v>#VALUE!</v>
      </c>
      <c r="Q157" s="379" t="e">
        <f t="shared" si="15"/>
        <v>#VALUE!</v>
      </c>
      <c r="R157" s="379" t="e">
        <f t="shared" si="15"/>
        <v>#VALUE!</v>
      </c>
      <c r="S157" s="379" t="e">
        <f t="shared" si="15"/>
        <v>#VALUE!</v>
      </c>
      <c r="T157" s="379" t="e">
        <f t="shared" si="15"/>
        <v>#VALUE!</v>
      </c>
      <c r="U157" s="379" t="e">
        <f t="shared" si="15"/>
        <v>#VALUE!</v>
      </c>
      <c r="V157" s="379" t="e">
        <f t="shared" si="15"/>
        <v>#VALUE!</v>
      </c>
      <c r="W157" s="379" t="e">
        <f t="shared" si="15"/>
        <v>#VALUE!</v>
      </c>
    </row>
    <row r="158" spans="2:23" ht="15" customHeight="1" x14ac:dyDescent="0.25">
      <c r="B158" s="379" t="s">
        <v>183</v>
      </c>
      <c r="C158" s="536" t="str">
        <f>+Inputs!$E$25</f>
        <v>ALG US Equity</v>
      </c>
      <c r="D158" s="379"/>
      <c r="E158" s="380"/>
      <c r="F158" s="379"/>
      <c r="G158" s="379" t="s">
        <v>877</v>
      </c>
      <c r="H158" s="379" t="s">
        <v>877</v>
      </c>
      <c r="I158" s="379" t="s">
        <v>877</v>
      </c>
      <c r="J158" s="379" t="s">
        <v>877</v>
      </c>
      <c r="K158" s="379">
        <v>98.647000000000006</v>
      </c>
      <c r="L158" s="379">
        <v>84.954999999999998</v>
      </c>
      <c r="M158" s="379">
        <v>90.114999999999995</v>
      </c>
      <c r="N158" s="379">
        <v>80.715999999999994</v>
      </c>
      <c r="O158" s="379"/>
      <c r="P158" s="379" t="e">
        <f t="shared" si="15"/>
        <v>#VALUE!</v>
      </c>
      <c r="Q158" s="379" t="e">
        <f t="shared" si="15"/>
        <v>#VALUE!</v>
      </c>
      <c r="R158" s="379" t="e">
        <f t="shared" si="15"/>
        <v>#VALUE!</v>
      </c>
      <c r="S158" s="379" t="e">
        <f t="shared" si="15"/>
        <v>#VALUE!</v>
      </c>
      <c r="T158" s="379">
        <f t="shared" si="15"/>
        <v>7.3935916259875611E-2</v>
      </c>
      <c r="U158" s="379">
        <f t="shared" si="15"/>
        <v>5.6127181530850626E-2</v>
      </c>
      <c r="V158" s="379">
        <f t="shared" si="15"/>
        <v>5.3333499048028254E-2</v>
      </c>
      <c r="W158" s="379">
        <f t="shared" si="15"/>
        <v>4.9564234365952253E-2</v>
      </c>
    </row>
    <row r="159" spans="2:23" ht="15" customHeight="1" x14ac:dyDescent="0.25">
      <c r="B159" s="379"/>
      <c r="C159" s="379"/>
      <c r="D159" s="379"/>
      <c r="E159" s="380"/>
      <c r="F159" s="379"/>
      <c r="G159" s="379"/>
      <c r="H159" s="379"/>
      <c r="I159" s="379"/>
      <c r="J159" s="379"/>
      <c r="K159" s="379"/>
      <c r="L159" s="379"/>
      <c r="M159" s="379"/>
      <c r="N159" s="379"/>
      <c r="O159" s="379"/>
      <c r="P159" s="379"/>
      <c r="Q159" s="379"/>
      <c r="R159" s="379"/>
      <c r="S159" s="379"/>
      <c r="T159" s="379"/>
      <c r="U159" s="379"/>
      <c r="V159" s="379"/>
      <c r="W159" s="379"/>
    </row>
    <row r="160" spans="2:23" ht="15" customHeight="1" x14ac:dyDescent="0.25">
      <c r="B160" s="383" t="s">
        <v>880</v>
      </c>
      <c r="C160" s="537" t="s">
        <v>881</v>
      </c>
      <c r="D160" s="384"/>
      <c r="E160" s="32"/>
      <c r="F160" s="387"/>
      <c r="G160" s="387">
        <v>2017</v>
      </c>
      <c r="H160" s="387">
        <f t="shared" ref="H160:N160" si="16">+G160+1</f>
        <v>2018</v>
      </c>
      <c r="I160" s="387">
        <f t="shared" si="16"/>
        <v>2019</v>
      </c>
      <c r="J160" s="387">
        <f t="shared" si="16"/>
        <v>2020</v>
      </c>
      <c r="K160" s="387">
        <f t="shared" si="16"/>
        <v>2021</v>
      </c>
      <c r="L160" s="387">
        <f t="shared" si="16"/>
        <v>2022</v>
      </c>
      <c r="M160" s="387">
        <f t="shared" si="16"/>
        <v>2023</v>
      </c>
      <c r="N160" s="387">
        <f t="shared" si="16"/>
        <v>2024</v>
      </c>
      <c r="O160" s="379"/>
      <c r="P160" s="387">
        <v>2017</v>
      </c>
      <c r="Q160" s="387">
        <f t="shared" ref="Q160:W160" si="17">+P160+1</f>
        <v>2018</v>
      </c>
      <c r="R160" s="387">
        <f t="shared" si="17"/>
        <v>2019</v>
      </c>
      <c r="S160" s="387">
        <f t="shared" si="17"/>
        <v>2020</v>
      </c>
      <c r="T160" s="387">
        <f t="shared" si="17"/>
        <v>2021</v>
      </c>
      <c r="U160" s="387">
        <f t="shared" si="17"/>
        <v>2022</v>
      </c>
      <c r="V160" s="387">
        <f t="shared" si="17"/>
        <v>2023</v>
      </c>
      <c r="W160" s="387">
        <f t="shared" si="17"/>
        <v>2024</v>
      </c>
    </row>
    <row r="161" spans="2:23" ht="4.3499999999999996" customHeight="1" x14ac:dyDescent="0.25">
      <c r="B161" s="388"/>
      <c r="C161" s="388"/>
      <c r="D161" s="388"/>
      <c r="E161" s="389"/>
      <c r="F161" s="390"/>
      <c r="G161" s="390"/>
      <c r="H161" s="390"/>
      <c r="I161" s="390"/>
      <c r="J161" s="390"/>
      <c r="K161" s="390"/>
      <c r="L161" s="390"/>
      <c r="M161" s="390"/>
      <c r="N161" s="390"/>
      <c r="O161" s="379"/>
      <c r="P161" s="390"/>
      <c r="Q161" s="390"/>
      <c r="R161" s="390"/>
      <c r="S161" s="390"/>
      <c r="T161" s="390"/>
      <c r="U161" s="390"/>
      <c r="V161" s="390"/>
      <c r="W161" s="390"/>
    </row>
    <row r="162" spans="2:23" ht="15" customHeight="1" x14ac:dyDescent="0.25">
      <c r="B162" s="379" t="s">
        <v>189</v>
      </c>
      <c r="C162" s="536" t="str">
        <f>Inputs!$D$15</f>
        <v>DE US Equity</v>
      </c>
      <c r="D162" s="379"/>
      <c r="E162" s="380"/>
      <c r="F162" s="379"/>
      <c r="G162" s="379" t="s">
        <v>877</v>
      </c>
      <c r="H162" s="379" t="s">
        <v>877</v>
      </c>
      <c r="I162" s="379">
        <v>108.64700000000001</v>
      </c>
      <c r="J162" s="379">
        <v>88.221999999999994</v>
      </c>
      <c r="K162" s="379">
        <v>109.5</v>
      </c>
      <c r="L162" s="379">
        <v>133.9</v>
      </c>
      <c r="M162" s="379">
        <v>130.1</v>
      </c>
      <c r="N162" s="379">
        <v>101.4</v>
      </c>
      <c r="O162" s="379"/>
      <c r="P162" s="379" t="e">
        <f t="shared" ref="P162:W167" si="18">+G162/G171</f>
        <v>#VALUE!</v>
      </c>
      <c r="Q162" s="379" t="e">
        <f t="shared" si="18"/>
        <v>#VALUE!</v>
      </c>
      <c r="R162" s="379">
        <f t="shared" si="18"/>
        <v>2.7675123541698507E-3</v>
      </c>
      <c r="S162" s="379">
        <f t="shared" si="18"/>
        <v>2.4823297692740573E-3</v>
      </c>
      <c r="T162" s="379">
        <f t="shared" si="18"/>
        <v>2.4872796656369251E-3</v>
      </c>
      <c r="U162" s="379">
        <f t="shared" si="18"/>
        <v>2.5467409703862909E-3</v>
      </c>
      <c r="V162" s="379">
        <f t="shared" si="18"/>
        <v>2.1240469543354393E-3</v>
      </c>
      <c r="W162" s="379">
        <f t="shared" si="18"/>
        <v>1.9607084848016088E-3</v>
      </c>
    </row>
    <row r="163" spans="2:23" ht="15" customHeight="1" x14ac:dyDescent="0.25">
      <c r="B163" s="379" t="s">
        <v>185</v>
      </c>
      <c r="C163" s="536" t="str">
        <f>+Inputs!$E$21</f>
        <v>AGCO US Equity</v>
      </c>
      <c r="D163" s="379"/>
      <c r="E163" s="380"/>
      <c r="F163" s="379"/>
      <c r="G163" s="379" t="s">
        <v>877</v>
      </c>
      <c r="H163" s="379" t="s">
        <v>877</v>
      </c>
      <c r="I163" s="379" t="s">
        <v>877</v>
      </c>
      <c r="J163" s="379" t="s">
        <v>877</v>
      </c>
      <c r="K163" s="379" t="s">
        <v>877</v>
      </c>
      <c r="L163" s="379" t="s">
        <v>877</v>
      </c>
      <c r="M163" s="379">
        <v>78.040999999999997</v>
      </c>
      <c r="N163" s="379">
        <v>56.795999999999999</v>
      </c>
      <c r="O163" s="379"/>
      <c r="P163" s="379" t="e">
        <f t="shared" si="18"/>
        <v>#VALUE!</v>
      </c>
      <c r="Q163" s="379" t="e">
        <f t="shared" si="18"/>
        <v>#VALUE!</v>
      </c>
      <c r="R163" s="379" t="e">
        <f t="shared" si="18"/>
        <v>#VALUE!</v>
      </c>
      <c r="S163" s="379" t="e">
        <f t="shared" si="18"/>
        <v>#VALUE!</v>
      </c>
      <c r="T163" s="379" t="e">
        <f t="shared" si="18"/>
        <v>#VALUE!</v>
      </c>
      <c r="U163" s="379" t="e">
        <f t="shared" si="18"/>
        <v>#VALUE!</v>
      </c>
      <c r="V163" s="379">
        <f t="shared" si="18"/>
        <v>5.4148511004412864E-3</v>
      </c>
      <c r="W163" s="379">
        <f t="shared" si="18"/>
        <v>4.8702184035191521E-3</v>
      </c>
    </row>
    <row r="164" spans="2:23" ht="15" customHeight="1" x14ac:dyDescent="0.25">
      <c r="B164" s="379" t="s">
        <v>876</v>
      </c>
      <c r="C164" s="536" t="str">
        <f>+Inputs!$E$22</f>
        <v>CAT US Equity</v>
      </c>
      <c r="D164" s="379"/>
      <c r="E164" s="380"/>
      <c r="F164" s="379"/>
      <c r="G164" s="379">
        <v>599</v>
      </c>
      <c r="H164" s="379">
        <v>635</v>
      </c>
      <c r="I164" s="379">
        <v>587</v>
      </c>
      <c r="J164" s="379">
        <v>556</v>
      </c>
      <c r="K164" s="379">
        <v>567</v>
      </c>
      <c r="L164" s="379">
        <v>575</v>
      </c>
      <c r="M164" s="379">
        <v>620</v>
      </c>
      <c r="N164" s="379">
        <v>594</v>
      </c>
      <c r="O164" s="379"/>
      <c r="P164" s="379">
        <f t="shared" si="18"/>
        <v>1.317583916237737E-2</v>
      </c>
      <c r="Q164" s="379">
        <f t="shared" si="18"/>
        <v>1.1604108036986952E-2</v>
      </c>
      <c r="R164" s="379">
        <f t="shared" si="18"/>
        <v>1.0910780669144981E-2</v>
      </c>
      <c r="S164" s="379">
        <f t="shared" si="18"/>
        <v>1.3318003257641084E-2</v>
      </c>
      <c r="T164" s="379">
        <f t="shared" si="18"/>
        <v>1.112397245492535E-2</v>
      </c>
      <c r="U164" s="379">
        <f t="shared" si="18"/>
        <v>9.6757366180355731E-3</v>
      </c>
      <c r="V164" s="379">
        <f t="shared" si="18"/>
        <v>9.2454518341783479E-3</v>
      </c>
      <c r="W164" s="379">
        <f t="shared" si="18"/>
        <v>9.165393695320094E-3</v>
      </c>
    </row>
    <row r="165" spans="2:23" ht="15" customHeight="1" x14ac:dyDescent="0.25">
      <c r="B165" s="379" t="s">
        <v>188</v>
      </c>
      <c r="C165" s="536" t="str">
        <f>+Inputs!$E$23</f>
        <v>CNH US Equity</v>
      </c>
      <c r="D165" s="379"/>
      <c r="E165" s="380"/>
      <c r="F165" s="379"/>
      <c r="G165" s="379">
        <v>210.62</v>
      </c>
      <c r="H165" s="379">
        <v>217.63499999999999</v>
      </c>
      <c r="I165" s="379">
        <v>202.66200000000001</v>
      </c>
      <c r="J165" s="379">
        <v>111.05</v>
      </c>
      <c r="K165" s="379">
        <v>141.18700000000001</v>
      </c>
      <c r="L165" s="379">
        <v>150.202</v>
      </c>
      <c r="M165" s="379">
        <v>147.32300000000001</v>
      </c>
      <c r="N165" s="379">
        <v>110.34699999999999</v>
      </c>
      <c r="O165" s="379"/>
      <c r="P165" s="379">
        <f t="shared" si="18"/>
        <v>7.6033356196527199E-3</v>
      </c>
      <c r="Q165" s="379">
        <f t="shared" si="18"/>
        <v>7.3262977176328011E-3</v>
      </c>
      <c r="R165" s="379">
        <f t="shared" si="18"/>
        <v>7.2175647280886077E-3</v>
      </c>
      <c r="S165" s="379">
        <f t="shared" si="18"/>
        <v>4.2659035033804551E-3</v>
      </c>
      <c r="T165" s="379">
        <f t="shared" si="18"/>
        <v>7.2418444809191638E-3</v>
      </c>
      <c r="U165" s="379">
        <f t="shared" si="18"/>
        <v>6.3777334295783616E-3</v>
      </c>
      <c r="V165" s="379">
        <f t="shared" si="18"/>
        <v>5.9676347875400014E-3</v>
      </c>
      <c r="W165" s="379">
        <f t="shared" si="18"/>
        <v>5.5629663238556159E-3</v>
      </c>
    </row>
    <row r="166" spans="2:23" ht="15" customHeight="1" x14ac:dyDescent="0.25">
      <c r="B166" s="379" t="s">
        <v>184</v>
      </c>
      <c r="C166" s="536" t="str">
        <f>+Inputs!$E$24</f>
        <v>TEX US Equity</v>
      </c>
      <c r="D166" s="379"/>
      <c r="E166" s="380"/>
      <c r="F166" s="379"/>
      <c r="G166" s="379" t="s">
        <v>877</v>
      </c>
      <c r="H166" s="379" t="s">
        <v>877</v>
      </c>
      <c r="I166" s="379" t="s">
        <v>877</v>
      </c>
      <c r="J166" s="379" t="s">
        <v>877</v>
      </c>
      <c r="K166" s="379" t="s">
        <v>877</v>
      </c>
      <c r="L166" s="379" t="s">
        <v>877</v>
      </c>
      <c r="M166" s="379" t="s">
        <v>877</v>
      </c>
      <c r="N166" s="379" t="s">
        <v>877</v>
      </c>
      <c r="O166" s="379"/>
      <c r="P166" s="379" t="e">
        <f t="shared" si="18"/>
        <v>#VALUE!</v>
      </c>
      <c r="Q166" s="379" t="e">
        <f t="shared" si="18"/>
        <v>#VALUE!</v>
      </c>
      <c r="R166" s="379" t="e">
        <f t="shared" si="18"/>
        <v>#VALUE!</v>
      </c>
      <c r="S166" s="379" t="e">
        <f t="shared" si="18"/>
        <v>#VALUE!</v>
      </c>
      <c r="T166" s="379" t="e">
        <f t="shared" si="18"/>
        <v>#VALUE!</v>
      </c>
      <c r="U166" s="379" t="e">
        <f t="shared" si="18"/>
        <v>#VALUE!</v>
      </c>
      <c r="V166" s="379" t="e">
        <f t="shared" si="18"/>
        <v>#VALUE!</v>
      </c>
      <c r="W166" s="379" t="e">
        <f t="shared" si="18"/>
        <v>#VALUE!</v>
      </c>
    </row>
    <row r="167" spans="2:23" ht="15" customHeight="1" x14ac:dyDescent="0.25">
      <c r="B167" s="379" t="s">
        <v>183</v>
      </c>
      <c r="C167" s="536" t="str">
        <f>+Inputs!$E$25</f>
        <v>ALG US Equity</v>
      </c>
      <c r="D167" s="379"/>
      <c r="E167" s="380"/>
      <c r="F167" s="379"/>
      <c r="G167" s="379" t="s">
        <v>877</v>
      </c>
      <c r="H167" s="379" t="s">
        <v>877</v>
      </c>
      <c r="I167" s="379">
        <v>12.833</v>
      </c>
      <c r="J167" s="379">
        <v>14.393000000000001</v>
      </c>
      <c r="K167" s="379">
        <v>16.559000000000001</v>
      </c>
      <c r="L167" s="379">
        <v>16.591999999999999</v>
      </c>
      <c r="M167" s="379">
        <v>15.955</v>
      </c>
      <c r="N167" s="379">
        <v>13.33</v>
      </c>
      <c r="O167" s="379"/>
      <c r="P167" s="379" t="e">
        <f t="shared" si="18"/>
        <v>#VALUE!</v>
      </c>
      <c r="Q167" s="379" t="e">
        <f t="shared" si="18"/>
        <v>#VALUE!</v>
      </c>
      <c r="R167" s="379">
        <f t="shared" si="18"/>
        <v>1.146686110202674E-2</v>
      </c>
      <c r="S167" s="379">
        <f t="shared" si="18"/>
        <v>1.2370795536784059E-2</v>
      </c>
      <c r="T167" s="379">
        <f t="shared" si="18"/>
        <v>1.2410968781080825E-2</v>
      </c>
      <c r="U167" s="379">
        <f t="shared" si="18"/>
        <v>1.0961829156139998E-2</v>
      </c>
      <c r="V167" s="379">
        <f t="shared" si="18"/>
        <v>9.4427784199222209E-3</v>
      </c>
      <c r="W167" s="379">
        <f t="shared" si="18"/>
        <v>8.1853813878059317E-3</v>
      </c>
    </row>
    <row r="168" spans="2:23" ht="15" customHeight="1" x14ac:dyDescent="0.25">
      <c r="B168" s="379"/>
      <c r="C168" s="379"/>
      <c r="D168" s="379"/>
      <c r="E168" s="380"/>
      <c r="F168" s="379"/>
      <c r="G168" s="379"/>
      <c r="H168" s="379"/>
      <c r="I168" s="379"/>
      <c r="J168" s="379"/>
      <c r="K168" s="379"/>
      <c r="L168" s="379"/>
      <c r="M168" s="379"/>
      <c r="N168" s="379"/>
      <c r="O168" s="379"/>
      <c r="P168" s="379"/>
      <c r="Q168" s="379"/>
      <c r="R168" s="379"/>
      <c r="S168" s="379"/>
      <c r="T168" s="379"/>
      <c r="U168" s="379"/>
      <c r="V168" s="379"/>
      <c r="W168" s="379"/>
    </row>
    <row r="169" spans="2:23" ht="15" customHeight="1" x14ac:dyDescent="0.25">
      <c r="B169" s="383" t="s">
        <v>258</v>
      </c>
      <c r="C169" s="537" t="s">
        <v>882</v>
      </c>
      <c r="D169" s="384"/>
      <c r="E169" s="32"/>
      <c r="F169" s="387"/>
      <c r="G169" s="387">
        <v>2017</v>
      </c>
      <c r="H169" s="387">
        <f t="shared" ref="H169:N169" si="19">+G169+1</f>
        <v>2018</v>
      </c>
      <c r="I169" s="387">
        <f t="shared" si="19"/>
        <v>2019</v>
      </c>
      <c r="J169" s="387">
        <f t="shared" si="19"/>
        <v>2020</v>
      </c>
      <c r="K169" s="387">
        <f t="shared" si="19"/>
        <v>2021</v>
      </c>
      <c r="L169" s="387">
        <f t="shared" si="19"/>
        <v>2022</v>
      </c>
      <c r="M169" s="387">
        <f t="shared" si="19"/>
        <v>2023</v>
      </c>
      <c r="N169" s="387">
        <f t="shared" si="19"/>
        <v>2024</v>
      </c>
      <c r="O169" s="379"/>
      <c r="P169" s="379"/>
      <c r="Q169" s="379"/>
      <c r="R169" s="379"/>
      <c r="S169" s="379"/>
      <c r="T169" s="379"/>
      <c r="U169" s="379"/>
      <c r="V169" s="379"/>
      <c r="W169" s="379"/>
    </row>
    <row r="170" spans="2:23" ht="4.3499999999999996" customHeight="1" x14ac:dyDescent="0.25">
      <c r="B170" s="388"/>
      <c r="C170" s="388"/>
      <c r="D170" s="388"/>
      <c r="E170" s="389"/>
      <c r="F170" s="390"/>
      <c r="G170" s="390"/>
      <c r="H170" s="390"/>
      <c r="I170" s="390"/>
      <c r="J170" s="390"/>
      <c r="K170" s="390"/>
      <c r="L170" s="390"/>
      <c r="M170" s="390"/>
      <c r="N170" s="390"/>
      <c r="O170" s="379"/>
      <c r="P170" s="379"/>
      <c r="Q170" s="379"/>
      <c r="R170" s="379"/>
      <c r="S170" s="379"/>
      <c r="T170" s="379"/>
      <c r="U170" s="379"/>
      <c r="V170" s="379"/>
      <c r="W170" s="379"/>
    </row>
    <row r="171" spans="2:23" ht="15" customHeight="1" x14ac:dyDescent="0.25">
      <c r="B171" s="379" t="s">
        <v>189</v>
      </c>
      <c r="C171" s="536" t="str">
        <f>Inputs!$D$15</f>
        <v>DE US Equity</v>
      </c>
      <c r="D171" s="379"/>
      <c r="E171" s="380"/>
      <c r="F171" s="379"/>
      <c r="G171" s="379">
        <v>29363</v>
      </c>
      <c r="H171" s="379">
        <v>37358</v>
      </c>
      <c r="I171" s="379">
        <v>39258</v>
      </c>
      <c r="J171" s="379">
        <v>35540</v>
      </c>
      <c r="K171" s="379">
        <v>44024</v>
      </c>
      <c r="L171" s="379">
        <v>52577</v>
      </c>
      <c r="M171" s="379">
        <v>61251</v>
      </c>
      <c r="N171" s="379">
        <v>51716</v>
      </c>
      <c r="O171" s="379"/>
      <c r="P171" s="379"/>
      <c r="Q171" s="379"/>
      <c r="R171" s="379"/>
      <c r="S171" s="379"/>
      <c r="T171" s="379"/>
      <c r="U171" s="379"/>
      <c r="V171" s="379"/>
      <c r="W171" s="379"/>
    </row>
    <row r="172" spans="2:23" ht="15" customHeight="1" x14ac:dyDescent="0.25">
      <c r="B172" s="379" t="s">
        <v>185</v>
      </c>
      <c r="C172" s="536" t="str">
        <f>+Inputs!$E$21</f>
        <v>AGCO US Equity</v>
      </c>
      <c r="D172" s="379"/>
      <c r="E172" s="380"/>
      <c r="F172" s="379"/>
      <c r="G172" s="379">
        <v>8306.5</v>
      </c>
      <c r="H172" s="379">
        <v>9352</v>
      </c>
      <c r="I172" s="379">
        <v>9041.4</v>
      </c>
      <c r="J172" s="379">
        <v>9149.7000000000007</v>
      </c>
      <c r="K172" s="379">
        <v>11138.3</v>
      </c>
      <c r="L172" s="379">
        <v>12651.4</v>
      </c>
      <c r="M172" s="379">
        <v>14412.4</v>
      </c>
      <c r="N172" s="379">
        <v>11661.9</v>
      </c>
      <c r="O172" s="379"/>
      <c r="P172" s="379"/>
      <c r="Q172" s="379"/>
      <c r="R172" s="379"/>
      <c r="S172" s="379"/>
      <c r="T172" s="379"/>
      <c r="U172" s="379"/>
      <c r="V172" s="379"/>
      <c r="W172" s="379"/>
    </row>
    <row r="173" spans="2:23" ht="15" customHeight="1" x14ac:dyDescent="0.25">
      <c r="B173" s="379" t="s">
        <v>876</v>
      </c>
      <c r="C173" s="536" t="str">
        <f>+Inputs!$E$22</f>
        <v>CAT US Equity</v>
      </c>
      <c r="D173" s="379"/>
      <c r="E173" s="380"/>
      <c r="F173" s="379"/>
      <c r="G173" s="379">
        <v>45462</v>
      </c>
      <c r="H173" s="379">
        <v>54722</v>
      </c>
      <c r="I173" s="379">
        <v>53800</v>
      </c>
      <c r="J173" s="379">
        <v>41748</v>
      </c>
      <c r="K173" s="379">
        <v>50971</v>
      </c>
      <c r="L173" s="379">
        <v>59427</v>
      </c>
      <c r="M173" s="379">
        <v>67060</v>
      </c>
      <c r="N173" s="379">
        <v>64809</v>
      </c>
      <c r="O173" s="379"/>
      <c r="P173" s="379"/>
      <c r="Q173" s="379"/>
      <c r="R173" s="379"/>
      <c r="S173" s="379"/>
      <c r="T173" s="379"/>
      <c r="U173" s="379"/>
      <c r="V173" s="379"/>
      <c r="W173" s="379"/>
    </row>
    <row r="174" spans="2:23" ht="15" customHeight="1" x14ac:dyDescent="0.25">
      <c r="B174" s="379" t="s">
        <v>188</v>
      </c>
      <c r="C174" s="536" t="str">
        <f>+Inputs!$E$23</f>
        <v>CNH US Equity</v>
      </c>
      <c r="D174" s="379"/>
      <c r="E174" s="380"/>
      <c r="F174" s="379"/>
      <c r="G174" s="379">
        <v>27701</v>
      </c>
      <c r="H174" s="379">
        <v>29706</v>
      </c>
      <c r="I174" s="379">
        <v>28079</v>
      </c>
      <c r="J174" s="379">
        <v>26032</v>
      </c>
      <c r="K174" s="379">
        <v>19496</v>
      </c>
      <c r="L174" s="379">
        <v>23551</v>
      </c>
      <c r="M174" s="379">
        <v>24687</v>
      </c>
      <c r="N174" s="379">
        <v>19836</v>
      </c>
      <c r="O174" s="379"/>
      <c r="P174" s="379"/>
      <c r="Q174" s="379"/>
      <c r="R174" s="379"/>
      <c r="S174" s="379"/>
      <c r="T174" s="379"/>
      <c r="U174" s="379"/>
      <c r="V174" s="379"/>
      <c r="W174" s="379"/>
    </row>
    <row r="175" spans="2:23" ht="15" customHeight="1" x14ac:dyDescent="0.25">
      <c r="B175" s="379" t="s">
        <v>184</v>
      </c>
      <c r="C175" s="536" t="str">
        <f>+Inputs!$E$24</f>
        <v>TEX US Equity</v>
      </c>
      <c r="D175" s="379"/>
      <c r="E175" s="380"/>
      <c r="F175" s="379"/>
      <c r="G175" s="379">
        <v>4363.3999999999996</v>
      </c>
      <c r="H175" s="379">
        <v>4517.2</v>
      </c>
      <c r="I175" s="379">
        <v>4353.1000000000004</v>
      </c>
      <c r="J175" s="379">
        <v>3076.4</v>
      </c>
      <c r="K175" s="379">
        <v>3886.8</v>
      </c>
      <c r="L175" s="379">
        <v>4417.7</v>
      </c>
      <c r="M175" s="379">
        <v>5151.5</v>
      </c>
      <c r="N175" s="379">
        <v>5127</v>
      </c>
      <c r="O175" s="379"/>
      <c r="P175" s="379"/>
      <c r="Q175" s="379"/>
      <c r="R175" s="379"/>
      <c r="S175" s="379"/>
      <c r="T175" s="379"/>
      <c r="U175" s="379"/>
      <c r="V175" s="379"/>
      <c r="W175" s="379"/>
    </row>
    <row r="176" spans="2:23" ht="15" customHeight="1" x14ac:dyDescent="0.25">
      <c r="B176" s="379" t="s">
        <v>183</v>
      </c>
      <c r="C176" s="536" t="str">
        <f>+Inputs!$E$25</f>
        <v>ALG US Equity</v>
      </c>
      <c r="D176" s="379"/>
      <c r="E176" s="380"/>
      <c r="F176" s="379"/>
      <c r="G176" s="379">
        <v>912.38</v>
      </c>
      <c r="H176" s="379">
        <v>1008.822</v>
      </c>
      <c r="I176" s="379">
        <v>1119.1379999999999</v>
      </c>
      <c r="J176" s="379">
        <v>1163.4659999999999</v>
      </c>
      <c r="K176" s="379">
        <v>1334.223</v>
      </c>
      <c r="L176" s="379">
        <v>1513.616</v>
      </c>
      <c r="M176" s="379">
        <v>1689.6510000000001</v>
      </c>
      <c r="N176" s="379">
        <v>1628.5129999999999</v>
      </c>
      <c r="O176" s="379"/>
      <c r="P176" s="379"/>
      <c r="Q176" s="379"/>
      <c r="R176" s="379"/>
      <c r="S176" s="379"/>
      <c r="T176" s="379"/>
      <c r="U176" s="379"/>
      <c r="V176" s="379"/>
      <c r="W176" s="379"/>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2"/>
  <sheetViews>
    <sheetView showGridLines="0" topLeftCell="V1" zoomScale="70" zoomScaleNormal="70" workbookViewId="0">
      <selection activeCell="AN4" sqref="AN4"/>
    </sheetView>
  </sheetViews>
  <sheetFormatPr defaultColWidth="9" defaultRowHeight="13.8" x14ac:dyDescent="0.25"/>
  <cols>
    <col min="1" max="1" width="9" style="4"/>
    <col min="2" max="2" width="10.5" style="4" bestFit="1" customWidth="1"/>
    <col min="3" max="8" width="9.09765625" style="4" bestFit="1" customWidth="1"/>
    <col min="9" max="9" width="10.5" style="4" bestFit="1" customWidth="1"/>
    <col min="10" max="15" width="9.09765625" style="4" bestFit="1" customWidth="1"/>
    <col min="16" max="16" width="9" style="4"/>
    <col min="17" max="17" width="11.5" style="4" bestFit="1" customWidth="1"/>
    <col min="18" max="23" width="9.09765625" style="4" bestFit="1" customWidth="1"/>
    <col min="24" max="24" width="9" style="4"/>
    <col min="25" max="30" width="9.09765625" style="4" bestFit="1" customWidth="1"/>
    <col min="31" max="31" width="9" style="4"/>
    <col min="32" max="37" width="9.09765625" style="4" bestFit="1" customWidth="1"/>
    <col min="38" max="38" width="9" style="4"/>
    <col min="39" max="39" width="9.09765625" style="4" bestFit="1" customWidth="1"/>
    <col min="40" max="40" width="11" style="4" bestFit="1" customWidth="1"/>
    <col min="41" max="41" width="12.09765625" style="4" bestFit="1" customWidth="1"/>
    <col min="42" max="42" width="13.09765625" style="4" bestFit="1" customWidth="1"/>
    <col min="43" max="43" width="12.59765625" style="4" bestFit="1" customWidth="1"/>
    <col min="44" max="44" width="9.09765625" style="4" bestFit="1" customWidth="1"/>
    <col min="45" max="16384" width="9" style="4"/>
  </cols>
  <sheetData>
    <row r="3" spans="2:44" x14ac:dyDescent="0.25">
      <c r="B3" s="560"/>
      <c r="C3" s="846" t="s">
        <v>840</v>
      </c>
      <c r="D3" s="846"/>
      <c r="E3" s="846"/>
      <c r="F3" s="846"/>
      <c r="G3" s="846"/>
      <c r="H3" s="846"/>
      <c r="I3" s="560"/>
      <c r="J3" s="846" t="s">
        <v>853</v>
      </c>
      <c r="K3" s="846"/>
      <c r="L3" s="846"/>
      <c r="M3" s="846"/>
      <c r="N3" s="846"/>
      <c r="O3" s="846"/>
      <c r="P3" s="560"/>
      <c r="R3" s="847" t="s">
        <v>883</v>
      </c>
      <c r="S3" s="847"/>
      <c r="T3" s="847"/>
      <c r="U3" s="847"/>
      <c r="V3" s="847"/>
      <c r="W3" s="847"/>
      <c r="Y3" s="846" t="s">
        <v>884</v>
      </c>
      <c r="Z3" s="846"/>
      <c r="AA3" s="846"/>
      <c r="AB3" s="846"/>
      <c r="AC3" s="846"/>
      <c r="AD3" s="846"/>
      <c r="AF3" s="846" t="s">
        <v>885</v>
      </c>
      <c r="AG3" s="846"/>
      <c r="AH3" s="846"/>
      <c r="AI3" s="846"/>
      <c r="AJ3" s="846"/>
      <c r="AK3" s="846"/>
      <c r="AN3" s="561" t="s">
        <v>255</v>
      </c>
      <c r="AO3" s="561" t="s">
        <v>886</v>
      </c>
      <c r="AP3" s="561" t="s">
        <v>865</v>
      </c>
      <c r="AQ3" s="561" t="s">
        <v>866</v>
      </c>
      <c r="AR3" s="561" t="s">
        <v>867</v>
      </c>
    </row>
    <row r="4" spans="2:44" x14ac:dyDescent="0.25">
      <c r="B4" s="560"/>
      <c r="C4" s="4" t="s">
        <v>851</v>
      </c>
      <c r="D4" s="4" t="s">
        <v>843</v>
      </c>
      <c r="E4" s="4" t="s">
        <v>844</v>
      </c>
      <c r="F4" s="4" t="s">
        <v>845</v>
      </c>
      <c r="G4" s="4" t="s">
        <v>846</v>
      </c>
      <c r="H4" s="4" t="s">
        <v>847</v>
      </c>
      <c r="I4" s="560"/>
      <c r="J4" s="4" t="s">
        <v>851</v>
      </c>
      <c r="K4" s="4" t="s">
        <v>843</v>
      </c>
      <c r="L4" s="4" t="s">
        <v>844</v>
      </c>
      <c r="M4" s="4" t="s">
        <v>845</v>
      </c>
      <c r="N4" s="4" t="s">
        <v>846</v>
      </c>
      <c r="O4" s="4" t="s">
        <v>847</v>
      </c>
      <c r="P4" s="560"/>
      <c r="R4" s="4" t="s">
        <v>851</v>
      </c>
      <c r="S4" s="4" t="s">
        <v>836</v>
      </c>
      <c r="T4" s="4" t="s">
        <v>842</v>
      </c>
      <c r="U4" s="4" t="s">
        <v>851</v>
      </c>
      <c r="V4" s="4" t="s">
        <v>836</v>
      </c>
      <c r="W4" s="4" t="s">
        <v>842</v>
      </c>
      <c r="Y4" s="4" t="s">
        <v>851</v>
      </c>
      <c r="Z4" s="4" t="s">
        <v>843</v>
      </c>
      <c r="AA4" s="4" t="s">
        <v>844</v>
      </c>
      <c r="AB4" s="4" t="s">
        <v>845</v>
      </c>
      <c r="AC4" s="4" t="s">
        <v>846</v>
      </c>
      <c r="AD4" s="4" t="s">
        <v>847</v>
      </c>
      <c r="AF4" s="4" t="s">
        <v>851</v>
      </c>
      <c r="AG4" s="4" t="s">
        <v>843</v>
      </c>
      <c r="AH4" s="4" t="s">
        <v>844</v>
      </c>
      <c r="AI4" s="4" t="s">
        <v>845</v>
      </c>
      <c r="AJ4" s="4" t="s">
        <v>846</v>
      </c>
      <c r="AK4" s="4" t="s">
        <v>847</v>
      </c>
      <c r="AM4" s="562">
        <v>45918</v>
      </c>
      <c r="AN4" s="563">
        <v>481.51</v>
      </c>
      <c r="AO4" s="563">
        <v>3</v>
      </c>
      <c r="AP4" s="563">
        <v>270.32938999999999</v>
      </c>
      <c r="AQ4" s="563">
        <v>130166.30457889999</v>
      </c>
      <c r="AR4" s="563">
        <v>2.9418000000000002</v>
      </c>
    </row>
    <row r="5" spans="2:44" x14ac:dyDescent="0.25">
      <c r="B5" s="564">
        <v>45918</v>
      </c>
      <c r="C5" s="560">
        <v>10.941599999999999</v>
      </c>
      <c r="D5" s="560">
        <v>28.8764</v>
      </c>
      <c r="E5" s="560">
        <v>15.879300000000001</v>
      </c>
      <c r="F5" s="560">
        <v>4.1752000000000002</v>
      </c>
      <c r="G5" s="560">
        <v>11.2491</v>
      </c>
      <c r="H5" s="560">
        <v>10.518599999999999</v>
      </c>
      <c r="I5" s="564">
        <v>45918</v>
      </c>
      <c r="J5" s="560">
        <v>24.545000000000002</v>
      </c>
      <c r="K5" s="560">
        <v>25.925000000000001</v>
      </c>
      <c r="L5" s="560">
        <v>22.3689</v>
      </c>
      <c r="M5" s="560">
        <v>16.909300000000002</v>
      </c>
      <c r="N5" s="560">
        <v>12.0741</v>
      </c>
      <c r="O5" s="560">
        <v>21.645600000000002</v>
      </c>
      <c r="P5" s="560"/>
      <c r="Q5" s="564">
        <v>45918</v>
      </c>
      <c r="R5" s="4">
        <v>476.78</v>
      </c>
      <c r="S5" s="4">
        <v>23231.11</v>
      </c>
      <c r="T5" s="4">
        <v>1172.7</v>
      </c>
      <c r="U5" s="4">
        <v>1.420340800762631</v>
      </c>
      <c r="V5" s="4">
        <v>2.0610029498525075</v>
      </c>
      <c r="W5" s="4" t="e">
        <v>#DIV/0!</v>
      </c>
      <c r="Y5" s="560">
        <v>476.78</v>
      </c>
      <c r="Z5" s="4">
        <v>109.18</v>
      </c>
      <c r="AA5" s="4">
        <v>431.38</v>
      </c>
      <c r="AB5" s="4">
        <v>11.22</v>
      </c>
      <c r="AC5" s="4">
        <v>53.2</v>
      </c>
      <c r="AD5" s="4">
        <v>211.26</v>
      </c>
      <c r="AF5" s="4">
        <v>1.420340800762631</v>
      </c>
      <c r="AG5" s="4">
        <v>1.0261278195488721</v>
      </c>
      <c r="AH5" s="4">
        <v>2.4125048934623341</v>
      </c>
      <c r="AI5" s="4">
        <v>0.92957746478873238</v>
      </c>
      <c r="AJ5" s="4">
        <v>1.6537146409698478</v>
      </c>
      <c r="AK5" s="4">
        <v>1.5821163783419456</v>
      </c>
      <c r="AM5" s="562">
        <v>45917</v>
      </c>
      <c r="AN5" s="563">
        <v>481.51</v>
      </c>
      <c r="AO5" s="563">
        <v>1271522</v>
      </c>
      <c r="AP5" s="563">
        <v>270.32938999999999</v>
      </c>
      <c r="AQ5" s="563">
        <v>130166.30457889999</v>
      </c>
      <c r="AR5" s="563">
        <v>2.9418000000000002</v>
      </c>
    </row>
    <row r="6" spans="2:44" x14ac:dyDescent="0.25">
      <c r="B6" s="564">
        <v>45911</v>
      </c>
      <c r="C6" s="560">
        <v>11.109500000000001</v>
      </c>
      <c r="D6" s="560">
        <v>28.852399999999999</v>
      </c>
      <c r="E6" s="560">
        <v>15.2201</v>
      </c>
      <c r="F6" s="560">
        <v>4.2916999999999996</v>
      </c>
      <c r="G6" s="560">
        <v>11.327199999999999</v>
      </c>
      <c r="H6" s="560">
        <v>11.0091</v>
      </c>
      <c r="I6" s="564">
        <v>45911</v>
      </c>
      <c r="J6" s="560">
        <v>24.545000000000002</v>
      </c>
      <c r="K6" s="560">
        <v>25.925000000000001</v>
      </c>
      <c r="L6" s="560">
        <v>22.3689</v>
      </c>
      <c r="M6" s="560">
        <v>16.909300000000002</v>
      </c>
      <c r="N6" s="560">
        <v>12.0741</v>
      </c>
      <c r="O6" s="560">
        <v>21.645600000000002</v>
      </c>
      <c r="P6" s="560"/>
      <c r="Q6" s="564">
        <v>45911</v>
      </c>
      <c r="R6" s="4">
        <v>476.78</v>
      </c>
      <c r="S6" s="4">
        <v>23231.11</v>
      </c>
      <c r="T6" s="4">
        <v>1172.7</v>
      </c>
      <c r="U6" s="4">
        <v>1.420340800762631</v>
      </c>
      <c r="V6" s="4">
        <v>2.0610029498525075</v>
      </c>
      <c r="W6" s="4" t="e">
        <v>#DIV/0!</v>
      </c>
      <c r="Y6" s="560">
        <v>476.78</v>
      </c>
      <c r="Z6" s="4">
        <v>109.18</v>
      </c>
      <c r="AA6" s="4">
        <v>431.38</v>
      </c>
      <c r="AB6" s="4">
        <v>11.22</v>
      </c>
      <c r="AC6" s="4">
        <v>53.2</v>
      </c>
      <c r="AD6" s="4">
        <v>211.26</v>
      </c>
      <c r="AF6" s="4">
        <v>1.420340800762631</v>
      </c>
      <c r="AG6" s="4">
        <v>1.0261278195488721</v>
      </c>
      <c r="AH6" s="4">
        <v>2.4125048934623341</v>
      </c>
      <c r="AI6" s="4">
        <v>0.92957746478873238</v>
      </c>
      <c r="AJ6" s="4">
        <v>1.6537146409698478</v>
      </c>
      <c r="AK6" s="4">
        <v>1.5821163783419456</v>
      </c>
      <c r="AM6" s="562">
        <v>45916</v>
      </c>
      <c r="AN6" s="563">
        <v>473.26</v>
      </c>
      <c r="AO6" s="563">
        <v>1262439</v>
      </c>
      <c r="AP6" s="563">
        <v>270.32938999999999</v>
      </c>
      <c r="AQ6" s="563">
        <v>127936.08711139999</v>
      </c>
      <c r="AR6" s="563">
        <v>2.8914</v>
      </c>
    </row>
    <row r="7" spans="2:44" x14ac:dyDescent="0.25">
      <c r="B7" s="564">
        <v>45904</v>
      </c>
      <c r="C7" s="560">
        <v>11.0738</v>
      </c>
      <c r="D7" s="560">
        <v>28.9544</v>
      </c>
      <c r="E7" s="560">
        <v>14.8386</v>
      </c>
      <c r="F7" s="560">
        <v>4.3357999999999999</v>
      </c>
      <c r="G7" s="560">
        <v>11.121600000000001</v>
      </c>
      <c r="H7" s="560">
        <v>10.9726</v>
      </c>
      <c r="I7" s="564">
        <v>45904</v>
      </c>
      <c r="J7" s="560">
        <v>24.464700000000001</v>
      </c>
      <c r="K7" s="560">
        <v>26.046099999999999</v>
      </c>
      <c r="L7" s="560">
        <v>21.790199999999999</v>
      </c>
      <c r="M7" s="560">
        <v>17.1203</v>
      </c>
      <c r="N7" s="560">
        <v>11.7155</v>
      </c>
      <c r="O7" s="560">
        <v>21.572800000000001</v>
      </c>
      <c r="P7" s="560"/>
      <c r="Q7" s="564">
        <v>45904</v>
      </c>
      <c r="R7" s="4">
        <v>487.76</v>
      </c>
      <c r="S7" s="4">
        <v>23525.29</v>
      </c>
      <c r="T7" s="4">
        <v>1172.7</v>
      </c>
      <c r="U7" s="4">
        <v>1.4530505243088656</v>
      </c>
      <c r="V7" s="4">
        <v>2.0871018253598601</v>
      </c>
      <c r="W7" s="4" t="e">
        <v>#DIV/0!</v>
      </c>
      <c r="Y7" s="560">
        <v>487.76</v>
      </c>
      <c r="Z7" s="4">
        <v>109.69</v>
      </c>
      <c r="AA7" s="4">
        <v>420.22</v>
      </c>
      <c r="AB7" s="4">
        <v>11.36</v>
      </c>
      <c r="AC7" s="4">
        <v>51.62</v>
      </c>
      <c r="AD7" s="4">
        <v>210.55</v>
      </c>
      <c r="AF7" s="4">
        <v>1.4530505243088656</v>
      </c>
      <c r="AG7" s="4">
        <v>1.0309210526315788</v>
      </c>
      <c r="AH7" s="4">
        <v>2.3500922767183043</v>
      </c>
      <c r="AI7" s="4">
        <v>0.94117647058823517</v>
      </c>
      <c r="AJ7" s="4">
        <v>1.6046005595275099</v>
      </c>
      <c r="AK7" s="4">
        <v>1.5767992211488056</v>
      </c>
      <c r="AM7" s="562">
        <v>45915</v>
      </c>
      <c r="AN7" s="563">
        <v>473.26</v>
      </c>
      <c r="AO7" s="563">
        <v>1262439</v>
      </c>
      <c r="AP7" s="563">
        <v>270.32938999999999</v>
      </c>
      <c r="AQ7" s="563">
        <v>127936.08711139999</v>
      </c>
      <c r="AR7" s="563">
        <v>2.8914</v>
      </c>
    </row>
    <row r="8" spans="2:44" x14ac:dyDescent="0.25">
      <c r="B8" s="564">
        <v>45897</v>
      </c>
      <c r="C8" s="560">
        <v>11.452299999999999</v>
      </c>
      <c r="D8" s="560">
        <v>29.644400000000001</v>
      </c>
      <c r="E8" s="560">
        <v>15.3408</v>
      </c>
      <c r="F8" s="560">
        <v>4.5153999999999996</v>
      </c>
      <c r="G8" s="560">
        <v>11.188000000000001</v>
      </c>
      <c r="H8" s="560">
        <v>11.202400000000001</v>
      </c>
      <c r="I8" s="564">
        <v>45897</v>
      </c>
      <c r="J8" s="560">
        <v>25.316700000000001</v>
      </c>
      <c r="K8" s="560">
        <v>26.865300000000001</v>
      </c>
      <c r="L8" s="560">
        <v>22.5519</v>
      </c>
      <c r="M8" s="560">
        <v>17.979299999999999</v>
      </c>
      <c r="N8" s="560">
        <v>11.831300000000001</v>
      </c>
      <c r="O8" s="560">
        <v>22.029800000000002</v>
      </c>
      <c r="P8" s="560"/>
      <c r="Q8" s="564">
        <v>45897</v>
      </c>
      <c r="R8" s="4">
        <v>489.44</v>
      </c>
      <c r="S8" s="4">
        <v>23384.77</v>
      </c>
      <c r="T8" s="4">
        <v>1172.7</v>
      </c>
      <c r="U8" s="4">
        <v>1.4580552907530981</v>
      </c>
      <c r="V8" s="4">
        <v>2.0746352607181673</v>
      </c>
      <c r="W8" s="4" t="e">
        <v>#DIV/0!</v>
      </c>
      <c r="Y8" s="560">
        <v>489.44</v>
      </c>
      <c r="Z8" s="4">
        <v>113.14</v>
      </c>
      <c r="AA8" s="4">
        <v>434.91</v>
      </c>
      <c r="AB8" s="4">
        <v>11.93</v>
      </c>
      <c r="AC8" s="4">
        <v>52.13</v>
      </c>
      <c r="AD8" s="4">
        <v>215.01</v>
      </c>
      <c r="AF8" s="4">
        <v>1.4580552907530981</v>
      </c>
      <c r="AG8" s="4">
        <v>1.063345864661654</v>
      </c>
      <c r="AH8" s="4">
        <v>2.4322465186510822</v>
      </c>
      <c r="AI8" s="4">
        <v>0.9884009942004971</v>
      </c>
      <c r="AJ8" s="4">
        <v>1.6204538389804166</v>
      </c>
      <c r="AK8" s="4">
        <v>1.6101999550662771</v>
      </c>
      <c r="AM8" s="562">
        <v>45914</v>
      </c>
      <c r="AN8" s="563">
        <v>473.26</v>
      </c>
      <c r="AO8" s="563">
        <v>1262439</v>
      </c>
      <c r="AP8" s="563">
        <v>270.32938999999999</v>
      </c>
      <c r="AQ8" s="563">
        <v>127936.08711139999</v>
      </c>
      <c r="AR8" s="563">
        <v>2.8914</v>
      </c>
    </row>
    <row r="9" spans="2:44" x14ac:dyDescent="0.25">
      <c r="B9" s="564">
        <v>45890</v>
      </c>
      <c r="C9" s="560">
        <v>11.3657</v>
      </c>
      <c r="D9" s="560">
        <v>29.394400000000001</v>
      </c>
      <c r="E9" s="560">
        <v>14.758900000000001</v>
      </c>
      <c r="F9" s="560">
        <v>4.5279999999999996</v>
      </c>
      <c r="G9" s="560">
        <v>10.6973</v>
      </c>
      <c r="H9" s="560">
        <v>11.082800000000001</v>
      </c>
      <c r="I9" s="564">
        <v>45890</v>
      </c>
      <c r="J9" s="560">
        <v>25.075600000000001</v>
      </c>
      <c r="K9" s="560">
        <v>26.5685</v>
      </c>
      <c r="L9" s="560">
        <v>21.6694</v>
      </c>
      <c r="M9" s="560">
        <v>18.0396</v>
      </c>
      <c r="N9" s="560">
        <v>10.9756</v>
      </c>
      <c r="O9" s="560">
        <v>21.792100000000001</v>
      </c>
      <c r="P9" s="560"/>
      <c r="Q9" s="564">
        <v>45890</v>
      </c>
      <c r="R9" s="4">
        <v>505.85</v>
      </c>
      <c r="S9" s="4">
        <v>23839.200000000001</v>
      </c>
      <c r="T9" s="4">
        <v>1172.7</v>
      </c>
      <c r="U9" s="4">
        <v>1.5069411344137273</v>
      </c>
      <c r="V9" s="4">
        <v>2.1149510945505359</v>
      </c>
      <c r="W9" s="4" t="e">
        <v>#DIV/0!</v>
      </c>
      <c r="Y9" s="560">
        <v>505.85</v>
      </c>
      <c r="Z9" s="4">
        <v>111.89</v>
      </c>
      <c r="AA9" s="4">
        <v>417.89</v>
      </c>
      <c r="AB9" s="4">
        <v>11.97</v>
      </c>
      <c r="AC9" s="4">
        <v>48.36</v>
      </c>
      <c r="AD9" s="4">
        <v>212.69</v>
      </c>
      <c r="AF9" s="4">
        <v>1.5069411344137273</v>
      </c>
      <c r="AG9" s="4">
        <v>1.0515977443609021</v>
      </c>
      <c r="AH9" s="4">
        <v>2.3370616855880542</v>
      </c>
      <c r="AI9" s="4">
        <v>0.99171499585749801</v>
      </c>
      <c r="AJ9" s="4">
        <v>1.5032639104755983</v>
      </c>
      <c r="AK9" s="4">
        <v>1.5928255822661574</v>
      </c>
      <c r="AM9" s="562">
        <v>45913</v>
      </c>
      <c r="AN9" s="563">
        <v>474.9</v>
      </c>
      <c r="AO9" s="563">
        <v>1487091</v>
      </c>
      <c r="AP9" s="563">
        <v>270.32938999999999</v>
      </c>
      <c r="AQ9" s="563">
        <v>128379.42731099999</v>
      </c>
      <c r="AR9" s="563">
        <v>2.9014000000000002</v>
      </c>
    </row>
    <row r="10" spans="2:44" x14ac:dyDescent="0.25">
      <c r="B10" s="564">
        <v>45883</v>
      </c>
      <c r="C10" s="560">
        <v>11.184200000000001</v>
      </c>
      <c r="D10" s="560">
        <v>29.292400000000001</v>
      </c>
      <c r="E10" s="560">
        <v>14.7456</v>
      </c>
      <c r="F10" s="560">
        <v>4.5848000000000004</v>
      </c>
      <c r="G10" s="560">
        <v>11.1424</v>
      </c>
      <c r="H10" s="560">
        <v>11.7904</v>
      </c>
      <c r="I10" s="564">
        <v>45883</v>
      </c>
      <c r="J10" s="560">
        <v>24.6676</v>
      </c>
      <c r="K10" s="560">
        <v>26.447399999999998</v>
      </c>
      <c r="L10" s="560">
        <v>21.649100000000001</v>
      </c>
      <c r="M10" s="560">
        <v>18.3109</v>
      </c>
      <c r="N10" s="560">
        <v>11.751799999999999</v>
      </c>
      <c r="O10" s="560">
        <v>23.198799999999999</v>
      </c>
      <c r="P10" s="560"/>
      <c r="Q10" s="564">
        <v>45883</v>
      </c>
      <c r="R10" s="4">
        <v>508.58</v>
      </c>
      <c r="S10" s="4">
        <v>23018.560000000001</v>
      </c>
      <c r="T10" s="4">
        <v>1172.7</v>
      </c>
      <c r="U10" s="4">
        <v>1.5150738798856052</v>
      </c>
      <c r="V10" s="4">
        <v>2.0421460731474705</v>
      </c>
      <c r="W10" s="4" t="e">
        <v>#DIV/0!</v>
      </c>
      <c r="Y10" s="560">
        <v>508.58</v>
      </c>
      <c r="Z10" s="4">
        <v>111.38</v>
      </c>
      <c r="AA10" s="4">
        <v>417.5</v>
      </c>
      <c r="AB10" s="4">
        <v>12.15</v>
      </c>
      <c r="AC10" s="4">
        <v>51.78</v>
      </c>
      <c r="AD10" s="4">
        <v>226.42</v>
      </c>
      <c r="AF10" s="4">
        <v>1.5150738798856052</v>
      </c>
      <c r="AG10" s="4">
        <v>1.0468045112781954</v>
      </c>
      <c r="AH10" s="4">
        <v>2.3348805995190425</v>
      </c>
      <c r="AI10" s="4">
        <v>1.0066280033140016</v>
      </c>
      <c r="AJ10" s="4">
        <v>1.6095741373950885</v>
      </c>
      <c r="AK10" s="4">
        <v>1.6956489178461769</v>
      </c>
      <c r="AM10" s="562">
        <v>45912</v>
      </c>
      <c r="AN10" s="563">
        <v>469.52</v>
      </c>
      <c r="AO10" s="563">
        <v>1515353</v>
      </c>
      <c r="AP10" s="563">
        <v>270.32938999999999</v>
      </c>
      <c r="AQ10" s="563">
        <v>126925.05519279999</v>
      </c>
      <c r="AR10" s="563">
        <v>2.8685999999999998</v>
      </c>
    </row>
    <row r="11" spans="2:44" x14ac:dyDescent="0.25">
      <c r="B11" s="564">
        <v>45876</v>
      </c>
      <c r="C11" s="560">
        <v>11.821400000000001</v>
      </c>
      <c r="D11" s="560">
        <v>29.368400000000001</v>
      </c>
      <c r="E11" s="560">
        <v>14.7326</v>
      </c>
      <c r="F11" s="560">
        <v>4.6760999999999999</v>
      </c>
      <c r="G11" s="560">
        <v>10.712899999999999</v>
      </c>
      <c r="H11" s="560">
        <v>11.5626</v>
      </c>
      <c r="I11" s="564">
        <v>45876</v>
      </c>
      <c r="J11" s="560">
        <v>26.099799999999998</v>
      </c>
      <c r="K11" s="560">
        <v>26.537600000000001</v>
      </c>
      <c r="L11" s="560">
        <v>21.6294</v>
      </c>
      <c r="M11" s="560">
        <v>18.747900000000001</v>
      </c>
      <c r="N11" s="560">
        <v>11.0029</v>
      </c>
      <c r="O11" s="560">
        <v>22.745999999999999</v>
      </c>
      <c r="P11" s="560"/>
      <c r="Q11" s="564">
        <v>45876</v>
      </c>
      <c r="R11" s="4">
        <v>512.5</v>
      </c>
      <c r="S11" s="4">
        <v>23308.3</v>
      </c>
      <c r="T11" s="4">
        <v>1172.7</v>
      </c>
      <c r="U11" s="4">
        <v>1.5267516682554814</v>
      </c>
      <c r="V11" s="4">
        <v>2.0678510435380484</v>
      </c>
      <c r="W11" s="4" t="e">
        <v>#DIV/0!</v>
      </c>
      <c r="Y11" s="560">
        <v>512.5</v>
      </c>
      <c r="Z11" s="4">
        <v>111.76</v>
      </c>
      <c r="AA11" s="4">
        <v>417.12</v>
      </c>
      <c r="AB11" s="4">
        <v>12.44</v>
      </c>
      <c r="AC11" s="4">
        <v>48.48</v>
      </c>
      <c r="AD11" s="4">
        <v>222</v>
      </c>
      <c r="AF11" s="4">
        <v>1.5267516682554814</v>
      </c>
      <c r="AG11" s="4">
        <v>1.050375939849624</v>
      </c>
      <c r="AH11" s="4">
        <v>2.3327554387338516</v>
      </c>
      <c r="AI11" s="4">
        <v>1.0306545153272575</v>
      </c>
      <c r="AJ11" s="4">
        <v>1.506994093876282</v>
      </c>
      <c r="AK11" s="4">
        <v>1.6625477420804313</v>
      </c>
      <c r="AM11" s="562">
        <v>45911</v>
      </c>
      <c r="AN11" s="563">
        <v>476.78</v>
      </c>
      <c r="AO11" s="563">
        <v>1601072</v>
      </c>
      <c r="AP11" s="563">
        <v>270.32938999999999</v>
      </c>
      <c r="AQ11" s="563">
        <v>128887.64656419998</v>
      </c>
      <c r="AR11" s="563">
        <v>2.9129</v>
      </c>
    </row>
    <row r="12" spans="2:44" x14ac:dyDescent="0.25">
      <c r="B12" s="564">
        <v>45869</v>
      </c>
      <c r="C12" s="560">
        <v>12.2278</v>
      </c>
      <c r="D12" s="560">
        <v>30.599799999999998</v>
      </c>
      <c r="E12" s="560">
        <v>15.5059</v>
      </c>
      <c r="F12" s="560">
        <v>4.8353999999999999</v>
      </c>
      <c r="G12" s="560">
        <v>11.0227</v>
      </c>
      <c r="H12" s="560">
        <v>11.5726</v>
      </c>
      <c r="I12" s="564">
        <v>45869</v>
      </c>
      <c r="J12" s="560">
        <v>27.013100000000001</v>
      </c>
      <c r="K12" s="560">
        <v>28.0122</v>
      </c>
      <c r="L12" s="560">
        <v>22.713200000000001</v>
      </c>
      <c r="M12" s="560">
        <v>19.531600000000001</v>
      </c>
      <c r="N12" s="560">
        <v>11.542999999999999</v>
      </c>
      <c r="O12" s="560">
        <v>22.805399999999999</v>
      </c>
      <c r="P12" s="560"/>
      <c r="Q12" s="564">
        <v>45869</v>
      </c>
      <c r="R12" s="4">
        <v>505.69</v>
      </c>
      <c r="S12" s="4">
        <v>23063.58</v>
      </c>
      <c r="T12" s="4">
        <v>1172.7</v>
      </c>
      <c r="U12" s="4">
        <v>1.5064644899904671</v>
      </c>
      <c r="V12" s="4">
        <v>2.0461401290837715</v>
      </c>
      <c r="W12" s="4" t="e">
        <v>#DIV/0!</v>
      </c>
      <c r="Y12" s="560">
        <v>505.69</v>
      </c>
      <c r="Z12" s="4">
        <v>117.97</v>
      </c>
      <c r="AA12" s="4">
        <v>438.02</v>
      </c>
      <c r="AB12" s="4">
        <v>12.96</v>
      </c>
      <c r="AC12" s="4">
        <v>50.86</v>
      </c>
      <c r="AD12" s="4">
        <v>222.58</v>
      </c>
      <c r="AF12" s="4">
        <v>1.5064644899904671</v>
      </c>
      <c r="AG12" s="4">
        <v>1.1087406015037593</v>
      </c>
      <c r="AH12" s="4">
        <v>2.4496392819193558</v>
      </c>
      <c r="AI12" s="4">
        <v>1.0737365368682685</v>
      </c>
      <c r="AJ12" s="4">
        <v>1.5809760646565121</v>
      </c>
      <c r="AK12" s="4">
        <v>1.6668913352804613</v>
      </c>
      <c r="AM12" s="562">
        <v>45910</v>
      </c>
      <c r="AN12" s="563">
        <v>478.64</v>
      </c>
      <c r="AO12" s="563">
        <v>1535073</v>
      </c>
      <c r="AP12" s="563">
        <v>270.32938999999999</v>
      </c>
      <c r="AQ12" s="563">
        <v>129390.45922959999</v>
      </c>
      <c r="AR12" s="563">
        <v>2.9243000000000001</v>
      </c>
    </row>
    <row r="13" spans="2:44" x14ac:dyDescent="0.25">
      <c r="B13" s="564">
        <v>45862</v>
      </c>
      <c r="C13" s="560">
        <v>11.2599</v>
      </c>
      <c r="D13" s="560">
        <v>29.108499999999999</v>
      </c>
      <c r="E13" s="560">
        <v>15.2141</v>
      </c>
      <c r="F13" s="560">
        <v>4.9141000000000004</v>
      </c>
      <c r="G13" s="560">
        <v>11.170999999999999</v>
      </c>
      <c r="H13" s="560">
        <v>11.3</v>
      </c>
      <c r="I13" s="564">
        <v>45862</v>
      </c>
      <c r="J13" s="560">
        <v>24.777699999999999</v>
      </c>
      <c r="K13" s="560">
        <v>26.2408</v>
      </c>
      <c r="L13" s="560">
        <v>22.272400000000001</v>
      </c>
      <c r="M13" s="560">
        <v>19.9084</v>
      </c>
      <c r="N13" s="560">
        <v>11.8018</v>
      </c>
      <c r="O13" s="560">
        <v>22.2624</v>
      </c>
      <c r="P13" s="560"/>
      <c r="Q13" s="564">
        <v>45862</v>
      </c>
      <c r="R13" s="4">
        <v>503.47</v>
      </c>
      <c r="S13" s="4">
        <v>22884.59</v>
      </c>
      <c r="T13" s="4">
        <v>1172.7</v>
      </c>
      <c r="U13" s="4">
        <v>1.4998510486177312</v>
      </c>
      <c r="V13" s="4">
        <v>2.0302606072703884</v>
      </c>
      <c r="W13" s="4" t="e">
        <v>#DIV/0!</v>
      </c>
      <c r="Y13" s="560">
        <v>503.47</v>
      </c>
      <c r="Z13" s="4">
        <v>110.51</v>
      </c>
      <c r="AA13" s="4">
        <v>429.52</v>
      </c>
      <c r="AB13" s="4">
        <v>13.21</v>
      </c>
      <c r="AC13" s="4">
        <v>52</v>
      </c>
      <c r="AD13" s="4">
        <v>217.28</v>
      </c>
      <c r="AF13" s="4">
        <v>1.4998510486177312</v>
      </c>
      <c r="AG13" s="4">
        <v>1.0386278195488721</v>
      </c>
      <c r="AH13" s="4">
        <v>2.4021027906716625</v>
      </c>
      <c r="AI13" s="4">
        <v>1.0944490472245236</v>
      </c>
      <c r="AJ13" s="4">
        <v>1.6164128069630088</v>
      </c>
      <c r="AK13" s="4">
        <v>1.6271998801767393</v>
      </c>
      <c r="AM13" s="562">
        <v>45909</v>
      </c>
      <c r="AN13" s="563">
        <v>478.64</v>
      </c>
      <c r="AO13" s="563">
        <v>1535073</v>
      </c>
      <c r="AP13" s="563">
        <v>270.32938999999999</v>
      </c>
      <c r="AQ13" s="563">
        <v>129390.45922959999</v>
      </c>
      <c r="AR13" s="563">
        <v>2.9243000000000001</v>
      </c>
    </row>
    <row r="14" spans="2:44" x14ac:dyDescent="0.25">
      <c r="B14" s="564">
        <v>45855</v>
      </c>
      <c r="C14" s="560">
        <v>10.926399999999999</v>
      </c>
      <c r="D14" s="560">
        <v>28.550799999999999</v>
      </c>
      <c r="E14" s="560">
        <v>14.821099999999999</v>
      </c>
      <c r="F14" s="560">
        <v>4.8385999999999996</v>
      </c>
      <c r="G14" s="560">
        <v>10.9862</v>
      </c>
      <c r="H14" s="560">
        <v>11.3355</v>
      </c>
      <c r="I14" s="564">
        <v>45855</v>
      </c>
      <c r="J14" s="560">
        <v>24.0305</v>
      </c>
      <c r="K14" s="560">
        <v>25.578299999999999</v>
      </c>
      <c r="L14" s="560">
        <v>21.678699999999999</v>
      </c>
      <c r="M14" s="560">
        <v>19.546700000000001</v>
      </c>
      <c r="N14" s="560">
        <v>11.4795</v>
      </c>
      <c r="O14" s="560">
        <v>22.333100000000002</v>
      </c>
      <c r="P14" s="560"/>
      <c r="Q14" s="564">
        <v>45855</v>
      </c>
      <c r="R14" s="4">
        <v>508.91</v>
      </c>
      <c r="S14" s="4">
        <v>22702.25</v>
      </c>
      <c r="T14" s="4">
        <v>1172.7</v>
      </c>
      <c r="U14" s="4">
        <v>1.5160569590085797</v>
      </c>
      <c r="V14" s="4">
        <v>2.0140838822720517</v>
      </c>
      <c r="W14" s="4" t="e">
        <v>#DIV/0!</v>
      </c>
      <c r="Y14" s="560">
        <v>508.91</v>
      </c>
      <c r="Z14" s="4">
        <v>107.72</v>
      </c>
      <c r="AA14" s="4">
        <v>418.07</v>
      </c>
      <c r="AB14" s="4">
        <v>12.97</v>
      </c>
      <c r="AC14" s="4">
        <v>50.58</v>
      </c>
      <c r="AD14" s="4">
        <v>217.97</v>
      </c>
      <c r="AF14" s="4">
        <v>1.5160569590085797</v>
      </c>
      <c r="AG14" s="4">
        <v>1.012406015037594</v>
      </c>
      <c r="AH14" s="4">
        <v>2.3380683406968288</v>
      </c>
      <c r="AI14" s="4">
        <v>1.0745650372825186</v>
      </c>
      <c r="AJ14" s="4">
        <v>1.5722723033882497</v>
      </c>
      <c r="AK14" s="4">
        <v>1.6323672582940163</v>
      </c>
      <c r="AM14" s="562">
        <v>45908</v>
      </c>
      <c r="AN14" s="563">
        <v>478.64</v>
      </c>
      <c r="AO14" s="563">
        <v>1535073</v>
      </c>
      <c r="AP14" s="563">
        <v>270.32938999999999</v>
      </c>
      <c r="AQ14" s="563">
        <v>129390.45922959999</v>
      </c>
      <c r="AR14" s="563">
        <v>2.9243000000000001</v>
      </c>
    </row>
    <row r="15" spans="2:44" x14ac:dyDescent="0.25">
      <c r="B15" s="564">
        <v>45848</v>
      </c>
      <c r="C15" s="560">
        <v>11.3574</v>
      </c>
      <c r="D15" s="560">
        <v>29.760200000000001</v>
      </c>
      <c r="E15" s="560">
        <v>14.486800000000001</v>
      </c>
      <c r="F15" s="560">
        <v>5.0998000000000001</v>
      </c>
      <c r="G15" s="560">
        <v>11.353300000000001</v>
      </c>
      <c r="H15" s="560">
        <v>11.786099999999999</v>
      </c>
      <c r="I15" s="564">
        <v>45848</v>
      </c>
      <c r="J15" s="560">
        <v>24.996200000000002</v>
      </c>
      <c r="K15" s="560">
        <v>27.014900000000001</v>
      </c>
      <c r="L15" s="560">
        <v>21.1736</v>
      </c>
      <c r="M15" s="560">
        <v>20.797499999999999</v>
      </c>
      <c r="N15" s="560">
        <v>12.1195</v>
      </c>
      <c r="O15" s="560">
        <v>23.230599999999999</v>
      </c>
      <c r="P15" s="560"/>
      <c r="Q15" s="564">
        <v>45848</v>
      </c>
      <c r="R15" s="4">
        <v>508.36</v>
      </c>
      <c r="S15" s="4">
        <v>22478.14</v>
      </c>
      <c r="T15" s="4">
        <v>1172.7</v>
      </c>
      <c r="U15" s="4">
        <v>1.5144184938036225</v>
      </c>
      <c r="V15" s="4">
        <v>1.9942014327855035</v>
      </c>
      <c r="W15" s="4" t="e">
        <v>#DIV/0!</v>
      </c>
      <c r="Y15" s="560">
        <v>508.36</v>
      </c>
      <c r="Z15" s="4">
        <v>113.77</v>
      </c>
      <c r="AA15" s="4">
        <v>408.33</v>
      </c>
      <c r="AB15" s="4">
        <v>13.8</v>
      </c>
      <c r="AC15" s="4">
        <v>53.4</v>
      </c>
      <c r="AD15" s="4">
        <v>226.73</v>
      </c>
      <c r="AF15" s="4">
        <v>1.5144184938036225</v>
      </c>
      <c r="AG15" s="4">
        <v>1.069266917293233</v>
      </c>
      <c r="AH15" s="4">
        <v>2.2835971142553548</v>
      </c>
      <c r="AI15" s="4">
        <v>1.143330571665286</v>
      </c>
      <c r="AJ15" s="4">
        <v>1.6599316133043207</v>
      </c>
      <c r="AK15" s="4">
        <v>1.697970493522055</v>
      </c>
      <c r="AM15" s="562">
        <v>45907</v>
      </c>
      <c r="AN15" s="563">
        <v>478.64</v>
      </c>
      <c r="AO15" s="563">
        <v>1535073</v>
      </c>
      <c r="AP15" s="563">
        <v>270.32938999999999</v>
      </c>
      <c r="AQ15" s="563">
        <v>129390.45922959999</v>
      </c>
      <c r="AR15" s="563">
        <v>2.9243000000000001</v>
      </c>
    </row>
    <row r="16" spans="2:44" x14ac:dyDescent="0.25">
      <c r="B16" s="564">
        <v>45841</v>
      </c>
      <c r="C16" s="560">
        <v>11.3955</v>
      </c>
      <c r="D16" s="560">
        <v>28.9466</v>
      </c>
      <c r="E16" s="560">
        <v>14.1274</v>
      </c>
      <c r="F16" s="560">
        <v>5.0651999999999999</v>
      </c>
      <c r="G16" s="560">
        <v>10.8834</v>
      </c>
      <c r="H16" s="560">
        <v>11.759399999999999</v>
      </c>
      <c r="I16" s="564">
        <v>45841</v>
      </c>
      <c r="J16" s="560">
        <v>25.081399999999999</v>
      </c>
      <c r="K16" s="560">
        <v>26.048500000000001</v>
      </c>
      <c r="L16" s="560">
        <v>20.630700000000001</v>
      </c>
      <c r="M16" s="560">
        <v>20.631799999999998</v>
      </c>
      <c r="N16" s="560">
        <v>11.3002</v>
      </c>
      <c r="O16" s="560">
        <v>23.177299999999999</v>
      </c>
      <c r="P16" s="560"/>
      <c r="Q16" s="564">
        <v>45841</v>
      </c>
      <c r="R16" s="4">
        <v>514.1</v>
      </c>
      <c r="S16" s="4">
        <v>22190.52</v>
      </c>
      <c r="T16" s="4">
        <v>1172.7</v>
      </c>
      <c r="U16" s="4">
        <v>1.5315181124880839</v>
      </c>
      <c r="V16" s="4">
        <v>1.9686845432164481</v>
      </c>
      <c r="W16" s="4" t="e">
        <v>#DIV/0!</v>
      </c>
      <c r="Y16" s="560">
        <v>514.1</v>
      </c>
      <c r="Z16" s="4">
        <v>109.7</v>
      </c>
      <c r="AA16" s="4">
        <v>397.86</v>
      </c>
      <c r="AB16" s="4">
        <v>13.69</v>
      </c>
      <c r="AC16" s="4">
        <v>49.79</v>
      </c>
      <c r="AD16" s="4">
        <v>226.21</v>
      </c>
      <c r="AF16" s="4">
        <v>1.5315181124880839</v>
      </c>
      <c r="AG16" s="4">
        <v>1.0310150375939848</v>
      </c>
      <c r="AH16" s="4">
        <v>2.2250433420949611</v>
      </c>
      <c r="AI16" s="4">
        <v>1.1342170671085334</v>
      </c>
      <c r="AJ16" s="4">
        <v>1.5477152626670809</v>
      </c>
      <c r="AK16" s="4">
        <v>1.6940762375496143</v>
      </c>
      <c r="AM16" s="562">
        <v>45906</v>
      </c>
      <c r="AN16" s="563">
        <v>491.44</v>
      </c>
      <c r="AO16" s="563">
        <v>1120391</v>
      </c>
      <c r="AP16" s="563">
        <v>270.32938999999999</v>
      </c>
      <c r="AQ16" s="563">
        <v>132850.6754216</v>
      </c>
      <c r="AR16" s="563">
        <v>3.0024999999999999</v>
      </c>
    </row>
    <row r="17" spans="2:44" x14ac:dyDescent="0.25">
      <c r="B17" s="564">
        <v>45834</v>
      </c>
      <c r="C17" s="560">
        <v>11.1282</v>
      </c>
      <c r="D17" s="560">
        <v>47.059399999999997</v>
      </c>
      <c r="E17" s="560">
        <v>12.9855</v>
      </c>
      <c r="F17" s="560">
        <v>4.5431999999999997</v>
      </c>
      <c r="G17" s="560">
        <v>9.9713999999999992</v>
      </c>
      <c r="H17" s="560">
        <v>11.771800000000001</v>
      </c>
      <c r="I17" s="564">
        <v>45834</v>
      </c>
      <c r="J17" s="560">
        <v>24.482500000000002</v>
      </c>
      <c r="K17" s="560">
        <v>19.7562</v>
      </c>
      <c r="L17" s="560">
        <v>18.247399999999999</v>
      </c>
      <c r="M17" s="560">
        <v>14.461399999999999</v>
      </c>
      <c r="N17" s="560">
        <v>9.6456999999999997</v>
      </c>
      <c r="O17" s="560">
        <v>23.0032</v>
      </c>
      <c r="P17" s="560"/>
      <c r="Q17" s="564">
        <v>45834</v>
      </c>
      <c r="R17" s="4">
        <v>523.12</v>
      </c>
      <c r="S17" s="4">
        <v>21719.08</v>
      </c>
      <c r="T17" s="4">
        <v>1172.7</v>
      </c>
      <c r="U17" s="4">
        <v>1.5583889418493804</v>
      </c>
      <c r="V17" s="4">
        <v>1.926859626943465</v>
      </c>
      <c r="W17" s="4" t="e">
        <v>#DIV/0!</v>
      </c>
      <c r="Y17" s="560">
        <v>523.12</v>
      </c>
      <c r="Z17" s="4">
        <v>102.57</v>
      </c>
      <c r="AA17" s="4">
        <v>381.88</v>
      </c>
      <c r="AB17" s="4">
        <v>12.9</v>
      </c>
      <c r="AC17" s="4">
        <v>47.69</v>
      </c>
      <c r="AD17" s="4">
        <v>219.45</v>
      </c>
      <c r="AF17" s="4">
        <v>1.5583889418493804</v>
      </c>
      <c r="AG17" s="4">
        <v>0.96400375939849614</v>
      </c>
      <c r="AH17" s="4">
        <v>2.135674738549298</v>
      </c>
      <c r="AI17" s="4">
        <v>1.0687655343827671</v>
      </c>
      <c r="AJ17" s="4">
        <v>1.4824370531551132</v>
      </c>
      <c r="AK17" s="4">
        <v>1.6434509099078858</v>
      </c>
      <c r="AM17" s="562">
        <v>45905</v>
      </c>
      <c r="AN17" s="563">
        <v>493.08</v>
      </c>
      <c r="AO17" s="563">
        <v>912641</v>
      </c>
      <c r="AP17" s="563">
        <v>270.82704999999999</v>
      </c>
      <c r="AQ17" s="563">
        <v>133539.40181399998</v>
      </c>
      <c r="AR17" s="563">
        <v>3.0125000000000002</v>
      </c>
    </row>
    <row r="18" spans="2:44" x14ac:dyDescent="0.25">
      <c r="B18" s="564">
        <v>45827</v>
      </c>
      <c r="C18" s="560">
        <v>11.404299999999999</v>
      </c>
      <c r="D18" s="560">
        <v>47.059399999999997</v>
      </c>
      <c r="E18" s="560">
        <v>12.283099999999999</v>
      </c>
      <c r="F18" s="560">
        <v>4.5103</v>
      </c>
      <c r="G18" s="560">
        <v>9.7081</v>
      </c>
      <c r="H18" s="560">
        <v>11.5085</v>
      </c>
      <c r="I18" s="564">
        <v>45827</v>
      </c>
      <c r="J18" s="560">
        <v>25.101199999999999</v>
      </c>
      <c r="K18" s="560">
        <v>19.6907</v>
      </c>
      <c r="L18" s="560">
        <v>17.226700000000001</v>
      </c>
      <c r="M18" s="560">
        <v>14.338100000000001</v>
      </c>
      <c r="N18" s="560">
        <v>9.2048000000000005</v>
      </c>
      <c r="O18" s="560">
        <v>22.485399999999998</v>
      </c>
      <c r="P18" s="560"/>
      <c r="Q18" s="564">
        <v>45827</v>
      </c>
      <c r="R18" s="4">
        <v>515.82000000000005</v>
      </c>
      <c r="S18" s="4">
        <v>21941.919999999998</v>
      </c>
      <c r="T18" s="4">
        <v>1172.7</v>
      </c>
      <c r="U18" s="4">
        <v>1.5366420400381318</v>
      </c>
      <c r="V18" s="4">
        <v>1.9466294053718365</v>
      </c>
      <c r="W18" s="4" t="e">
        <v>#DIV/0!</v>
      </c>
      <c r="Y18" s="560">
        <v>515.82000000000005</v>
      </c>
      <c r="Z18" s="4">
        <v>100.92</v>
      </c>
      <c r="AA18" s="4">
        <v>360.96</v>
      </c>
      <c r="AB18" s="4">
        <v>12.78</v>
      </c>
      <c r="AC18" s="4">
        <v>47.33</v>
      </c>
      <c r="AD18" s="4">
        <v>213.09</v>
      </c>
      <c r="AF18" s="4">
        <v>1.5366420400381318</v>
      </c>
      <c r="AG18" s="4">
        <v>0.94849624060150373</v>
      </c>
      <c r="AH18" s="4">
        <v>2.0186790447961522</v>
      </c>
      <c r="AI18" s="4">
        <v>1.0588235294117647</v>
      </c>
      <c r="AJ18" s="4">
        <v>1.4712465029530617</v>
      </c>
      <c r="AK18" s="4">
        <v>1.5958211637834194</v>
      </c>
      <c r="AM18" s="562">
        <v>45904</v>
      </c>
      <c r="AN18" s="563">
        <v>487.76</v>
      </c>
      <c r="AO18" s="563">
        <v>1502914</v>
      </c>
      <c r="AP18" s="563">
        <v>270.82704999999999</v>
      </c>
      <c r="AQ18" s="563">
        <v>132098.60190799998</v>
      </c>
      <c r="AR18" s="563">
        <v>2.98</v>
      </c>
    </row>
    <row r="19" spans="2:44" x14ac:dyDescent="0.25">
      <c r="B19" s="564">
        <v>45820</v>
      </c>
      <c r="C19" s="560">
        <v>11.3072</v>
      </c>
      <c r="D19" s="560">
        <v>47.059399999999997</v>
      </c>
      <c r="E19" s="560">
        <v>12.297499999999999</v>
      </c>
      <c r="F19" s="560">
        <v>4.5072999999999999</v>
      </c>
      <c r="G19" s="560">
        <v>9.9278999999999993</v>
      </c>
      <c r="H19" s="560">
        <v>11.4328</v>
      </c>
      <c r="I19" s="564">
        <v>45820</v>
      </c>
      <c r="J19" s="560">
        <v>24.883600000000001</v>
      </c>
      <c r="K19" s="560">
        <v>19.438400000000001</v>
      </c>
      <c r="L19" s="560">
        <v>17.247800000000002</v>
      </c>
      <c r="M19" s="560">
        <v>14.3269</v>
      </c>
      <c r="N19" s="560">
        <v>9.5729000000000006</v>
      </c>
      <c r="O19" s="560">
        <v>22.336600000000001</v>
      </c>
      <c r="P19" s="560"/>
      <c r="Q19" s="564">
        <v>45820</v>
      </c>
      <c r="R19" s="4">
        <v>513.15</v>
      </c>
      <c r="S19" s="4">
        <v>21662.58</v>
      </c>
      <c r="T19" s="4">
        <v>1172.7</v>
      </c>
      <c r="U19" s="4">
        <v>1.5286880362249762</v>
      </c>
      <c r="V19" s="4">
        <v>1.9218470956151441</v>
      </c>
      <c r="W19" s="4" t="e">
        <v>#DIV/0!</v>
      </c>
      <c r="Y19" s="560">
        <v>513.15</v>
      </c>
      <c r="Z19" s="4">
        <v>100.92</v>
      </c>
      <c r="AA19" s="4">
        <v>360.96</v>
      </c>
      <c r="AB19" s="4">
        <v>12.78</v>
      </c>
      <c r="AC19" s="4">
        <v>47.33</v>
      </c>
      <c r="AD19" s="4">
        <v>213.09</v>
      </c>
      <c r="AF19" s="4">
        <v>1.5286880362249762</v>
      </c>
      <c r="AG19" s="4">
        <v>0.94849624060150373</v>
      </c>
      <c r="AH19" s="4">
        <v>2.0186790447961522</v>
      </c>
      <c r="AI19" s="4">
        <v>1.0588235294117647</v>
      </c>
      <c r="AJ19" s="4">
        <v>1.4712465029530617</v>
      </c>
      <c r="AK19" s="4">
        <v>1.5958211637834194</v>
      </c>
      <c r="AM19" s="562">
        <v>45903</v>
      </c>
      <c r="AN19" s="563">
        <v>487.9</v>
      </c>
      <c r="AO19" s="563">
        <v>729616</v>
      </c>
      <c r="AP19" s="563">
        <v>270.82704999999999</v>
      </c>
      <c r="AQ19" s="563">
        <v>132136.51769499999</v>
      </c>
      <c r="AR19" s="563">
        <v>2.9809000000000001</v>
      </c>
    </row>
    <row r="20" spans="2:44" x14ac:dyDescent="0.25">
      <c r="B20" s="564">
        <v>45813</v>
      </c>
      <c r="C20" s="560">
        <v>11.1759</v>
      </c>
      <c r="D20" s="560">
        <v>47.059399999999997</v>
      </c>
      <c r="E20" s="560">
        <v>11.902900000000001</v>
      </c>
      <c r="F20" s="560">
        <v>4.4386000000000001</v>
      </c>
      <c r="G20" s="560">
        <v>9.7394999999999996</v>
      </c>
      <c r="H20" s="560">
        <v>11.018000000000001</v>
      </c>
      <c r="I20" s="564">
        <v>45813</v>
      </c>
      <c r="J20" s="560">
        <v>24.589400000000001</v>
      </c>
      <c r="K20" s="560">
        <v>19.4133</v>
      </c>
      <c r="L20" s="560">
        <v>16.674399999999999</v>
      </c>
      <c r="M20" s="560">
        <v>14.069000000000001</v>
      </c>
      <c r="N20" s="560">
        <v>9.2574000000000005</v>
      </c>
      <c r="O20" s="560">
        <v>21.521000000000001</v>
      </c>
      <c r="P20" s="560"/>
      <c r="Q20" s="564">
        <v>45813</v>
      </c>
      <c r="R20" s="4">
        <v>509.63</v>
      </c>
      <c r="S20" s="4">
        <v>21414.99</v>
      </c>
      <c r="T20" s="4">
        <v>1172.7</v>
      </c>
      <c r="U20" s="4">
        <v>1.5182018589132507</v>
      </c>
      <c r="V20" s="4">
        <v>1.899881562312862</v>
      </c>
      <c r="W20" s="4" t="e">
        <v>#DIV/0!</v>
      </c>
      <c r="Y20" s="560">
        <v>509.63</v>
      </c>
      <c r="Z20" s="4">
        <v>100.79</v>
      </c>
      <c r="AA20" s="4">
        <v>348.96</v>
      </c>
      <c r="AB20" s="4">
        <v>12.55</v>
      </c>
      <c r="AC20" s="4">
        <v>45.77</v>
      </c>
      <c r="AD20" s="4">
        <v>205.31</v>
      </c>
      <c r="AF20" s="4">
        <v>1.5182018589132507</v>
      </c>
      <c r="AG20" s="4">
        <v>0.94727443609022555</v>
      </c>
      <c r="AH20" s="4">
        <v>1.9515687042111738</v>
      </c>
      <c r="AI20" s="4">
        <v>1.03976801988401</v>
      </c>
      <c r="AJ20" s="4">
        <v>1.4227541187441717</v>
      </c>
      <c r="AK20" s="4">
        <v>1.5375571032726729</v>
      </c>
      <c r="AM20" s="562">
        <v>45902</v>
      </c>
      <c r="AN20" s="563">
        <v>495.99</v>
      </c>
      <c r="AO20" s="563">
        <v>1133572</v>
      </c>
      <c r="AP20" s="563">
        <v>270.82704999999999</v>
      </c>
      <c r="AQ20" s="563">
        <v>134327.50852949999</v>
      </c>
      <c r="AR20" s="563">
        <v>3.0303</v>
      </c>
    </row>
    <row r="21" spans="2:44" x14ac:dyDescent="0.25">
      <c r="B21" s="564">
        <v>45806</v>
      </c>
      <c r="C21" s="560">
        <v>11.0425</v>
      </c>
      <c r="D21" s="560">
        <v>47.059399999999997</v>
      </c>
      <c r="E21" s="560">
        <v>11.996</v>
      </c>
      <c r="F21" s="560">
        <v>4.4684999999999997</v>
      </c>
      <c r="G21" s="560">
        <v>9.7600999999999996</v>
      </c>
      <c r="H21" s="560">
        <v>10.8309</v>
      </c>
      <c r="I21" s="564">
        <v>45806</v>
      </c>
      <c r="J21" s="560">
        <v>24.238</v>
      </c>
      <c r="K21" s="560">
        <v>19.553899999999999</v>
      </c>
      <c r="L21" s="560">
        <v>16.8096</v>
      </c>
      <c r="M21" s="560">
        <v>14.1812</v>
      </c>
      <c r="N21" s="560">
        <v>9.2918000000000003</v>
      </c>
      <c r="O21" s="560">
        <v>21.153099999999998</v>
      </c>
      <c r="P21" s="560"/>
      <c r="Q21" s="564">
        <v>45806</v>
      </c>
      <c r="R21" s="4">
        <v>526.33000000000004</v>
      </c>
      <c r="S21" s="4">
        <v>21367.37</v>
      </c>
      <c r="T21" s="4">
        <v>1172.7</v>
      </c>
      <c r="U21" s="4">
        <v>1.5679516205910391</v>
      </c>
      <c r="V21" s="4">
        <v>1.8956568412180894</v>
      </c>
      <c r="W21" s="4" t="e">
        <v>#DIV/0!</v>
      </c>
      <c r="Y21" s="560">
        <v>526.33000000000004</v>
      </c>
      <c r="Z21" s="4">
        <v>101.52</v>
      </c>
      <c r="AA21" s="4">
        <v>351.79</v>
      </c>
      <c r="AB21" s="4">
        <v>12.65</v>
      </c>
      <c r="AC21" s="4">
        <v>45.94</v>
      </c>
      <c r="AD21" s="4">
        <v>201.8</v>
      </c>
      <c r="AF21" s="4">
        <v>1.5679516205910391</v>
      </c>
      <c r="AG21" s="4">
        <v>0.95413533834586461</v>
      </c>
      <c r="AH21" s="4">
        <v>1.9673955595324648</v>
      </c>
      <c r="AI21" s="4">
        <v>1.048053024026512</v>
      </c>
      <c r="AJ21" s="4">
        <v>1.4280385452284736</v>
      </c>
      <c r="AK21" s="4">
        <v>1.5112708754586985</v>
      </c>
      <c r="AM21" s="562">
        <v>45901</v>
      </c>
      <c r="AN21" s="563">
        <v>495.99</v>
      </c>
      <c r="AO21" s="563">
        <v>1133572</v>
      </c>
      <c r="AP21" s="563">
        <v>270.82704999999999</v>
      </c>
      <c r="AQ21" s="563">
        <v>134327.50852949999</v>
      </c>
      <c r="AR21" s="563">
        <v>3.0303</v>
      </c>
    </row>
    <row r="22" spans="2:44" x14ac:dyDescent="0.25">
      <c r="B22" s="564">
        <v>45799</v>
      </c>
      <c r="C22" s="560">
        <v>11.305199999999999</v>
      </c>
      <c r="D22" s="560">
        <v>47.059399999999997</v>
      </c>
      <c r="E22" s="560">
        <v>11.7789</v>
      </c>
      <c r="F22" s="560">
        <v>4.5610999999999997</v>
      </c>
      <c r="G22" s="560">
        <v>9.7479999999999993</v>
      </c>
      <c r="H22" s="560">
        <v>10.666700000000001</v>
      </c>
      <c r="I22" s="564">
        <v>45799</v>
      </c>
      <c r="J22" s="560">
        <v>24.825299999999999</v>
      </c>
      <c r="K22" s="560">
        <v>19.767700000000001</v>
      </c>
      <c r="L22" s="560">
        <v>16.494199999999999</v>
      </c>
      <c r="M22" s="560">
        <v>14.528700000000001</v>
      </c>
      <c r="N22" s="560">
        <v>9.2714999999999996</v>
      </c>
      <c r="O22" s="560">
        <v>20.830300000000001</v>
      </c>
      <c r="P22" s="560"/>
      <c r="Q22" s="564">
        <v>45799</v>
      </c>
      <c r="R22" s="4">
        <v>498.57</v>
      </c>
      <c r="S22" s="4">
        <v>21197.7</v>
      </c>
      <c r="T22" s="4">
        <v>1172.7</v>
      </c>
      <c r="U22" s="4">
        <v>1.4852538131553861</v>
      </c>
      <c r="V22" s="4">
        <v>1.8806041652804579</v>
      </c>
      <c r="W22" s="4" t="e">
        <v>#DIV/0!</v>
      </c>
      <c r="Y22" s="560">
        <v>498.57</v>
      </c>
      <c r="Z22" s="4">
        <v>102.63</v>
      </c>
      <c r="AA22" s="4">
        <v>345.19</v>
      </c>
      <c r="AB22" s="4">
        <v>12.96</v>
      </c>
      <c r="AC22" s="4">
        <v>45.84</v>
      </c>
      <c r="AD22" s="4">
        <v>198.72</v>
      </c>
      <c r="AF22" s="4">
        <v>1.4852538131553861</v>
      </c>
      <c r="AG22" s="4">
        <v>0.96456766917293224</v>
      </c>
      <c r="AH22" s="4">
        <v>1.9304848722107264</v>
      </c>
      <c r="AI22" s="4">
        <v>1.0737365368682685</v>
      </c>
      <c r="AJ22" s="4">
        <v>1.4249300590612373</v>
      </c>
      <c r="AK22" s="4">
        <v>1.4882048977757807</v>
      </c>
      <c r="AM22" s="562">
        <v>45900</v>
      </c>
      <c r="AN22" s="563">
        <v>495.99</v>
      </c>
      <c r="AO22" s="563">
        <v>1133572</v>
      </c>
      <c r="AP22" s="563">
        <v>270.82704999999999</v>
      </c>
      <c r="AQ22" s="563">
        <v>134327.50852949999</v>
      </c>
      <c r="AR22" s="563">
        <v>3.0303</v>
      </c>
    </row>
    <row r="23" spans="2:44" x14ac:dyDescent="0.25">
      <c r="B23" s="564">
        <v>45792</v>
      </c>
      <c r="C23" s="560">
        <v>11.319599999999999</v>
      </c>
      <c r="D23" s="560">
        <v>47.059399999999997</v>
      </c>
      <c r="E23" s="560">
        <v>11.9308</v>
      </c>
      <c r="F23" s="560">
        <v>4.6925999999999997</v>
      </c>
      <c r="G23" s="560">
        <v>9.8759999999999994</v>
      </c>
      <c r="H23" s="560">
        <v>10.842599999999999</v>
      </c>
      <c r="I23" s="564">
        <v>45792</v>
      </c>
      <c r="J23" s="560">
        <v>24.857600000000001</v>
      </c>
      <c r="K23" s="560">
        <v>20.361000000000001</v>
      </c>
      <c r="L23" s="560">
        <v>16.715</v>
      </c>
      <c r="M23" s="560">
        <v>15.0219</v>
      </c>
      <c r="N23" s="560">
        <v>9.4859000000000009</v>
      </c>
      <c r="O23" s="560">
        <v>21.176200000000001</v>
      </c>
      <c r="P23" s="560"/>
      <c r="Q23" s="564">
        <v>45792</v>
      </c>
      <c r="R23" s="4">
        <v>475.3</v>
      </c>
      <c r="S23" s="4">
        <v>19791.349999999999</v>
      </c>
      <c r="T23" s="4">
        <v>1172.7</v>
      </c>
      <c r="U23" s="4">
        <v>1.4159318398474738</v>
      </c>
      <c r="V23" s="4">
        <v>1.7558364938895912</v>
      </c>
      <c r="W23" s="4" t="e">
        <v>#DIV/0!</v>
      </c>
      <c r="Y23" s="560">
        <v>475.3</v>
      </c>
      <c r="Z23" s="4">
        <v>105.71</v>
      </c>
      <c r="AA23" s="4">
        <v>349.81</v>
      </c>
      <c r="AB23" s="4">
        <v>13.4</v>
      </c>
      <c r="AC23" s="4">
        <v>46.9</v>
      </c>
      <c r="AD23" s="4">
        <v>202.02</v>
      </c>
      <c r="AF23" s="4">
        <v>1.4159318398474738</v>
      </c>
      <c r="AG23" s="4">
        <v>0.99351503759398485</v>
      </c>
      <c r="AH23" s="4">
        <v>1.9563223533359431</v>
      </c>
      <c r="AI23" s="4">
        <v>1.1101905550952775</v>
      </c>
      <c r="AJ23" s="4">
        <v>1.4578800124339446</v>
      </c>
      <c r="AK23" s="4">
        <v>1.5129184452931925</v>
      </c>
      <c r="AM23" s="562">
        <v>45899</v>
      </c>
      <c r="AN23" s="563">
        <v>486.76</v>
      </c>
      <c r="AO23" s="563">
        <v>844948</v>
      </c>
      <c r="AP23" s="563">
        <v>270.82704999999999</v>
      </c>
      <c r="AQ23" s="563">
        <v>131827.77485799999</v>
      </c>
      <c r="AR23" s="563">
        <v>2.9739</v>
      </c>
    </row>
    <row r="24" spans="2:44" x14ac:dyDescent="0.25">
      <c r="B24" s="564">
        <v>45785</v>
      </c>
      <c r="C24" s="560">
        <v>10.752599999999999</v>
      </c>
      <c r="D24" s="560">
        <v>47.059399999999997</v>
      </c>
      <c r="E24" s="560">
        <v>11.090199999999999</v>
      </c>
      <c r="F24" s="560">
        <v>4.4565999999999999</v>
      </c>
      <c r="G24" s="560">
        <v>9.1309000000000005</v>
      </c>
      <c r="H24" s="560">
        <v>9.5897000000000006</v>
      </c>
      <c r="I24" s="564">
        <v>45785</v>
      </c>
      <c r="J24" s="560">
        <v>23.59</v>
      </c>
      <c r="K24" s="560">
        <v>18.8933</v>
      </c>
      <c r="L24" s="560">
        <v>15.4937</v>
      </c>
      <c r="M24" s="560">
        <v>14.1363</v>
      </c>
      <c r="N24" s="560">
        <v>8.2379999999999995</v>
      </c>
      <c r="O24" s="560">
        <v>18.713899999999999</v>
      </c>
      <c r="P24" s="560"/>
      <c r="Q24" s="564">
        <v>45785</v>
      </c>
      <c r="R24" s="4">
        <v>460.64</v>
      </c>
      <c r="S24" s="4">
        <v>19544.95</v>
      </c>
      <c r="T24" s="4">
        <v>1172.7</v>
      </c>
      <c r="U24" s="4">
        <v>1.3722592945662535</v>
      </c>
      <c r="V24" s="4">
        <v>1.7339765342559941</v>
      </c>
      <c r="W24" s="4" t="e">
        <v>#DIV/0!</v>
      </c>
      <c r="Y24" s="560">
        <v>460.64</v>
      </c>
      <c r="Z24" s="4">
        <v>98.09</v>
      </c>
      <c r="AA24" s="4">
        <v>324.25</v>
      </c>
      <c r="AB24" s="4">
        <v>12.61</v>
      </c>
      <c r="AC24" s="4">
        <v>40.729999999999997</v>
      </c>
      <c r="AD24" s="4">
        <v>178.53</v>
      </c>
      <c r="AF24" s="4">
        <v>1.3722592945662535</v>
      </c>
      <c r="AG24" s="4">
        <v>0.92189849624060149</v>
      </c>
      <c r="AH24" s="4">
        <v>1.813377327889939</v>
      </c>
      <c r="AI24" s="4">
        <v>1.0447390223695112</v>
      </c>
      <c r="AJ24" s="4">
        <v>1.266086415915449</v>
      </c>
      <c r="AK24" s="4">
        <v>1.3370029206919793</v>
      </c>
      <c r="AM24" s="562">
        <v>45898</v>
      </c>
      <c r="AN24" s="563">
        <v>492.72</v>
      </c>
      <c r="AO24" s="563">
        <v>1438939</v>
      </c>
      <c r="AP24" s="563">
        <v>270.82704999999999</v>
      </c>
      <c r="AQ24" s="563">
        <v>133441.90407600001</v>
      </c>
      <c r="AR24" s="563">
        <v>3.0103</v>
      </c>
    </row>
    <row r="25" spans="2:44" x14ac:dyDescent="0.25">
      <c r="B25" s="564">
        <v>45778</v>
      </c>
      <c r="C25" s="560">
        <v>10.538</v>
      </c>
      <c r="D25" s="560">
        <v>47.059399999999997</v>
      </c>
      <c r="E25" s="560">
        <v>10.751799999999999</v>
      </c>
      <c r="F25" s="560">
        <v>4.3926999999999996</v>
      </c>
      <c r="G25" s="560">
        <v>8.6533999999999995</v>
      </c>
      <c r="H25" s="560">
        <v>9.0986999999999991</v>
      </c>
      <c r="I25" s="564">
        <v>45778</v>
      </c>
      <c r="J25" s="560">
        <v>23.11</v>
      </c>
      <c r="K25" s="560">
        <v>17.989899999999999</v>
      </c>
      <c r="L25" s="560">
        <v>15.002000000000001</v>
      </c>
      <c r="M25" s="560">
        <v>13.912100000000001</v>
      </c>
      <c r="N25" s="560">
        <v>7.3621999999999996</v>
      </c>
      <c r="O25" s="560">
        <v>17.7485</v>
      </c>
      <c r="P25" s="560"/>
      <c r="Q25" s="564">
        <v>45778</v>
      </c>
      <c r="R25" s="4">
        <v>454.66</v>
      </c>
      <c r="S25" s="4">
        <v>18276.41</v>
      </c>
      <c r="T25" s="4">
        <v>1172.7</v>
      </c>
      <c r="U25" s="4">
        <v>1.3544447092469019</v>
      </c>
      <c r="V25" s="4">
        <v>1.621435003437798</v>
      </c>
      <c r="W25" s="4" t="e">
        <v>#DIV/0!</v>
      </c>
      <c r="Y25" s="560">
        <v>454.66</v>
      </c>
      <c r="Z25" s="4">
        <v>93.4</v>
      </c>
      <c r="AA25" s="4">
        <v>313.95999999999998</v>
      </c>
      <c r="AB25" s="4">
        <v>12.41</v>
      </c>
      <c r="AC25" s="4">
        <v>36.4</v>
      </c>
      <c r="AD25" s="4">
        <v>169.32</v>
      </c>
      <c r="AF25" s="4">
        <v>1.3544447092469019</v>
      </c>
      <c r="AG25" s="4">
        <v>0.8778195488721805</v>
      </c>
      <c r="AH25" s="4">
        <v>1.7558302108383199</v>
      </c>
      <c r="AI25" s="4">
        <v>1.028169014084507</v>
      </c>
      <c r="AJ25" s="4">
        <v>1.1314889648741062</v>
      </c>
      <c r="AK25" s="4">
        <v>1.2680296562570208</v>
      </c>
      <c r="AM25" s="562">
        <v>45897</v>
      </c>
      <c r="AN25" s="563">
        <v>489.44</v>
      </c>
      <c r="AO25" s="563">
        <v>1493802</v>
      </c>
      <c r="AP25" s="563">
        <v>270.82704999999999</v>
      </c>
      <c r="AQ25" s="563">
        <v>132553.59135199999</v>
      </c>
      <c r="AR25" s="563">
        <v>2.9903</v>
      </c>
    </row>
    <row r="26" spans="2:44" x14ac:dyDescent="0.25">
      <c r="B26" s="564">
        <v>45771</v>
      </c>
      <c r="C26" s="560">
        <v>9.7570999999999994</v>
      </c>
      <c r="D26" s="560">
        <v>47.059399999999997</v>
      </c>
      <c r="E26" s="560">
        <v>10.681800000000001</v>
      </c>
      <c r="F26" s="560">
        <v>4.2106000000000003</v>
      </c>
      <c r="G26" s="560">
        <v>8.6448999999999998</v>
      </c>
      <c r="H26" s="560">
        <v>9.1647999999999996</v>
      </c>
      <c r="I26" s="564">
        <v>45771</v>
      </c>
      <c r="J26" s="560">
        <v>20.498100000000001</v>
      </c>
      <c r="K26" s="560">
        <v>16.514500000000002</v>
      </c>
      <c r="L26" s="560">
        <v>14.662699999999999</v>
      </c>
      <c r="M26" s="560">
        <v>13.228300000000001</v>
      </c>
      <c r="N26" s="560">
        <v>7.3480999999999996</v>
      </c>
      <c r="O26" s="560">
        <v>17.878499999999999</v>
      </c>
      <c r="P26" s="560"/>
      <c r="Q26" s="564">
        <v>45771</v>
      </c>
      <c r="R26" s="4">
        <v>461.26</v>
      </c>
      <c r="S26" s="4">
        <v>18830.23</v>
      </c>
      <c r="T26" s="4">
        <v>1172.7</v>
      </c>
      <c r="U26" s="4">
        <v>1.3741062917063869</v>
      </c>
      <c r="V26" s="4">
        <v>1.6705684565395791</v>
      </c>
      <c r="W26" s="4" t="e">
        <v>#DIV/0!</v>
      </c>
      <c r="Y26" s="560">
        <v>461.26</v>
      </c>
      <c r="Z26" s="4">
        <v>85.74</v>
      </c>
      <c r="AA26" s="4">
        <v>306.86</v>
      </c>
      <c r="AB26" s="4">
        <v>11.8</v>
      </c>
      <c r="AC26" s="4">
        <v>36.33</v>
      </c>
      <c r="AD26" s="4">
        <v>170.56</v>
      </c>
      <c r="AF26" s="4">
        <v>1.3741062917063869</v>
      </c>
      <c r="AG26" s="4">
        <v>0.80582706766917289</v>
      </c>
      <c r="AH26" s="4">
        <v>1.7161232593255411</v>
      </c>
      <c r="AI26" s="4">
        <v>0.97763048881524439</v>
      </c>
      <c r="AJ26" s="4">
        <v>1.1293130245570406</v>
      </c>
      <c r="AK26" s="4">
        <v>1.2773159589605332</v>
      </c>
      <c r="AM26" s="562">
        <v>45896</v>
      </c>
      <c r="AN26" s="563">
        <v>491.13</v>
      </c>
      <c r="AO26" s="563">
        <v>1391676</v>
      </c>
      <c r="AP26" s="563">
        <v>270.82704999999999</v>
      </c>
      <c r="AQ26" s="563">
        <v>133011.2890665</v>
      </c>
      <c r="AR26" s="563">
        <v>3.0005999999999999</v>
      </c>
    </row>
    <row r="27" spans="2:44" x14ac:dyDescent="0.25">
      <c r="B27" s="564">
        <v>45764</v>
      </c>
      <c r="C27" s="560">
        <v>9.5053000000000001</v>
      </c>
      <c r="D27" s="560">
        <v>47.059399999999997</v>
      </c>
      <c r="E27" s="560">
        <v>10.260400000000001</v>
      </c>
      <c r="F27" s="560">
        <v>4.0076999999999998</v>
      </c>
      <c r="G27" s="560">
        <v>8.4215999999999998</v>
      </c>
      <c r="H27" s="560">
        <v>8.9995999999999992</v>
      </c>
      <c r="I27" s="564">
        <v>45764</v>
      </c>
      <c r="J27" s="560">
        <v>19.949100000000001</v>
      </c>
      <c r="K27" s="560">
        <v>15.5938</v>
      </c>
      <c r="L27" s="560">
        <v>14.0602</v>
      </c>
      <c r="M27" s="560">
        <v>12.465999999999999</v>
      </c>
      <c r="N27" s="560">
        <v>6.9779</v>
      </c>
      <c r="O27" s="560">
        <v>17.5535</v>
      </c>
      <c r="P27" s="560"/>
      <c r="Q27" s="564">
        <v>45764</v>
      </c>
      <c r="R27" s="4">
        <v>412.99</v>
      </c>
      <c r="S27" s="4">
        <v>17090.400000000001</v>
      </c>
      <c r="T27" s="4">
        <v>1172.7</v>
      </c>
      <c r="U27" s="4">
        <v>1.2303086272640611</v>
      </c>
      <c r="V27" s="4">
        <v>1.5162153170536963</v>
      </c>
      <c r="W27" s="4" t="e">
        <v>#DIV/0!</v>
      </c>
      <c r="Y27" s="560">
        <v>412.99</v>
      </c>
      <c r="Z27" s="4">
        <v>80.959999999999994</v>
      </c>
      <c r="AA27" s="4">
        <v>294.25</v>
      </c>
      <c r="AB27" s="4">
        <v>11.12</v>
      </c>
      <c r="AC27" s="4">
        <v>34.5</v>
      </c>
      <c r="AD27" s="4">
        <v>167.46</v>
      </c>
      <c r="AF27" s="4">
        <v>1.2303086272640611</v>
      </c>
      <c r="AG27" s="4">
        <v>0.76090225563909764</v>
      </c>
      <c r="AH27" s="4">
        <v>1.6456014764274929</v>
      </c>
      <c r="AI27" s="4">
        <v>0.92129246064623027</v>
      </c>
      <c r="AJ27" s="4">
        <v>1.0724277276966117</v>
      </c>
      <c r="AK27" s="4">
        <v>1.2541002022017524</v>
      </c>
      <c r="AM27" s="562">
        <v>45895</v>
      </c>
      <c r="AN27" s="563">
        <v>488.8</v>
      </c>
      <c r="AO27" s="563">
        <v>2674658</v>
      </c>
      <c r="AP27" s="563">
        <v>270.82704999999999</v>
      </c>
      <c r="AQ27" s="563">
        <v>132380.26204</v>
      </c>
      <c r="AR27" s="563">
        <v>2.9864000000000002</v>
      </c>
    </row>
    <row r="28" spans="2:44" x14ac:dyDescent="0.25">
      <c r="B28" s="564">
        <v>45757</v>
      </c>
      <c r="C28" s="560">
        <v>9.3457000000000008</v>
      </c>
      <c r="D28" s="560">
        <v>47.059399999999997</v>
      </c>
      <c r="E28" s="560">
        <v>10.090299999999999</v>
      </c>
      <c r="F28" s="560">
        <v>4.0286</v>
      </c>
      <c r="G28" s="560">
        <v>8.3826000000000001</v>
      </c>
      <c r="H28" s="560">
        <v>9.0838000000000001</v>
      </c>
      <c r="I28" s="564">
        <v>45757</v>
      </c>
      <c r="J28" s="560">
        <v>19.601400000000002</v>
      </c>
      <c r="K28" s="560">
        <v>16.161999999999999</v>
      </c>
      <c r="L28" s="560">
        <v>13.8169</v>
      </c>
      <c r="M28" s="560">
        <v>12.5444</v>
      </c>
      <c r="N28" s="560">
        <v>6.9131999999999998</v>
      </c>
      <c r="O28" s="560">
        <v>17.719100000000001</v>
      </c>
      <c r="P28" s="560"/>
      <c r="Q28" s="564">
        <v>45757</v>
      </c>
      <c r="R28" s="4">
        <v>478.45</v>
      </c>
      <c r="S28" s="4">
        <v>19436.419999999998</v>
      </c>
      <c r="T28" s="4">
        <v>1172.7</v>
      </c>
      <c r="U28" s="4">
        <v>1.4253157769304099</v>
      </c>
      <c r="V28" s="4">
        <v>1.7243480382371856</v>
      </c>
      <c r="W28" s="4" t="e">
        <v>#DIV/0!</v>
      </c>
      <c r="Y28" s="560">
        <v>478.45</v>
      </c>
      <c r="Z28" s="4">
        <v>83.91</v>
      </c>
      <c r="AA28" s="4">
        <v>289.16000000000003</v>
      </c>
      <c r="AB28" s="4">
        <v>11.19</v>
      </c>
      <c r="AC28" s="4">
        <v>34.18</v>
      </c>
      <c r="AD28" s="4">
        <v>169.04</v>
      </c>
      <c r="AF28" s="4">
        <v>1.4253157769304099</v>
      </c>
      <c r="AG28" s="4">
        <v>0.78862781954887207</v>
      </c>
      <c r="AH28" s="4">
        <v>1.617135506962698</v>
      </c>
      <c r="AI28" s="4">
        <v>0.92709196354598167</v>
      </c>
      <c r="AJ28" s="4">
        <v>1.0624805719614547</v>
      </c>
      <c r="AK28" s="4">
        <v>1.2659327491949375</v>
      </c>
      <c r="AM28" s="562">
        <v>45894</v>
      </c>
      <c r="AN28" s="563">
        <v>488.8</v>
      </c>
      <c r="AO28" s="563">
        <v>2674658</v>
      </c>
      <c r="AP28" s="563">
        <v>270.82704999999999</v>
      </c>
      <c r="AQ28" s="563">
        <v>132380.26204</v>
      </c>
      <c r="AR28" s="563">
        <v>2.9864000000000002</v>
      </c>
    </row>
    <row r="29" spans="2:44" x14ac:dyDescent="0.25">
      <c r="B29" s="564">
        <v>45750</v>
      </c>
      <c r="C29" s="560">
        <v>9.4116999999999997</v>
      </c>
      <c r="D29" s="560">
        <v>47.059399999999997</v>
      </c>
      <c r="E29" s="560">
        <v>10.645</v>
      </c>
      <c r="F29" s="560">
        <v>4.0525000000000002</v>
      </c>
      <c r="G29" s="560">
        <v>8.5838999999999999</v>
      </c>
      <c r="H29" s="560">
        <v>9.1914999999999996</v>
      </c>
      <c r="I29" s="564">
        <v>45750</v>
      </c>
      <c r="J29" s="560">
        <v>19.7453</v>
      </c>
      <c r="K29" s="560">
        <v>15.8192</v>
      </c>
      <c r="L29" s="560">
        <v>14.610099999999999</v>
      </c>
      <c r="M29" s="560">
        <v>12.6341</v>
      </c>
      <c r="N29" s="560">
        <v>7.2469000000000001</v>
      </c>
      <c r="O29" s="560">
        <v>17.930900000000001</v>
      </c>
      <c r="P29" s="560"/>
      <c r="Q29" s="564">
        <v>45750</v>
      </c>
      <c r="R29" s="4">
        <v>478.93</v>
      </c>
      <c r="S29" s="4">
        <v>20287.830000000002</v>
      </c>
      <c r="T29" s="4">
        <v>1172.7</v>
      </c>
      <c r="U29" s="4">
        <v>1.4267457102001906</v>
      </c>
      <c r="V29" s="4">
        <v>1.7998828930733917</v>
      </c>
      <c r="W29" s="4" t="e">
        <v>#DIV/0!</v>
      </c>
      <c r="Y29" s="560">
        <v>478.93</v>
      </c>
      <c r="Z29" s="4">
        <v>82.13</v>
      </c>
      <c r="AA29" s="4">
        <v>305.76</v>
      </c>
      <c r="AB29" s="4">
        <v>11.27</v>
      </c>
      <c r="AC29" s="4">
        <v>35.83</v>
      </c>
      <c r="AD29" s="4">
        <v>171.06</v>
      </c>
      <c r="AF29" s="4">
        <v>1.4267457102001906</v>
      </c>
      <c r="AG29" s="4">
        <v>0.77189849624060147</v>
      </c>
      <c r="AH29" s="4">
        <v>1.7099714781052513</v>
      </c>
      <c r="AI29" s="4">
        <v>0.93371996685998337</v>
      </c>
      <c r="AJ29" s="4">
        <v>1.1137705937208577</v>
      </c>
      <c r="AK29" s="4">
        <v>1.2810604358571107</v>
      </c>
      <c r="AM29" s="562">
        <v>45893</v>
      </c>
      <c r="AN29" s="563">
        <v>488.8</v>
      </c>
      <c r="AO29" s="563">
        <v>2674658</v>
      </c>
      <c r="AP29" s="563">
        <v>270.82704999999999</v>
      </c>
      <c r="AQ29" s="563">
        <v>132380.26204</v>
      </c>
      <c r="AR29" s="563">
        <v>2.9864000000000002</v>
      </c>
    </row>
    <row r="30" spans="2:44" x14ac:dyDescent="0.25">
      <c r="B30" s="564">
        <v>45743</v>
      </c>
      <c r="C30" s="560">
        <v>10.065</v>
      </c>
      <c r="D30" s="560">
        <v>47.059399999999997</v>
      </c>
      <c r="E30" s="560">
        <v>10.8118</v>
      </c>
      <c r="F30" s="560">
        <v>3.9731999999999998</v>
      </c>
      <c r="G30" s="560">
        <v>8.2040000000000006</v>
      </c>
      <c r="H30" s="560">
        <v>9.9425000000000008</v>
      </c>
      <c r="I30" s="564">
        <v>45743</v>
      </c>
      <c r="J30" s="560">
        <v>21.1693</v>
      </c>
      <c r="K30" s="560">
        <v>13.6701</v>
      </c>
      <c r="L30" s="560">
        <v>15.231199999999999</v>
      </c>
      <c r="M30" s="560">
        <v>11.615500000000001</v>
      </c>
      <c r="N30" s="560">
        <v>6.9058999999999999</v>
      </c>
      <c r="O30" s="560">
        <v>19.447299999999998</v>
      </c>
      <c r="P30" s="560"/>
      <c r="Q30" s="564">
        <v>45743</v>
      </c>
      <c r="R30" s="4">
        <v>481.17</v>
      </c>
      <c r="S30" s="4">
        <v>19483.36</v>
      </c>
      <c r="T30" s="4">
        <v>1172.7</v>
      </c>
      <c r="U30" s="4">
        <v>1.433418732125834</v>
      </c>
      <c r="V30" s="4">
        <v>1.7285124315212812</v>
      </c>
      <c r="W30" s="4" t="e">
        <v>#DIV/0!</v>
      </c>
      <c r="Y30" s="560">
        <v>481.17</v>
      </c>
      <c r="Z30" s="4">
        <v>98.86</v>
      </c>
      <c r="AA30" s="4">
        <v>339.3</v>
      </c>
      <c r="AB30" s="4">
        <v>12.75</v>
      </c>
      <c r="AC30" s="4">
        <v>40.08</v>
      </c>
      <c r="AD30" s="4">
        <v>186.11</v>
      </c>
      <c r="AF30" s="4">
        <v>1.433418732125834</v>
      </c>
      <c r="AG30" s="4">
        <v>0.92913533834586459</v>
      </c>
      <c r="AH30" s="4">
        <v>1.8975448800402663</v>
      </c>
      <c r="AI30" s="4">
        <v>1.056338028169014</v>
      </c>
      <c r="AJ30" s="4">
        <v>1.2458812558284114</v>
      </c>
      <c r="AK30" s="4">
        <v>1.393769190444095</v>
      </c>
      <c r="AM30" s="562">
        <v>45892</v>
      </c>
      <c r="AN30" s="563">
        <v>478.84</v>
      </c>
      <c r="AO30" s="563">
        <v>5100701</v>
      </c>
      <c r="AP30" s="563">
        <v>270.82704999999999</v>
      </c>
      <c r="AQ30" s="563">
        <v>129682.82462199999</v>
      </c>
      <c r="AR30" s="563">
        <v>2.9255</v>
      </c>
    </row>
    <row r="31" spans="2:44" x14ac:dyDescent="0.25">
      <c r="B31" s="564">
        <v>45736</v>
      </c>
      <c r="C31" s="560">
        <v>10.010400000000001</v>
      </c>
      <c r="D31" s="560">
        <v>45.500999999999998</v>
      </c>
      <c r="E31" s="560">
        <v>10.716100000000001</v>
      </c>
      <c r="F31" s="560">
        <v>4.0290999999999997</v>
      </c>
      <c r="G31" s="560">
        <v>8.0949000000000009</v>
      </c>
      <c r="H31" s="560">
        <v>10.0616</v>
      </c>
      <c r="I31" s="564">
        <v>45736</v>
      </c>
      <c r="J31" s="560">
        <v>21.0501</v>
      </c>
      <c r="K31" s="560">
        <v>13.0631</v>
      </c>
      <c r="L31" s="560">
        <v>15.0943</v>
      </c>
      <c r="M31" s="560">
        <v>11.797700000000001</v>
      </c>
      <c r="N31" s="560">
        <v>6.7336</v>
      </c>
      <c r="O31" s="560">
        <v>19.6845</v>
      </c>
      <c r="P31" s="560"/>
      <c r="Q31" s="564">
        <v>45736</v>
      </c>
      <c r="R31" s="4">
        <v>475.5</v>
      </c>
      <c r="S31" s="4">
        <v>19376.96</v>
      </c>
      <c r="T31" s="4">
        <v>1172.7</v>
      </c>
      <c r="U31" s="4">
        <v>1.416527645376549</v>
      </c>
      <c r="V31" s="4">
        <v>1.7190729034976822</v>
      </c>
      <c r="W31" s="4" t="e">
        <v>#DIV/0!</v>
      </c>
      <c r="Y31" s="560">
        <v>475.5</v>
      </c>
      <c r="Z31" s="4">
        <v>94.47</v>
      </c>
      <c r="AA31" s="4">
        <v>336.25</v>
      </c>
      <c r="AB31" s="4">
        <v>12.95</v>
      </c>
      <c r="AC31" s="4">
        <v>39.08</v>
      </c>
      <c r="AD31" s="4">
        <v>188.38</v>
      </c>
      <c r="AF31" s="4">
        <v>1.416527645376549</v>
      </c>
      <c r="AG31" s="4">
        <v>0.88787593984962399</v>
      </c>
      <c r="AH31" s="4">
        <v>1.8804876684749174</v>
      </c>
      <c r="AI31" s="4">
        <v>1.0729080364540182</v>
      </c>
      <c r="AJ31" s="4">
        <v>1.2147963941560458</v>
      </c>
      <c r="AK31" s="4">
        <v>1.410769115554557</v>
      </c>
      <c r="AM31" s="562">
        <v>45891</v>
      </c>
      <c r="AN31" s="563">
        <v>513.54</v>
      </c>
      <c r="AO31" s="563">
        <v>1853646</v>
      </c>
      <c r="AP31" s="563">
        <v>270.82704999999999</v>
      </c>
      <c r="AQ31" s="563">
        <v>139080.52325699999</v>
      </c>
      <c r="AR31" s="563">
        <v>3.1375000000000002</v>
      </c>
    </row>
    <row r="32" spans="2:44" x14ac:dyDescent="0.25">
      <c r="B32" s="564">
        <v>45729</v>
      </c>
      <c r="C32" s="560">
        <v>9.8093000000000004</v>
      </c>
      <c r="D32" s="560">
        <v>44.688099999999999</v>
      </c>
      <c r="E32" s="560">
        <v>10.623799999999999</v>
      </c>
      <c r="F32" s="560">
        <v>3.9173</v>
      </c>
      <c r="G32" s="560">
        <v>8.1036000000000001</v>
      </c>
      <c r="H32" s="560">
        <v>9.7380999999999993</v>
      </c>
      <c r="I32" s="564">
        <v>45729</v>
      </c>
      <c r="J32" s="560">
        <v>20.611899999999999</v>
      </c>
      <c r="K32" s="560">
        <v>12.7464</v>
      </c>
      <c r="L32" s="560">
        <v>14.962300000000001</v>
      </c>
      <c r="M32" s="560">
        <v>11.433299999999999</v>
      </c>
      <c r="N32" s="560">
        <v>6.7473999999999998</v>
      </c>
      <c r="O32" s="560">
        <v>19.080500000000001</v>
      </c>
      <c r="P32" s="560"/>
      <c r="Q32" s="564">
        <v>45729</v>
      </c>
      <c r="R32" s="4">
        <v>458.38</v>
      </c>
      <c r="S32" s="4">
        <v>20352.53</v>
      </c>
      <c r="T32" s="4">
        <v>1172.7</v>
      </c>
      <c r="U32" s="4">
        <v>1.3655266920877025</v>
      </c>
      <c r="V32" s="4">
        <v>1.8056229068245835</v>
      </c>
      <c r="W32" s="4" t="e">
        <v>#DIV/0!</v>
      </c>
      <c r="Y32" s="560">
        <v>458.38</v>
      </c>
      <c r="Z32" s="4">
        <v>92.18</v>
      </c>
      <c r="AA32" s="4">
        <v>333.31</v>
      </c>
      <c r="AB32" s="4">
        <v>12.55</v>
      </c>
      <c r="AC32" s="4">
        <v>39.159999999999997</v>
      </c>
      <c r="AD32" s="4">
        <v>182.6</v>
      </c>
      <c r="AF32" s="4">
        <v>1.3655266920877025</v>
      </c>
      <c r="AG32" s="4">
        <v>0.86635338345864665</v>
      </c>
      <c r="AH32" s="4">
        <v>1.8640456350315977</v>
      </c>
      <c r="AI32" s="4">
        <v>1.03976801988401</v>
      </c>
      <c r="AJ32" s="4">
        <v>1.2172831830898352</v>
      </c>
      <c r="AK32" s="4">
        <v>1.3674829626301206</v>
      </c>
      <c r="AM32" s="562">
        <v>45890</v>
      </c>
      <c r="AN32" s="563">
        <v>505.85</v>
      </c>
      <c r="AO32" s="563">
        <v>1286286</v>
      </c>
      <c r="AP32" s="563">
        <v>270.82704999999999</v>
      </c>
      <c r="AQ32" s="563">
        <v>136997.8632425</v>
      </c>
      <c r="AR32" s="563">
        <v>3.0905</v>
      </c>
    </row>
    <row r="33" spans="2:44" x14ac:dyDescent="0.25">
      <c r="B33" s="564">
        <v>45722</v>
      </c>
      <c r="C33" s="560">
        <v>10.1282</v>
      </c>
      <c r="D33" s="560">
        <v>46.310400000000001</v>
      </c>
      <c r="E33" s="560">
        <v>10.865500000000001</v>
      </c>
      <c r="F33" s="560">
        <v>3.9620000000000002</v>
      </c>
      <c r="G33" s="560">
        <v>8.2388999999999992</v>
      </c>
      <c r="H33" s="560">
        <v>9.7606000000000002</v>
      </c>
      <c r="I33" s="564">
        <v>45722</v>
      </c>
      <c r="J33" s="560">
        <v>21.306999999999999</v>
      </c>
      <c r="K33" s="560">
        <v>13.378399999999999</v>
      </c>
      <c r="L33" s="560">
        <v>15.308</v>
      </c>
      <c r="M33" s="560">
        <v>11.579000000000001</v>
      </c>
      <c r="N33" s="560">
        <v>6.9610000000000003</v>
      </c>
      <c r="O33" s="560">
        <v>19.125499999999999</v>
      </c>
      <c r="P33" s="560"/>
      <c r="Q33" s="564">
        <v>45722</v>
      </c>
      <c r="R33" s="4">
        <v>487.59</v>
      </c>
      <c r="S33" s="4">
        <v>21087.25</v>
      </c>
      <c r="T33" s="4">
        <v>1172.7</v>
      </c>
      <c r="U33" s="4">
        <v>1.4525440896091515</v>
      </c>
      <c r="V33" s="4">
        <v>1.8708053319138553</v>
      </c>
      <c r="W33" s="4" t="e">
        <v>#DIV/0!</v>
      </c>
      <c r="Y33" s="560">
        <v>487.59</v>
      </c>
      <c r="Z33" s="4">
        <v>96.75</v>
      </c>
      <c r="AA33" s="4">
        <v>341.01</v>
      </c>
      <c r="AB33" s="4">
        <v>12.71</v>
      </c>
      <c r="AC33" s="4">
        <v>40.4</v>
      </c>
      <c r="AD33" s="4">
        <v>183.03</v>
      </c>
      <c r="AF33" s="4">
        <v>1.4525440896091515</v>
      </c>
      <c r="AG33" s="4">
        <v>0.90930451127819545</v>
      </c>
      <c r="AH33" s="4">
        <v>1.9071081035736255</v>
      </c>
      <c r="AI33" s="4">
        <v>1.0530240265120132</v>
      </c>
      <c r="AJ33" s="4">
        <v>1.2558284115635685</v>
      </c>
      <c r="AK33" s="4">
        <v>1.3707032127611773</v>
      </c>
      <c r="AM33" s="562">
        <v>45889</v>
      </c>
      <c r="AN33" s="563">
        <v>506.98</v>
      </c>
      <c r="AO33" s="563">
        <v>1098185</v>
      </c>
      <c r="AP33" s="563">
        <v>270.82704999999999</v>
      </c>
      <c r="AQ33" s="563">
        <v>137303.89780899999</v>
      </c>
      <c r="AR33" s="563">
        <v>3.0973999999999999</v>
      </c>
    </row>
    <row r="34" spans="2:44" x14ac:dyDescent="0.25">
      <c r="B34" s="564">
        <v>45715</v>
      </c>
      <c r="C34" s="560">
        <v>10.081799999999999</v>
      </c>
      <c r="D34" s="560">
        <v>46.544699999999999</v>
      </c>
      <c r="E34" s="560">
        <v>10.8338</v>
      </c>
      <c r="F34" s="560">
        <v>3.9731000000000001</v>
      </c>
      <c r="G34" s="560">
        <v>8.3425999999999991</v>
      </c>
      <c r="H34" s="560">
        <v>9.8223000000000003</v>
      </c>
      <c r="I34" s="564">
        <v>45715</v>
      </c>
      <c r="J34" s="560">
        <v>21.2059</v>
      </c>
      <c r="K34" s="560">
        <v>13.4696</v>
      </c>
      <c r="L34" s="560">
        <v>15.262700000000001</v>
      </c>
      <c r="M34" s="560">
        <v>11.606400000000001</v>
      </c>
      <c r="N34" s="560">
        <v>7.1246999999999998</v>
      </c>
      <c r="O34" s="560">
        <v>19.254000000000001</v>
      </c>
      <c r="P34" s="560"/>
      <c r="Q34" s="564">
        <v>45715</v>
      </c>
      <c r="R34" s="4">
        <v>501.56</v>
      </c>
      <c r="S34" s="4">
        <v>22164.61</v>
      </c>
      <c r="T34" s="4">
        <v>1172.7</v>
      </c>
      <c r="U34" s="4">
        <v>1.4941611058150619</v>
      </c>
      <c r="V34" s="4">
        <v>1.966385876194912</v>
      </c>
      <c r="W34" s="4" t="e">
        <v>#DIV/0!</v>
      </c>
      <c r="Y34" s="560">
        <v>501.56</v>
      </c>
      <c r="Z34" s="4">
        <v>97.41</v>
      </c>
      <c r="AA34" s="4">
        <v>340</v>
      </c>
      <c r="AB34" s="4">
        <v>12.74</v>
      </c>
      <c r="AC34" s="4">
        <v>41.35</v>
      </c>
      <c r="AD34" s="4">
        <v>184.26</v>
      </c>
      <c r="AF34" s="4">
        <v>1.4941611058150619</v>
      </c>
      <c r="AG34" s="4">
        <v>0.91550751879699244</v>
      </c>
      <c r="AH34" s="4">
        <v>1.9014596499077232</v>
      </c>
      <c r="AI34" s="4">
        <v>1.0555095277547639</v>
      </c>
      <c r="AJ34" s="4">
        <v>1.2853590301523159</v>
      </c>
      <c r="AK34" s="4">
        <v>1.3799146259267578</v>
      </c>
      <c r="AM34" s="562">
        <v>45888</v>
      </c>
      <c r="AN34" s="563">
        <v>510.37</v>
      </c>
      <c r="AO34" s="563">
        <v>883909</v>
      </c>
      <c r="AP34" s="563">
        <v>270.82704999999999</v>
      </c>
      <c r="AQ34" s="563">
        <v>138222.00150849999</v>
      </c>
      <c r="AR34" s="563">
        <v>3.1181999999999999</v>
      </c>
    </row>
    <row r="35" spans="2:44" x14ac:dyDescent="0.25">
      <c r="B35" s="564">
        <v>45708</v>
      </c>
      <c r="C35" s="560">
        <v>10.425000000000001</v>
      </c>
      <c r="D35" s="560">
        <v>48.112400000000001</v>
      </c>
      <c r="E35" s="560">
        <v>11.121</v>
      </c>
      <c r="F35" s="560">
        <v>4.1326000000000001</v>
      </c>
      <c r="G35" s="560">
        <v>8.8032000000000004</v>
      </c>
      <c r="H35" s="560">
        <v>10.033799999999999</v>
      </c>
      <c r="I35" s="564">
        <v>45708</v>
      </c>
      <c r="J35" s="560">
        <v>21.878399999999999</v>
      </c>
      <c r="K35" s="560">
        <v>14.0684</v>
      </c>
      <c r="L35" s="560">
        <v>15.673400000000001</v>
      </c>
      <c r="M35" s="560">
        <v>12.1257</v>
      </c>
      <c r="N35" s="560">
        <v>7.8517999999999999</v>
      </c>
      <c r="O35" s="560">
        <v>19.676100000000002</v>
      </c>
      <c r="P35" s="560"/>
      <c r="Q35" s="564">
        <v>45708</v>
      </c>
      <c r="R35" s="4">
        <v>474.3</v>
      </c>
      <c r="S35" s="4">
        <v>21693.52</v>
      </c>
      <c r="T35" s="4">
        <v>1172.7</v>
      </c>
      <c r="U35" s="4">
        <v>1.4129528122020973</v>
      </c>
      <c r="V35" s="4">
        <v>1.9245920110009538</v>
      </c>
      <c r="W35" s="4" t="e">
        <v>#DIV/0!</v>
      </c>
      <c r="Y35" s="560">
        <v>474.3</v>
      </c>
      <c r="Z35" s="4">
        <v>101.74</v>
      </c>
      <c r="AA35" s="4">
        <v>349.15</v>
      </c>
      <c r="AB35" s="4">
        <v>13.31</v>
      </c>
      <c r="AC35" s="4">
        <v>45.57</v>
      </c>
      <c r="AD35" s="4">
        <v>188.3</v>
      </c>
      <c r="AF35" s="4">
        <v>1.4129528122020973</v>
      </c>
      <c r="AG35" s="4">
        <v>0.95620300751879694</v>
      </c>
      <c r="AH35" s="4">
        <v>1.9526312846037692</v>
      </c>
      <c r="AI35" s="4">
        <v>1.1027340513670256</v>
      </c>
      <c r="AJ35" s="4">
        <v>1.4165371464096983</v>
      </c>
      <c r="AK35" s="4">
        <v>1.4101699992511048</v>
      </c>
      <c r="AM35" s="562">
        <v>45887</v>
      </c>
      <c r="AN35" s="563">
        <v>510.37</v>
      </c>
      <c r="AO35" s="563">
        <v>883909</v>
      </c>
      <c r="AP35" s="563">
        <v>270.82704999999999</v>
      </c>
      <c r="AQ35" s="563">
        <v>138222.00150849999</v>
      </c>
      <c r="AR35" s="563">
        <v>3.1181999999999999</v>
      </c>
    </row>
    <row r="36" spans="2:44" x14ac:dyDescent="0.25">
      <c r="B36" s="564">
        <v>45701</v>
      </c>
      <c r="C36" s="560">
        <v>9.8242999999999991</v>
      </c>
      <c r="D36" s="560">
        <v>45.412199999999999</v>
      </c>
      <c r="E36" s="560">
        <v>11.377000000000001</v>
      </c>
      <c r="F36" s="560">
        <v>3.8948</v>
      </c>
      <c r="G36" s="560">
        <v>8.7332999999999998</v>
      </c>
      <c r="H36" s="560">
        <v>9.8720999999999997</v>
      </c>
      <c r="I36" s="564">
        <v>45701</v>
      </c>
      <c r="J36" s="560">
        <v>20.573599999999999</v>
      </c>
      <c r="K36" s="560">
        <v>13.0175</v>
      </c>
      <c r="L36" s="560">
        <v>15.877700000000001</v>
      </c>
      <c r="M36" s="560">
        <v>11.3513</v>
      </c>
      <c r="N36" s="560">
        <v>7.7416</v>
      </c>
      <c r="O36" s="560">
        <v>19.353300000000001</v>
      </c>
      <c r="P36" s="560"/>
      <c r="Q36" s="564">
        <v>45701</v>
      </c>
      <c r="R36" s="4">
        <v>472.27</v>
      </c>
      <c r="S36" s="4">
        <v>21566.92</v>
      </c>
      <c r="T36" s="4">
        <v>1172.7</v>
      </c>
      <c r="U36" s="4">
        <v>1.4069053860819827</v>
      </c>
      <c r="V36" s="4">
        <v>1.9133603921307691</v>
      </c>
      <c r="W36" s="4" t="e">
        <v>#DIV/0!</v>
      </c>
      <c r="Y36" s="560">
        <v>472.27</v>
      </c>
      <c r="Z36" s="4">
        <v>94.14</v>
      </c>
      <c r="AA36" s="4">
        <v>353.7</v>
      </c>
      <c r="AB36" s="4">
        <v>12.46</v>
      </c>
      <c r="AC36" s="4">
        <v>44.93</v>
      </c>
      <c r="AD36" s="4">
        <v>185.21</v>
      </c>
      <c r="AF36" s="4">
        <v>1.4069053860819827</v>
      </c>
      <c r="AG36" s="4">
        <v>0.88477443609022555</v>
      </c>
      <c r="AH36" s="4">
        <v>1.9780772887422402</v>
      </c>
      <c r="AI36" s="4">
        <v>1.0323115161557581</v>
      </c>
      <c r="AJ36" s="4">
        <v>1.3966428349393845</v>
      </c>
      <c r="AK36" s="4">
        <v>1.3870291320302555</v>
      </c>
      <c r="AM36" s="562">
        <v>45886</v>
      </c>
      <c r="AN36" s="563">
        <v>510.37</v>
      </c>
      <c r="AO36" s="563">
        <v>883909</v>
      </c>
      <c r="AP36" s="563">
        <v>270.82704999999999</v>
      </c>
      <c r="AQ36" s="563">
        <v>138222.00150849999</v>
      </c>
      <c r="AR36" s="563">
        <v>3.1181999999999999</v>
      </c>
    </row>
    <row r="37" spans="2:44" x14ac:dyDescent="0.25">
      <c r="B37" s="564">
        <v>45694</v>
      </c>
      <c r="C37" s="560">
        <v>9.7990999999999993</v>
      </c>
      <c r="D37" s="560">
        <v>46.815600000000003</v>
      </c>
      <c r="E37" s="560">
        <v>11.749599999999999</v>
      </c>
      <c r="F37" s="560">
        <v>3.8165</v>
      </c>
      <c r="G37" s="560">
        <v>8.9374000000000002</v>
      </c>
      <c r="H37" s="560">
        <v>9.7715999999999994</v>
      </c>
      <c r="I37" s="564">
        <v>45694</v>
      </c>
      <c r="J37" s="560">
        <v>20.518799999999999</v>
      </c>
      <c r="K37" s="560">
        <v>13.563700000000001</v>
      </c>
      <c r="L37" s="560">
        <v>16.405100000000001</v>
      </c>
      <c r="M37" s="560">
        <v>11.0962</v>
      </c>
      <c r="N37" s="560">
        <v>8.0154999999999994</v>
      </c>
      <c r="O37" s="560">
        <v>19.1526</v>
      </c>
      <c r="P37" s="560"/>
      <c r="Q37" s="564">
        <v>45694</v>
      </c>
      <c r="R37" s="4">
        <v>479.99</v>
      </c>
      <c r="S37" s="4">
        <v>21463.040000000001</v>
      </c>
      <c r="T37" s="4">
        <v>1172.7</v>
      </c>
      <c r="U37" s="4">
        <v>1.4299034795042898</v>
      </c>
      <c r="V37" s="4">
        <v>1.9041444318761507</v>
      </c>
      <c r="W37" s="4" t="e">
        <v>#DIV/0!</v>
      </c>
      <c r="Y37" s="560">
        <v>479.99</v>
      </c>
      <c r="Z37" s="4">
        <v>98.09</v>
      </c>
      <c r="AA37" s="4">
        <v>365.45</v>
      </c>
      <c r="AB37" s="4">
        <v>12.18</v>
      </c>
      <c r="AC37" s="4">
        <v>46.52</v>
      </c>
      <c r="AD37" s="4">
        <v>183.29</v>
      </c>
      <c r="AF37" s="4">
        <v>1.4299034795042898</v>
      </c>
      <c r="AG37" s="4">
        <v>0.92189849624060149</v>
      </c>
      <c r="AH37" s="4">
        <v>2.0437894972316983</v>
      </c>
      <c r="AI37" s="4">
        <v>1.0091135045567523</v>
      </c>
      <c r="AJ37" s="4">
        <v>1.4460677649984457</v>
      </c>
      <c r="AK37" s="4">
        <v>1.3726503407473976</v>
      </c>
      <c r="AM37" s="562">
        <v>45885</v>
      </c>
      <c r="AN37" s="563">
        <v>506.64</v>
      </c>
      <c r="AO37" s="563">
        <v>958605</v>
      </c>
      <c r="AP37" s="563">
        <v>270.82704999999999</v>
      </c>
      <c r="AQ37" s="563">
        <v>137211.816612</v>
      </c>
      <c r="AR37" s="563">
        <v>3.0954000000000002</v>
      </c>
    </row>
    <row r="38" spans="2:44" x14ac:dyDescent="0.25">
      <c r="B38" s="564">
        <v>45687</v>
      </c>
      <c r="C38" s="560">
        <v>10.103999999999999</v>
      </c>
      <c r="D38" s="560">
        <v>49.760899999999999</v>
      </c>
      <c r="E38" s="560">
        <v>12.0518</v>
      </c>
      <c r="F38" s="560">
        <v>4.1101999999999999</v>
      </c>
      <c r="G38" s="560">
        <v>9.2064000000000004</v>
      </c>
      <c r="H38" s="560">
        <v>10.0479</v>
      </c>
      <c r="I38" s="564">
        <v>45687</v>
      </c>
      <c r="J38" s="560">
        <v>21.1812</v>
      </c>
      <c r="K38" s="560">
        <v>14.71</v>
      </c>
      <c r="L38" s="560">
        <v>16.832899999999999</v>
      </c>
      <c r="M38" s="560">
        <v>12.0528</v>
      </c>
      <c r="N38" s="560">
        <v>8.4376999999999995</v>
      </c>
      <c r="O38" s="560">
        <v>19.7044</v>
      </c>
      <c r="P38" s="560"/>
      <c r="Q38" s="564">
        <v>45687</v>
      </c>
      <c r="R38" s="4">
        <v>463.15</v>
      </c>
      <c r="S38" s="4">
        <v>21566.51</v>
      </c>
      <c r="T38" s="4">
        <v>1172.7</v>
      </c>
      <c r="U38" s="4">
        <v>1.3797366539561486</v>
      </c>
      <c r="V38" s="4">
        <v>1.9133240180096256</v>
      </c>
      <c r="W38" s="4" t="e">
        <v>#DIV/0!</v>
      </c>
      <c r="Y38" s="560">
        <v>463.15</v>
      </c>
      <c r="Z38" s="4">
        <v>106.38</v>
      </c>
      <c r="AA38" s="4">
        <v>374.98</v>
      </c>
      <c r="AB38" s="4">
        <v>13.23</v>
      </c>
      <c r="AC38" s="4">
        <v>48.97</v>
      </c>
      <c r="AD38" s="4">
        <v>188.57</v>
      </c>
      <c r="AF38" s="4">
        <v>1.3797366539561486</v>
      </c>
      <c r="AG38" s="4">
        <v>0.99981203007518782</v>
      </c>
      <c r="AH38" s="4">
        <v>2.0970862927129357</v>
      </c>
      <c r="AI38" s="4">
        <v>1.096106048053024</v>
      </c>
      <c r="AJ38" s="4">
        <v>1.5222256760957413</v>
      </c>
      <c r="AK38" s="4">
        <v>1.4121920167752564</v>
      </c>
      <c r="AM38" s="562">
        <v>45884</v>
      </c>
      <c r="AN38" s="563">
        <v>509.64</v>
      </c>
      <c r="AO38" s="563">
        <v>966739</v>
      </c>
      <c r="AP38" s="563">
        <v>270.82704999999999</v>
      </c>
      <c r="AQ38" s="563">
        <v>138024.297762</v>
      </c>
      <c r="AR38" s="563">
        <v>3.1137000000000001</v>
      </c>
    </row>
    <row r="39" spans="2:44" x14ac:dyDescent="0.25">
      <c r="B39" s="564">
        <v>45680</v>
      </c>
      <c r="C39" s="560">
        <v>8.9396000000000004</v>
      </c>
      <c r="D39" s="560">
        <v>49.309699999999999</v>
      </c>
      <c r="E39" s="560">
        <v>13.0482</v>
      </c>
      <c r="F39" s="560">
        <v>3.9983</v>
      </c>
      <c r="G39" s="560">
        <v>9.1988000000000003</v>
      </c>
      <c r="H39" s="560">
        <v>9.8208000000000002</v>
      </c>
      <c r="I39" s="564">
        <v>45680</v>
      </c>
      <c r="J39" s="560">
        <v>18.404299999999999</v>
      </c>
      <c r="K39" s="560">
        <v>14.5344</v>
      </c>
      <c r="L39" s="560">
        <v>18.243400000000001</v>
      </c>
      <c r="M39" s="560">
        <v>11.6884</v>
      </c>
      <c r="N39" s="560">
        <v>8.4255999999999993</v>
      </c>
      <c r="O39" s="560">
        <v>19.250800000000002</v>
      </c>
      <c r="P39" s="560"/>
      <c r="Q39" s="564">
        <v>45680</v>
      </c>
      <c r="R39" s="4">
        <v>432.31</v>
      </c>
      <c r="S39" s="4">
        <v>20757.41</v>
      </c>
      <c r="T39" s="4">
        <v>1172.7</v>
      </c>
      <c r="U39" s="4">
        <v>1.2878634413727359</v>
      </c>
      <c r="V39" s="4">
        <v>1.8415427950406991</v>
      </c>
      <c r="W39" s="4" t="e">
        <v>#DIV/0!</v>
      </c>
      <c r="Y39" s="560">
        <v>432.31</v>
      </c>
      <c r="Z39" s="4">
        <v>105.11</v>
      </c>
      <c r="AA39" s="4">
        <v>406.4</v>
      </c>
      <c r="AB39" s="4">
        <v>12.83</v>
      </c>
      <c r="AC39" s="4">
        <v>48.9</v>
      </c>
      <c r="AD39" s="4">
        <v>184.23</v>
      </c>
      <c r="AF39" s="4">
        <v>1.2878634413727359</v>
      </c>
      <c r="AG39" s="4">
        <v>0.98787593984962396</v>
      </c>
      <c r="AH39" s="4">
        <v>2.2728035344779371</v>
      </c>
      <c r="AI39" s="4">
        <v>1.0629660314830158</v>
      </c>
      <c r="AJ39" s="4">
        <v>1.5200497357786757</v>
      </c>
      <c r="AK39" s="4">
        <v>1.3796899573129633</v>
      </c>
      <c r="AM39" s="562">
        <v>45883</v>
      </c>
      <c r="AN39" s="563">
        <v>508.58</v>
      </c>
      <c r="AO39" s="563">
        <v>1027932</v>
      </c>
      <c r="AP39" s="563">
        <v>270.82704999999999</v>
      </c>
      <c r="AQ39" s="563">
        <v>137737.221089</v>
      </c>
      <c r="AR39" s="563">
        <v>3.1072000000000002</v>
      </c>
    </row>
    <row r="40" spans="2:44" x14ac:dyDescent="0.25">
      <c r="B40" s="564">
        <v>45673</v>
      </c>
      <c r="C40" s="560">
        <v>8.2786000000000008</v>
      </c>
      <c r="D40" s="560">
        <v>47.494199999999999</v>
      </c>
      <c r="E40" s="560">
        <v>12.2285</v>
      </c>
      <c r="F40" s="560">
        <v>3.7801</v>
      </c>
      <c r="G40" s="560">
        <v>9.0395000000000003</v>
      </c>
      <c r="H40" s="560">
        <v>9.6715999999999998</v>
      </c>
      <c r="I40" s="564">
        <v>45673</v>
      </c>
      <c r="J40" s="560">
        <v>17.023700000000002</v>
      </c>
      <c r="K40" s="560">
        <v>13.8278</v>
      </c>
      <c r="L40" s="560">
        <v>17.082999999999998</v>
      </c>
      <c r="M40" s="560">
        <v>10.9778</v>
      </c>
      <c r="N40" s="560">
        <v>8.1758000000000006</v>
      </c>
      <c r="O40" s="560">
        <v>18.952999999999999</v>
      </c>
      <c r="P40" s="560"/>
      <c r="Q40" s="564">
        <v>45673</v>
      </c>
      <c r="R40" s="4">
        <v>413.27</v>
      </c>
      <c r="S40" s="4">
        <v>21173.040000000001</v>
      </c>
      <c r="T40" s="4">
        <v>1172.7</v>
      </c>
      <c r="U40" s="4">
        <v>1.2311427550047664</v>
      </c>
      <c r="V40" s="4">
        <v>1.8784163949697252</v>
      </c>
      <c r="W40" s="4" t="e">
        <v>#DIV/0!</v>
      </c>
      <c r="Y40" s="560">
        <v>413.27</v>
      </c>
      <c r="Z40" s="4">
        <v>100</v>
      </c>
      <c r="AA40" s="4">
        <v>380.55</v>
      </c>
      <c r="AB40" s="4">
        <v>12.05</v>
      </c>
      <c r="AC40" s="4">
        <v>47.45</v>
      </c>
      <c r="AD40" s="4">
        <v>181.38</v>
      </c>
      <c r="AF40" s="4">
        <v>1.2311427550047664</v>
      </c>
      <c r="AG40" s="4">
        <v>0.93984962406015038</v>
      </c>
      <c r="AH40" s="4">
        <v>2.1282366758011295</v>
      </c>
      <c r="AI40" s="4">
        <v>0.9983429991714996</v>
      </c>
      <c r="AJ40" s="4">
        <v>1.4749766863537457</v>
      </c>
      <c r="AK40" s="4">
        <v>1.3583464390024713</v>
      </c>
      <c r="AM40" s="562">
        <v>45882</v>
      </c>
      <c r="AN40" s="563">
        <v>510.56</v>
      </c>
      <c r="AO40" s="563">
        <v>1087633</v>
      </c>
      <c r="AP40" s="563">
        <v>270.82704999999999</v>
      </c>
      <c r="AQ40" s="563">
        <v>138273.458648</v>
      </c>
      <c r="AR40" s="563">
        <v>3.1193</v>
      </c>
    </row>
    <row r="41" spans="2:44" x14ac:dyDescent="0.25">
      <c r="B41" s="564">
        <v>45666</v>
      </c>
      <c r="C41" s="560">
        <v>7.7115999999999998</v>
      </c>
      <c r="D41" s="560">
        <v>44.243299999999998</v>
      </c>
      <c r="E41" s="560">
        <v>11.291399999999999</v>
      </c>
      <c r="F41" s="560">
        <v>3.5758999999999999</v>
      </c>
      <c r="G41" s="560">
        <v>8.6597000000000008</v>
      </c>
      <c r="H41" s="560">
        <v>9.2279</v>
      </c>
      <c r="I41" s="564">
        <v>45666</v>
      </c>
      <c r="J41" s="560">
        <v>15.839700000000001</v>
      </c>
      <c r="K41" s="560">
        <v>12.5625</v>
      </c>
      <c r="L41" s="560">
        <v>15.756399999999999</v>
      </c>
      <c r="M41" s="560">
        <v>10.3127</v>
      </c>
      <c r="N41" s="560">
        <v>7.5796000000000001</v>
      </c>
      <c r="O41" s="560">
        <v>18.0669</v>
      </c>
      <c r="P41" s="560"/>
      <c r="Q41" s="564">
        <v>45666</v>
      </c>
      <c r="R41" s="4">
        <v>423.7</v>
      </c>
      <c r="S41" s="4">
        <v>21012.17</v>
      </c>
      <c r="T41" s="4">
        <v>1172.7</v>
      </c>
      <c r="U41" s="4">
        <v>1.2622140133460438</v>
      </c>
      <c r="V41" s="4">
        <v>1.8641444318761504</v>
      </c>
      <c r="W41" s="4" t="e">
        <v>#DIV/0!</v>
      </c>
      <c r="Y41" s="560">
        <v>423.7</v>
      </c>
      <c r="Z41" s="4">
        <v>91.31</v>
      </c>
      <c r="AA41" s="4">
        <v>359.77</v>
      </c>
      <c r="AB41" s="4">
        <v>11.09</v>
      </c>
      <c r="AC41" s="4">
        <v>44.52</v>
      </c>
      <c r="AD41" s="4">
        <v>180.17</v>
      </c>
      <c r="AF41" s="4">
        <v>1.2622140133460438</v>
      </c>
      <c r="AG41" s="4">
        <v>0.85817669172932332</v>
      </c>
      <c r="AH41" s="4">
        <v>2.0120239360214751</v>
      </c>
      <c r="AI41" s="4">
        <v>0.91880695940347967</v>
      </c>
      <c r="AJ41" s="4">
        <v>1.3838980416537148</v>
      </c>
      <c r="AK41" s="4">
        <v>1.3492848049127535</v>
      </c>
      <c r="AM41" s="562">
        <v>45881</v>
      </c>
      <c r="AN41" s="563">
        <v>500.98</v>
      </c>
      <c r="AO41" s="563">
        <v>1623338</v>
      </c>
      <c r="AP41" s="563">
        <v>270.82704999999999</v>
      </c>
      <c r="AQ41" s="563">
        <v>135678.935509</v>
      </c>
      <c r="AR41" s="563">
        <v>3.0608</v>
      </c>
    </row>
    <row r="42" spans="2:44" x14ac:dyDescent="0.25">
      <c r="B42" s="564">
        <v>45659</v>
      </c>
      <c r="C42" s="560">
        <v>7.8678999999999997</v>
      </c>
      <c r="D42" s="560">
        <v>44.406799999999997</v>
      </c>
      <c r="E42" s="560">
        <v>11.5695</v>
      </c>
      <c r="F42" s="560">
        <v>3.5116000000000001</v>
      </c>
      <c r="G42" s="560">
        <v>8.7178000000000004</v>
      </c>
      <c r="H42" s="560">
        <v>9.6082999999999998</v>
      </c>
      <c r="I42" s="564">
        <v>45659</v>
      </c>
      <c r="J42" s="560">
        <v>16.212299999999999</v>
      </c>
      <c r="K42" s="560">
        <v>12.626099999999999</v>
      </c>
      <c r="L42" s="560">
        <v>16.150099999999998</v>
      </c>
      <c r="M42" s="560">
        <v>10.103199999999999</v>
      </c>
      <c r="N42" s="560">
        <v>7.6708999999999996</v>
      </c>
      <c r="O42" s="560">
        <v>18.826599999999999</v>
      </c>
      <c r="P42" s="560"/>
      <c r="Q42" s="564">
        <v>45659</v>
      </c>
      <c r="R42" s="4">
        <v>432.84</v>
      </c>
      <c r="S42" s="4">
        <v>21797.65</v>
      </c>
      <c r="T42" s="4">
        <v>1147.3</v>
      </c>
      <c r="U42" s="4">
        <v>1.2894423260247854</v>
      </c>
      <c r="V42" s="4">
        <v>1.9338301505977333</v>
      </c>
      <c r="W42" s="4" t="e">
        <v>#DIV/0!</v>
      </c>
      <c r="Y42" s="560">
        <v>432.84</v>
      </c>
      <c r="Z42" s="4">
        <v>91.31</v>
      </c>
      <c r="AA42" s="4">
        <v>359.77</v>
      </c>
      <c r="AB42" s="4">
        <v>11.09</v>
      </c>
      <c r="AC42" s="4">
        <v>44.52</v>
      </c>
      <c r="AD42" s="4">
        <v>180.17</v>
      </c>
      <c r="AF42" s="4">
        <v>1.2894423260247854</v>
      </c>
      <c r="AG42" s="4">
        <v>0.85817669172932332</v>
      </c>
      <c r="AH42" s="4">
        <v>2.0120239360214751</v>
      </c>
      <c r="AI42" s="4">
        <v>0.91880695940347967</v>
      </c>
      <c r="AJ42" s="4">
        <v>1.3838980416537148</v>
      </c>
      <c r="AK42" s="4">
        <v>1.3492848049127535</v>
      </c>
      <c r="AM42" s="562">
        <v>45880</v>
      </c>
      <c r="AN42" s="563">
        <v>500.98</v>
      </c>
      <c r="AO42" s="563">
        <v>1623338</v>
      </c>
      <c r="AP42" s="563">
        <v>270.82704999999999</v>
      </c>
      <c r="AQ42" s="563">
        <v>135678.935509</v>
      </c>
      <c r="AR42" s="563">
        <v>3.0608</v>
      </c>
    </row>
    <row r="43" spans="2:44" x14ac:dyDescent="0.25">
      <c r="B43" s="564">
        <v>45652</v>
      </c>
      <c r="C43" s="560">
        <v>8.1577999999999999</v>
      </c>
      <c r="D43" s="560">
        <v>13.0365</v>
      </c>
      <c r="E43" s="560">
        <v>11.7521</v>
      </c>
      <c r="F43" s="560">
        <v>3.5528</v>
      </c>
      <c r="G43" s="560">
        <v>5.1063000000000001</v>
      </c>
      <c r="H43" s="560">
        <v>9.9415999999999993</v>
      </c>
      <c r="I43" s="564">
        <v>45652</v>
      </c>
      <c r="J43" s="560">
        <v>16.819400000000002</v>
      </c>
      <c r="K43" s="560">
        <v>10.1243</v>
      </c>
      <c r="L43" s="560">
        <v>16.4131</v>
      </c>
      <c r="M43" s="560">
        <v>8.4728999999999992</v>
      </c>
      <c r="N43" s="560">
        <v>6.6268000000000002</v>
      </c>
      <c r="O43" s="560">
        <v>19.077100000000002</v>
      </c>
      <c r="P43" s="560"/>
      <c r="Q43" s="564">
        <v>45652</v>
      </c>
      <c r="R43" s="4">
        <v>443.59</v>
      </c>
      <c r="S43" s="4">
        <v>22001.08</v>
      </c>
      <c r="T43" s="4">
        <v>1147.3</v>
      </c>
      <c r="U43" s="4">
        <v>1.3214668732125834</v>
      </c>
      <c r="V43" s="4">
        <v>1.9518779249007476</v>
      </c>
      <c r="W43" s="4" t="e">
        <v>#DIV/0!</v>
      </c>
      <c r="Y43" s="560">
        <v>443.59</v>
      </c>
      <c r="Z43" s="4">
        <v>93.63</v>
      </c>
      <c r="AA43" s="4">
        <v>367.12</v>
      </c>
      <c r="AB43" s="4">
        <v>11.27</v>
      </c>
      <c r="AC43" s="4">
        <v>45.8</v>
      </c>
      <c r="AD43" s="4">
        <v>188.29</v>
      </c>
      <c r="AF43" s="4">
        <v>1.3214668732125834</v>
      </c>
      <c r="AG43" s="4">
        <v>0.8799812030075187</v>
      </c>
      <c r="AH43" s="4">
        <v>2.0531290196297745</v>
      </c>
      <c r="AI43" s="4">
        <v>0.93371996685998337</v>
      </c>
      <c r="AJ43" s="4">
        <v>1.4236866645943425</v>
      </c>
      <c r="AK43" s="4">
        <v>1.4100951097131731</v>
      </c>
      <c r="AM43" s="562">
        <v>45879</v>
      </c>
      <c r="AN43" s="563">
        <v>500.98</v>
      </c>
      <c r="AO43" s="563">
        <v>1623338</v>
      </c>
      <c r="AP43" s="563">
        <v>270.82704999999999</v>
      </c>
      <c r="AQ43" s="563">
        <v>135678.935509</v>
      </c>
      <c r="AR43" s="563">
        <v>3.0608</v>
      </c>
    </row>
    <row r="44" spans="2:44" x14ac:dyDescent="0.25">
      <c r="B44" s="564">
        <v>45645</v>
      </c>
      <c r="C44" s="560">
        <v>8.0243000000000002</v>
      </c>
      <c r="D44" s="560">
        <v>12.769</v>
      </c>
      <c r="E44" s="560">
        <v>11.540800000000001</v>
      </c>
      <c r="F44" s="560">
        <v>3.4834000000000001</v>
      </c>
      <c r="G44" s="560">
        <v>5.0449000000000002</v>
      </c>
      <c r="H44" s="560">
        <v>10.255599999999999</v>
      </c>
      <c r="I44" s="564">
        <v>45645</v>
      </c>
      <c r="J44" s="560">
        <v>16.539899999999999</v>
      </c>
      <c r="K44" s="560">
        <v>9.7911999999999999</v>
      </c>
      <c r="L44" s="560">
        <v>16.1113</v>
      </c>
      <c r="M44" s="560">
        <v>8.2698999999999998</v>
      </c>
      <c r="N44" s="560">
        <v>6.54</v>
      </c>
      <c r="O44" s="560">
        <v>19.7073</v>
      </c>
      <c r="P44" s="560"/>
      <c r="Q44" s="564">
        <v>45645</v>
      </c>
      <c r="R44" s="4">
        <v>443.96</v>
      </c>
      <c r="S44" s="4">
        <v>21368.18</v>
      </c>
      <c r="T44" s="4">
        <v>1147.3</v>
      </c>
      <c r="U44" s="4">
        <v>1.3225691134413726</v>
      </c>
      <c r="V44" s="4">
        <v>1.8957287022866902</v>
      </c>
      <c r="W44" s="4" t="e">
        <v>#DIV/0!</v>
      </c>
      <c r="Y44" s="560">
        <v>443.96</v>
      </c>
      <c r="Z44" s="4">
        <v>90.55</v>
      </c>
      <c r="AA44" s="4">
        <v>360.37</v>
      </c>
      <c r="AB44" s="4">
        <v>11</v>
      </c>
      <c r="AC44" s="4">
        <v>45.2</v>
      </c>
      <c r="AD44" s="4">
        <v>194.51</v>
      </c>
      <c r="AF44" s="4">
        <v>1.3225691134413726</v>
      </c>
      <c r="AG44" s="4">
        <v>0.85103383458646609</v>
      </c>
      <c r="AH44" s="4">
        <v>2.0153794530507243</v>
      </c>
      <c r="AI44" s="4">
        <v>0.91135045567522777</v>
      </c>
      <c r="AJ44" s="4">
        <v>1.4050357475909232</v>
      </c>
      <c r="AK44" s="4">
        <v>1.4566764023065977</v>
      </c>
      <c r="AM44" s="562">
        <v>45878</v>
      </c>
      <c r="AN44" s="563">
        <v>524.37</v>
      </c>
      <c r="AO44" s="563">
        <v>1549335</v>
      </c>
      <c r="AP44" s="563">
        <v>270.82704999999999</v>
      </c>
      <c r="AQ44" s="563">
        <v>142013.5802085</v>
      </c>
      <c r="AR44" s="563">
        <v>3.2037</v>
      </c>
    </row>
    <row r="45" spans="2:44" x14ac:dyDescent="0.25">
      <c r="B45" s="564">
        <v>45638</v>
      </c>
      <c r="C45" s="560">
        <v>8.2622</v>
      </c>
      <c r="D45" s="560">
        <v>13.309200000000001</v>
      </c>
      <c r="E45" s="560">
        <v>12.1797</v>
      </c>
      <c r="F45" s="560">
        <v>3.6762999999999999</v>
      </c>
      <c r="G45" s="560">
        <v>5.6013000000000002</v>
      </c>
      <c r="H45" s="560">
        <v>10.196999999999999</v>
      </c>
      <c r="I45" s="564">
        <v>45638</v>
      </c>
      <c r="J45" s="560">
        <v>17.0381</v>
      </c>
      <c r="K45" s="560">
        <v>10.463800000000001</v>
      </c>
      <c r="L45" s="560">
        <v>17.023800000000001</v>
      </c>
      <c r="M45" s="560">
        <v>8.8338000000000001</v>
      </c>
      <c r="N45" s="560">
        <v>7.3270999999999997</v>
      </c>
      <c r="O45" s="560">
        <v>19.589700000000001</v>
      </c>
      <c r="P45" s="560"/>
      <c r="Q45" s="564">
        <v>45638</v>
      </c>
      <c r="R45" s="4">
        <v>459.25</v>
      </c>
      <c r="S45" s="4">
        <v>21229.32</v>
      </c>
      <c r="T45" s="4">
        <v>1147.3</v>
      </c>
      <c r="U45" s="4">
        <v>1.3681184461391802</v>
      </c>
      <c r="V45" s="4">
        <v>1.8834094084769446</v>
      </c>
      <c r="W45" s="4" t="e">
        <v>#DIV/0!</v>
      </c>
      <c r="Y45" s="560">
        <v>459.25</v>
      </c>
      <c r="Z45" s="4">
        <v>96.77</v>
      </c>
      <c r="AA45" s="4">
        <v>380.78</v>
      </c>
      <c r="AB45" s="4">
        <v>11.75</v>
      </c>
      <c r="AC45" s="4">
        <v>50.64</v>
      </c>
      <c r="AD45" s="4">
        <v>193.35</v>
      </c>
      <c r="AF45" s="4">
        <v>1.3681184461391802</v>
      </c>
      <c r="AG45" s="4">
        <v>0.90949248120300741</v>
      </c>
      <c r="AH45" s="4">
        <v>2.1295229573290082</v>
      </c>
      <c r="AI45" s="4">
        <v>0.97348798674399339</v>
      </c>
      <c r="AJ45" s="4">
        <v>1.5741373950885917</v>
      </c>
      <c r="AK45" s="4">
        <v>1.4479892159065377</v>
      </c>
      <c r="AM45" s="562">
        <v>45877</v>
      </c>
      <c r="AN45" s="563">
        <v>507.87</v>
      </c>
      <c r="AO45" s="563">
        <v>1121302</v>
      </c>
      <c r="AP45" s="563">
        <v>270.82704999999999</v>
      </c>
      <c r="AQ45" s="563">
        <v>137544.93388349999</v>
      </c>
      <c r="AR45" s="563">
        <v>3.1029</v>
      </c>
    </row>
    <row r="46" spans="2:44" x14ac:dyDescent="0.25">
      <c r="B46" s="564">
        <v>45631</v>
      </c>
      <c r="C46" s="560">
        <v>8.484</v>
      </c>
      <c r="D46" s="560">
        <v>13.3691</v>
      </c>
      <c r="E46" s="560">
        <v>12.6241</v>
      </c>
      <c r="F46" s="560">
        <v>3.7250999999999999</v>
      </c>
      <c r="G46" s="560">
        <v>5.8579999999999997</v>
      </c>
      <c r="H46" s="560">
        <v>10.3171</v>
      </c>
      <c r="I46" s="564">
        <v>45631</v>
      </c>
      <c r="J46" s="560">
        <v>17.373100000000001</v>
      </c>
      <c r="K46" s="560">
        <v>10.538399999999999</v>
      </c>
      <c r="L46" s="560">
        <v>17.6587</v>
      </c>
      <c r="M46" s="560">
        <v>8.9765999999999995</v>
      </c>
      <c r="N46" s="560">
        <v>7.6901999999999999</v>
      </c>
      <c r="O46" s="560">
        <v>19.8309</v>
      </c>
      <c r="P46" s="560"/>
      <c r="Q46" s="564">
        <v>45631</v>
      </c>
      <c r="R46" s="4">
        <v>461.04</v>
      </c>
      <c r="S46" s="4">
        <v>20922.900000000001</v>
      </c>
      <c r="T46" s="4">
        <v>1147.3</v>
      </c>
      <c r="U46" s="4">
        <v>1.3734509056244042</v>
      </c>
      <c r="V46" s="4">
        <v>1.8562246323774039</v>
      </c>
      <c r="W46" s="4" t="e">
        <v>#DIV/0!</v>
      </c>
      <c r="Y46" s="560">
        <v>461.04</v>
      </c>
      <c r="Z46" s="4">
        <v>97.46</v>
      </c>
      <c r="AA46" s="4">
        <v>394.98</v>
      </c>
      <c r="AB46" s="4">
        <v>11.94</v>
      </c>
      <c r="AC46" s="4">
        <v>53.15</v>
      </c>
      <c r="AD46" s="4">
        <v>195.73</v>
      </c>
      <c r="AF46" s="4">
        <v>1.3734509056244042</v>
      </c>
      <c r="AG46" s="4">
        <v>0.91597744360902245</v>
      </c>
      <c r="AH46" s="4">
        <v>2.2089368603545663</v>
      </c>
      <c r="AI46" s="4">
        <v>0.9892294946147473</v>
      </c>
      <c r="AJ46" s="4">
        <v>1.6521603978862294</v>
      </c>
      <c r="AK46" s="4">
        <v>1.4658129259342469</v>
      </c>
      <c r="AM46" s="562">
        <v>45876</v>
      </c>
      <c r="AN46" s="563">
        <v>512.5</v>
      </c>
      <c r="AO46" s="563">
        <v>1139276</v>
      </c>
      <c r="AP46" s="563">
        <v>270.82704999999999</v>
      </c>
      <c r="AQ46" s="563">
        <v>138798.863125</v>
      </c>
      <c r="AR46" s="563">
        <v>3.1312000000000002</v>
      </c>
    </row>
    <row r="47" spans="2:44" x14ac:dyDescent="0.25">
      <c r="B47" s="564">
        <v>45624</v>
      </c>
      <c r="C47" s="560">
        <v>8.8155999999999999</v>
      </c>
      <c r="D47" s="560">
        <v>13.694800000000001</v>
      </c>
      <c r="E47" s="560">
        <v>12.9725</v>
      </c>
      <c r="F47" s="560">
        <v>3.8845000000000001</v>
      </c>
      <c r="G47" s="560">
        <v>6.0256999999999996</v>
      </c>
      <c r="H47" s="560">
        <v>10.530200000000001</v>
      </c>
      <c r="I47" s="564">
        <v>45624</v>
      </c>
      <c r="J47" s="560">
        <v>18.0624</v>
      </c>
      <c r="K47" s="560">
        <v>10.943899999999999</v>
      </c>
      <c r="L47" s="560">
        <v>18.156300000000002</v>
      </c>
      <c r="M47" s="560">
        <v>9.4427000000000003</v>
      </c>
      <c r="N47" s="560">
        <v>7.9275000000000002</v>
      </c>
      <c r="O47" s="560">
        <v>20.258400000000002</v>
      </c>
      <c r="P47" s="560"/>
      <c r="Q47" s="564">
        <v>45624</v>
      </c>
      <c r="R47" s="4">
        <v>400.09</v>
      </c>
      <c r="S47" s="4">
        <v>20684.59</v>
      </c>
      <c r="T47" s="4">
        <v>1147.3</v>
      </c>
      <c r="U47" s="4">
        <v>1.1918791706387035</v>
      </c>
      <c r="V47" s="4">
        <v>1.8350823962561271</v>
      </c>
      <c r="W47" s="4" t="e">
        <v>#DIV/0!</v>
      </c>
      <c r="Y47" s="560">
        <v>400.09</v>
      </c>
      <c r="Z47" s="4">
        <v>97.45</v>
      </c>
      <c r="AA47" s="4">
        <v>389.59</v>
      </c>
      <c r="AB47" s="4">
        <v>11.92</v>
      </c>
      <c r="AC47" s="4">
        <v>52.89</v>
      </c>
      <c r="AD47" s="4">
        <v>196.36</v>
      </c>
      <c r="AF47" s="4">
        <v>1.1918791706387035</v>
      </c>
      <c r="AG47" s="4">
        <v>0.91588345864661647</v>
      </c>
      <c r="AH47" s="4">
        <v>2.1787931323751466</v>
      </c>
      <c r="AI47" s="4">
        <v>0.9875724937862469</v>
      </c>
      <c r="AJ47" s="4">
        <v>1.6440783338514142</v>
      </c>
      <c r="AK47" s="4">
        <v>1.4705309668239348</v>
      </c>
      <c r="AM47" s="562">
        <v>45875</v>
      </c>
      <c r="AN47" s="563">
        <v>510.55</v>
      </c>
      <c r="AO47" s="563">
        <v>824665</v>
      </c>
      <c r="AP47" s="563">
        <v>270.82704999999999</v>
      </c>
      <c r="AQ47" s="563">
        <v>138270.75037749999</v>
      </c>
      <c r="AR47" s="563">
        <v>3.1193</v>
      </c>
    </row>
    <row r="48" spans="2:44" x14ac:dyDescent="0.25">
      <c r="B48" s="564">
        <v>45617</v>
      </c>
      <c r="C48" s="560">
        <v>8.2866999999999997</v>
      </c>
      <c r="D48" s="560">
        <v>13.3682</v>
      </c>
      <c r="E48" s="560">
        <v>12.455399999999999</v>
      </c>
      <c r="F48" s="560">
        <v>3.72</v>
      </c>
      <c r="G48" s="560">
        <v>5.8314000000000004</v>
      </c>
      <c r="H48" s="560">
        <v>10.3489</v>
      </c>
      <c r="I48" s="564">
        <v>45617</v>
      </c>
      <c r="J48" s="560">
        <v>16.962900000000001</v>
      </c>
      <c r="K48" s="560">
        <v>10.5373</v>
      </c>
      <c r="L48" s="560">
        <v>17.4177</v>
      </c>
      <c r="M48" s="560">
        <v>8.9616000000000007</v>
      </c>
      <c r="N48" s="560">
        <v>7.6525999999999996</v>
      </c>
      <c r="O48" s="560">
        <v>19.8947</v>
      </c>
      <c r="P48" s="560"/>
      <c r="Q48" s="564">
        <v>45617</v>
      </c>
      <c r="R48" s="4">
        <v>393.75</v>
      </c>
      <c r="S48" s="4">
        <v>21070.79</v>
      </c>
      <c r="T48" s="4">
        <v>1147.3</v>
      </c>
      <c r="U48" s="4">
        <v>1.1729921353670161</v>
      </c>
      <c r="V48" s="4">
        <v>1.8693450440259942</v>
      </c>
      <c r="W48" s="4" t="e">
        <v>#DIV/0!</v>
      </c>
      <c r="Y48" s="560">
        <v>393.75</v>
      </c>
      <c r="Z48" s="4">
        <v>97.45</v>
      </c>
      <c r="AA48" s="4">
        <v>389.59</v>
      </c>
      <c r="AB48" s="4">
        <v>11.92</v>
      </c>
      <c r="AC48" s="4">
        <v>52.89</v>
      </c>
      <c r="AD48" s="4">
        <v>196.36</v>
      </c>
      <c r="AF48" s="4">
        <v>1.1729921353670161</v>
      </c>
      <c r="AG48" s="4">
        <v>0.91588345864661647</v>
      </c>
      <c r="AH48" s="4">
        <v>2.1787931323751466</v>
      </c>
      <c r="AI48" s="4">
        <v>0.9875724937862469</v>
      </c>
      <c r="AJ48" s="4">
        <v>1.6440783338514142</v>
      </c>
      <c r="AK48" s="4">
        <v>1.4705309668239348</v>
      </c>
      <c r="AM48" s="562">
        <v>45874</v>
      </c>
      <c r="AN48" s="563">
        <v>517.38</v>
      </c>
      <c r="AO48" s="563">
        <v>858451</v>
      </c>
      <c r="AP48" s="563">
        <v>270.82704999999999</v>
      </c>
      <c r="AQ48" s="563">
        <v>140120.499129</v>
      </c>
      <c r="AR48" s="563">
        <v>3.0945</v>
      </c>
    </row>
    <row r="49" spans="2:44" x14ac:dyDescent="0.25">
      <c r="B49" s="564">
        <v>45610</v>
      </c>
      <c r="C49" s="560">
        <v>7.4866000000000001</v>
      </c>
      <c r="D49" s="560">
        <v>12.922700000000001</v>
      </c>
      <c r="E49" s="560">
        <v>12.3856</v>
      </c>
      <c r="F49" s="560">
        <v>3.3959999999999999</v>
      </c>
      <c r="G49" s="560">
        <v>5.7986000000000004</v>
      </c>
      <c r="H49" s="560">
        <v>10.1798</v>
      </c>
      <c r="I49" s="564">
        <v>45610</v>
      </c>
      <c r="J49" s="560">
        <v>15.2997</v>
      </c>
      <c r="K49" s="560">
        <v>9.9825999999999997</v>
      </c>
      <c r="L49" s="560">
        <v>17.318000000000001</v>
      </c>
      <c r="M49" s="560">
        <v>8.0143000000000004</v>
      </c>
      <c r="N49" s="560">
        <v>7.6063000000000001</v>
      </c>
      <c r="O49" s="560">
        <v>19.555299999999999</v>
      </c>
      <c r="P49" s="560"/>
      <c r="Q49" s="564">
        <v>45610</v>
      </c>
      <c r="R49" s="4">
        <v>400.37</v>
      </c>
      <c r="S49" s="4">
        <v>20227.46</v>
      </c>
      <c r="T49" s="4">
        <v>1147.3</v>
      </c>
      <c r="U49" s="4">
        <v>1.1927132983794089</v>
      </c>
      <c r="V49" s="4">
        <v>1.7945270255284227</v>
      </c>
      <c r="W49" s="4" t="e">
        <v>#DIV/0!</v>
      </c>
      <c r="Y49" s="560">
        <v>400.37</v>
      </c>
      <c r="Z49" s="4">
        <v>92.32</v>
      </c>
      <c r="AA49" s="4">
        <v>387.36</v>
      </c>
      <c r="AB49" s="4">
        <v>10.66</v>
      </c>
      <c r="AC49" s="4">
        <v>52.57</v>
      </c>
      <c r="AD49" s="4">
        <v>193.01</v>
      </c>
      <c r="AF49" s="4">
        <v>1.1927132983794089</v>
      </c>
      <c r="AG49" s="4">
        <v>0.8676691729323307</v>
      </c>
      <c r="AH49" s="4">
        <v>2.166321794083105</v>
      </c>
      <c r="AI49" s="4">
        <v>0.88318144159072076</v>
      </c>
      <c r="AJ49" s="4">
        <v>1.6341311781162573</v>
      </c>
      <c r="AK49" s="4">
        <v>1.4454429716168651</v>
      </c>
      <c r="AM49" s="562">
        <v>45873</v>
      </c>
      <c r="AN49" s="563">
        <v>517.38</v>
      </c>
      <c r="AO49" s="563">
        <v>858451</v>
      </c>
      <c r="AP49" s="563">
        <v>270.82704999999999</v>
      </c>
      <c r="AQ49" s="563">
        <v>140120.499129</v>
      </c>
      <c r="AR49" s="563">
        <v>3.0945</v>
      </c>
    </row>
    <row r="50" spans="2:44" x14ac:dyDescent="0.25">
      <c r="B50" s="564">
        <v>45603</v>
      </c>
      <c r="C50" s="560">
        <v>7.7946999999999997</v>
      </c>
      <c r="D50" s="560">
        <v>13.079000000000001</v>
      </c>
      <c r="E50" s="560">
        <v>13.0382</v>
      </c>
      <c r="F50" s="560">
        <v>3.6568999999999998</v>
      </c>
      <c r="G50" s="560">
        <v>6.1841999999999997</v>
      </c>
      <c r="H50" s="560">
        <v>10.403</v>
      </c>
      <c r="I50" s="564">
        <v>45603</v>
      </c>
      <c r="J50" s="560">
        <v>15.940200000000001</v>
      </c>
      <c r="K50" s="560">
        <v>10.177199999999999</v>
      </c>
      <c r="L50" s="560">
        <v>18.2502</v>
      </c>
      <c r="M50" s="560">
        <v>8.7436000000000007</v>
      </c>
      <c r="N50" s="560">
        <v>8.1517999999999997</v>
      </c>
      <c r="O50" s="560">
        <v>20.0031</v>
      </c>
      <c r="P50" s="560"/>
      <c r="Q50" s="564">
        <v>45603</v>
      </c>
      <c r="R50" s="4">
        <v>406.04</v>
      </c>
      <c r="S50" s="4">
        <v>20550.650000000001</v>
      </c>
      <c r="T50" s="4">
        <v>1147.3</v>
      </c>
      <c r="U50" s="4">
        <v>1.2096043851286939</v>
      </c>
      <c r="V50" s="4">
        <v>1.8231995919001043</v>
      </c>
      <c r="W50" s="4" t="e">
        <v>#DIV/0!</v>
      </c>
      <c r="Y50" s="560">
        <v>406.04</v>
      </c>
      <c r="Z50" s="4">
        <v>94.12</v>
      </c>
      <c r="AA50" s="4">
        <v>408.21</v>
      </c>
      <c r="AB50" s="4">
        <v>11.63</v>
      </c>
      <c r="AC50" s="4">
        <v>56.34</v>
      </c>
      <c r="AD50" s="4">
        <v>197.43</v>
      </c>
      <c r="AF50" s="4">
        <v>1.2096043851286939</v>
      </c>
      <c r="AG50" s="4">
        <v>0.88458646616541348</v>
      </c>
      <c r="AH50" s="4">
        <v>2.2829260108495051</v>
      </c>
      <c r="AI50" s="4">
        <v>0.96354598177299089</v>
      </c>
      <c r="AJ50" s="4">
        <v>1.7513211066210757</v>
      </c>
      <c r="AK50" s="4">
        <v>1.4785441473826106</v>
      </c>
      <c r="AM50" s="562">
        <v>45872</v>
      </c>
      <c r="AN50" s="563">
        <v>517.38</v>
      </c>
      <c r="AO50" s="563">
        <v>858451</v>
      </c>
      <c r="AP50" s="563">
        <v>270.82704999999999</v>
      </c>
      <c r="AQ50" s="563">
        <v>140120.499129</v>
      </c>
      <c r="AR50" s="563">
        <v>3.0945</v>
      </c>
    </row>
    <row r="51" spans="2:44" x14ac:dyDescent="0.25">
      <c r="B51" s="564">
        <v>45596</v>
      </c>
      <c r="C51" s="560">
        <v>7.6741000000000001</v>
      </c>
      <c r="D51" s="560">
        <v>13.5754</v>
      </c>
      <c r="E51" s="560">
        <v>12.087400000000001</v>
      </c>
      <c r="F51" s="560">
        <v>3.5535999999999999</v>
      </c>
      <c r="G51" s="560">
        <v>5.7107000000000001</v>
      </c>
      <c r="H51" s="560">
        <v>8.9951000000000008</v>
      </c>
      <c r="I51" s="564">
        <v>45596</v>
      </c>
      <c r="J51" s="560">
        <v>15.689299999999999</v>
      </c>
      <c r="K51" s="560">
        <v>10.7957</v>
      </c>
      <c r="L51" s="560">
        <v>16.819099999999999</v>
      </c>
      <c r="M51" s="560">
        <v>8.4428000000000001</v>
      </c>
      <c r="N51" s="560">
        <v>7.4819000000000004</v>
      </c>
      <c r="O51" s="560">
        <v>17.177399999999999</v>
      </c>
      <c r="P51" s="560"/>
      <c r="Q51" s="564">
        <v>45596</v>
      </c>
      <c r="R51" s="4">
        <v>406.65</v>
      </c>
      <c r="S51" s="4">
        <v>20383.650000000001</v>
      </c>
      <c r="T51" s="4">
        <v>1147.3</v>
      </c>
      <c r="U51" s="4">
        <v>1.2114215919923736</v>
      </c>
      <c r="V51" s="4">
        <v>1.8083837913367491</v>
      </c>
      <c r="W51" s="4" t="e">
        <v>#DIV/0!</v>
      </c>
      <c r="Y51" s="560">
        <v>406.65</v>
      </c>
      <c r="Z51" s="4">
        <v>99.84</v>
      </c>
      <c r="AA51" s="4">
        <v>376.2</v>
      </c>
      <c r="AB51" s="4">
        <v>11.23</v>
      </c>
      <c r="AC51" s="4">
        <v>51.71</v>
      </c>
      <c r="AD51" s="4">
        <v>169.54</v>
      </c>
      <c r="AF51" s="4">
        <v>1.2114215919923736</v>
      </c>
      <c r="AG51" s="4">
        <v>0.93834586466165415</v>
      </c>
      <c r="AH51" s="4">
        <v>2.1039091773390748</v>
      </c>
      <c r="AI51" s="4">
        <v>0.93040596520298258</v>
      </c>
      <c r="AJ51" s="4">
        <v>1.6073981970780229</v>
      </c>
      <c r="AK51" s="4">
        <v>1.269677226091515</v>
      </c>
      <c r="AM51" s="562">
        <v>45871</v>
      </c>
      <c r="AN51" s="563">
        <v>514.66</v>
      </c>
      <c r="AO51" s="563">
        <v>850056</v>
      </c>
      <c r="AP51" s="563">
        <v>270.82704999999999</v>
      </c>
      <c r="AQ51" s="563">
        <v>139383.84955299998</v>
      </c>
      <c r="AR51" s="563">
        <v>3.0781999999999998</v>
      </c>
    </row>
    <row r="52" spans="2:44" x14ac:dyDescent="0.25">
      <c r="B52" s="564">
        <v>45589</v>
      </c>
      <c r="C52" s="560">
        <v>7.1200999999999999</v>
      </c>
      <c r="D52" s="560">
        <v>13.5954</v>
      </c>
      <c r="E52" s="560">
        <v>12.428800000000001</v>
      </c>
      <c r="F52" s="560">
        <v>3.5407000000000002</v>
      </c>
      <c r="G52" s="560">
        <v>5.8456000000000001</v>
      </c>
      <c r="H52" s="560">
        <v>8.9662000000000006</v>
      </c>
      <c r="I52" s="564">
        <v>45589</v>
      </c>
      <c r="J52" s="560">
        <v>14.001200000000001</v>
      </c>
      <c r="K52" s="560">
        <v>10.820600000000001</v>
      </c>
      <c r="L52" s="560">
        <v>17.304600000000001</v>
      </c>
      <c r="M52" s="560">
        <v>8.4052000000000007</v>
      </c>
      <c r="N52" s="560">
        <v>7.6612999999999998</v>
      </c>
      <c r="O52" s="560">
        <v>17.119599999999998</v>
      </c>
      <c r="P52" s="560"/>
      <c r="Q52" s="564">
        <v>45589</v>
      </c>
      <c r="R52" s="4">
        <v>401.99</v>
      </c>
      <c r="S52" s="4">
        <v>20159.830000000002</v>
      </c>
      <c r="T52" s="4">
        <v>1147.3</v>
      </c>
      <c r="U52" s="4">
        <v>1.197539323164919</v>
      </c>
      <c r="V52" s="4">
        <v>1.7885270698871074</v>
      </c>
      <c r="W52" s="4" t="e">
        <v>#DIV/0!</v>
      </c>
      <c r="Y52" s="560">
        <v>401.99</v>
      </c>
      <c r="Z52" s="4">
        <v>100.07</v>
      </c>
      <c r="AA52" s="4">
        <v>387.06</v>
      </c>
      <c r="AB52" s="4">
        <v>11.18</v>
      </c>
      <c r="AC52" s="4">
        <v>52.95</v>
      </c>
      <c r="AD52" s="4">
        <v>168.97</v>
      </c>
      <c r="AF52" s="4">
        <v>1.197539323164919</v>
      </c>
      <c r="AG52" s="4">
        <v>0.94050751879699235</v>
      </c>
      <c r="AH52" s="4">
        <v>2.1646440355684806</v>
      </c>
      <c r="AI52" s="4">
        <v>0.92626346313173147</v>
      </c>
      <c r="AJ52" s="4">
        <v>1.6459434255517562</v>
      </c>
      <c r="AK52" s="4">
        <v>1.2654085224294165</v>
      </c>
      <c r="AM52" s="562">
        <v>45870</v>
      </c>
      <c r="AN52" s="563">
        <v>515.16999999999996</v>
      </c>
      <c r="AO52" s="563">
        <v>995312</v>
      </c>
      <c r="AP52" s="563">
        <v>270.82704999999999</v>
      </c>
      <c r="AQ52" s="563">
        <v>139521.9713485</v>
      </c>
      <c r="AR52" s="563">
        <v>3.0813000000000001</v>
      </c>
    </row>
    <row r="53" spans="2:44" x14ac:dyDescent="0.25">
      <c r="B53" s="564">
        <v>45582</v>
      </c>
      <c r="C53" s="560">
        <v>7.0193000000000003</v>
      </c>
      <c r="D53" s="560">
        <v>13.664899999999999</v>
      </c>
      <c r="E53" s="560">
        <v>12.6624</v>
      </c>
      <c r="F53" s="560">
        <v>3.5200999999999998</v>
      </c>
      <c r="G53" s="560">
        <v>6.1938000000000004</v>
      </c>
      <c r="H53" s="560">
        <v>9.5144000000000002</v>
      </c>
      <c r="I53" s="564">
        <v>45582</v>
      </c>
      <c r="J53" s="560">
        <v>13.799300000000001</v>
      </c>
      <c r="K53" s="560">
        <v>10.9071</v>
      </c>
      <c r="L53" s="560">
        <v>17.636800000000001</v>
      </c>
      <c r="M53" s="560">
        <v>8.3451000000000004</v>
      </c>
      <c r="N53" s="560">
        <v>8.1532</v>
      </c>
      <c r="O53" s="560">
        <v>18.219899999999999</v>
      </c>
      <c r="P53" s="560"/>
      <c r="Q53" s="564">
        <v>45582</v>
      </c>
      <c r="R53" s="4">
        <v>400.28</v>
      </c>
      <c r="S53" s="4">
        <v>20107.78</v>
      </c>
      <c r="T53" s="4">
        <v>1147.3</v>
      </c>
      <c r="U53" s="4">
        <v>1.192445185891325</v>
      </c>
      <c r="V53" s="4">
        <v>1.7839093308492469</v>
      </c>
      <c r="W53" s="4" t="e">
        <v>#DIV/0!</v>
      </c>
      <c r="Y53" s="560">
        <v>400.28</v>
      </c>
      <c r="Z53" s="4">
        <v>100.87</v>
      </c>
      <c r="AA53" s="4">
        <v>394.49</v>
      </c>
      <c r="AB53" s="4">
        <v>11.1</v>
      </c>
      <c r="AC53" s="4">
        <v>56.35</v>
      </c>
      <c r="AD53" s="4">
        <v>179.83</v>
      </c>
      <c r="AF53" s="4">
        <v>1.192445185891325</v>
      </c>
      <c r="AG53" s="4">
        <v>0.94802631578947372</v>
      </c>
      <c r="AH53" s="4">
        <v>2.2061965214473465</v>
      </c>
      <c r="AI53" s="4">
        <v>0.91963545981772987</v>
      </c>
      <c r="AJ53" s="4">
        <v>1.7516319552377992</v>
      </c>
      <c r="AK53" s="4">
        <v>1.3467385606230811</v>
      </c>
      <c r="AM53" s="562">
        <v>45869</v>
      </c>
      <c r="AN53" s="563">
        <v>505.69</v>
      </c>
      <c r="AO53" s="563">
        <v>976048</v>
      </c>
      <c r="AP53" s="563">
        <v>270.82704999999999</v>
      </c>
      <c r="AQ53" s="563">
        <v>136954.53091450001</v>
      </c>
      <c r="AR53" s="563">
        <v>3.0246</v>
      </c>
    </row>
    <row r="54" spans="2:44" x14ac:dyDescent="0.25">
      <c r="B54" s="564">
        <v>45575</v>
      </c>
      <c r="C54" s="560">
        <v>7.0297999999999998</v>
      </c>
      <c r="D54" s="560">
        <v>13.403499999999999</v>
      </c>
      <c r="E54" s="560">
        <v>12.73</v>
      </c>
      <c r="F54" s="560">
        <v>3.5251999999999999</v>
      </c>
      <c r="G54" s="560">
        <v>5.8620000000000001</v>
      </c>
      <c r="H54" s="560">
        <v>9.1071000000000009</v>
      </c>
      <c r="I54" s="564">
        <v>45575</v>
      </c>
      <c r="J54" s="560">
        <v>13.820399999999999</v>
      </c>
      <c r="K54" s="560">
        <v>10.5816</v>
      </c>
      <c r="L54" s="560">
        <v>17.732900000000001</v>
      </c>
      <c r="M54" s="560">
        <v>8.3600999999999992</v>
      </c>
      <c r="N54" s="560">
        <v>7.6844999999999999</v>
      </c>
      <c r="O54" s="560">
        <v>17.4023</v>
      </c>
      <c r="P54" s="560"/>
      <c r="Q54" s="564">
        <v>45575</v>
      </c>
      <c r="R54" s="4">
        <v>416.44</v>
      </c>
      <c r="S54" s="4">
        <v>19773.3</v>
      </c>
      <c r="T54" s="4">
        <v>1147.3</v>
      </c>
      <c r="U54" s="4">
        <v>1.2405862726406101</v>
      </c>
      <c r="V54" s="4">
        <v>1.7542351453855878</v>
      </c>
      <c r="W54" s="4" t="e">
        <v>#DIV/0!</v>
      </c>
      <c r="Y54" s="560">
        <v>416.44</v>
      </c>
      <c r="Z54" s="4">
        <v>97.86</v>
      </c>
      <c r="AA54" s="4">
        <v>396.64</v>
      </c>
      <c r="AB54" s="4">
        <v>11.12</v>
      </c>
      <c r="AC54" s="4">
        <v>53.11</v>
      </c>
      <c r="AD54" s="4">
        <v>171.76</v>
      </c>
      <c r="AF54" s="4">
        <v>1.2405862726406101</v>
      </c>
      <c r="AG54" s="4">
        <v>0.91973684210526307</v>
      </c>
      <c r="AH54" s="4">
        <v>2.2182204574688216</v>
      </c>
      <c r="AI54" s="4">
        <v>0.92129246064623027</v>
      </c>
      <c r="AJ54" s="4">
        <v>1.6509170034193348</v>
      </c>
      <c r="AK54" s="4">
        <v>1.2863027035123193</v>
      </c>
      <c r="AM54" s="562">
        <v>45868</v>
      </c>
      <c r="AN54" s="563">
        <v>496.24</v>
      </c>
      <c r="AO54" s="563">
        <v>1111220</v>
      </c>
      <c r="AP54" s="563">
        <v>270.82704999999999</v>
      </c>
      <c r="AQ54" s="563">
        <v>134395.21529200001</v>
      </c>
      <c r="AR54" s="563">
        <v>2.9681000000000002</v>
      </c>
    </row>
    <row r="55" spans="2:44" x14ac:dyDescent="0.25">
      <c r="B55" s="564">
        <v>45568</v>
      </c>
      <c r="C55" s="560">
        <v>7.0804999999999998</v>
      </c>
      <c r="D55" s="560">
        <v>13.2654</v>
      </c>
      <c r="E55" s="560">
        <v>12.5555</v>
      </c>
      <c r="F55" s="560">
        <v>3.4632999999999998</v>
      </c>
      <c r="G55" s="560">
        <v>5.6345999999999998</v>
      </c>
      <c r="H55" s="560">
        <v>9.1394000000000002</v>
      </c>
      <c r="I55" s="564">
        <v>45568</v>
      </c>
      <c r="J55" s="560">
        <v>13.921900000000001</v>
      </c>
      <c r="K55" s="560">
        <v>10.409700000000001</v>
      </c>
      <c r="L55" s="560">
        <v>17.4848</v>
      </c>
      <c r="M55" s="560">
        <v>8.1797000000000004</v>
      </c>
      <c r="N55" s="560">
        <v>7.3632</v>
      </c>
      <c r="O55" s="560">
        <v>17.467099999999999</v>
      </c>
      <c r="P55" s="560"/>
      <c r="Q55" s="564">
        <v>45568</v>
      </c>
      <c r="R55" s="4">
        <v>410.89</v>
      </c>
      <c r="S55" s="4">
        <v>19944.84</v>
      </c>
      <c r="T55" s="4">
        <v>1147.3</v>
      </c>
      <c r="U55" s="4">
        <v>1.2240526692087701</v>
      </c>
      <c r="V55" s="4">
        <v>1.7694537228025817</v>
      </c>
      <c r="W55" s="4" t="e">
        <v>#DIV/0!</v>
      </c>
      <c r="Y55" s="560">
        <v>410.89</v>
      </c>
      <c r="Z55" s="4">
        <v>96.27</v>
      </c>
      <c r="AA55" s="4">
        <v>391.09</v>
      </c>
      <c r="AB55" s="4">
        <v>10.88</v>
      </c>
      <c r="AC55" s="4">
        <v>50.89</v>
      </c>
      <c r="AD55" s="4">
        <v>172.4</v>
      </c>
      <c r="AF55" s="4">
        <v>1.2240526692087701</v>
      </c>
      <c r="AG55" s="4">
        <v>0.90479323308270665</v>
      </c>
      <c r="AH55" s="4">
        <v>2.1871819249482689</v>
      </c>
      <c r="AI55" s="4">
        <v>0.90140845070422537</v>
      </c>
      <c r="AJ55" s="4">
        <v>1.5819086105066831</v>
      </c>
      <c r="AK55" s="4">
        <v>1.2910956339399386</v>
      </c>
      <c r="AM55" s="562">
        <v>45867</v>
      </c>
      <c r="AN55" s="563">
        <v>499.82</v>
      </c>
      <c r="AO55" s="563">
        <v>1064558</v>
      </c>
      <c r="AP55" s="563">
        <v>270.82704999999999</v>
      </c>
      <c r="AQ55" s="563">
        <v>135364.77613099999</v>
      </c>
      <c r="AR55" s="563">
        <v>2.9895</v>
      </c>
    </row>
    <row r="56" spans="2:44" x14ac:dyDescent="0.25">
      <c r="B56" s="564">
        <v>45561</v>
      </c>
      <c r="C56" s="560">
        <v>7.1269</v>
      </c>
      <c r="D56" s="560">
        <v>9.4815000000000005</v>
      </c>
      <c r="E56" s="560">
        <v>12.397399999999999</v>
      </c>
      <c r="F56" s="560">
        <v>3.2362000000000002</v>
      </c>
      <c r="G56" s="560">
        <v>5.5359999999999996</v>
      </c>
      <c r="H56" s="560">
        <v>9.5817999999999994</v>
      </c>
      <c r="I56" s="564">
        <v>45561</v>
      </c>
      <c r="J56" s="560">
        <v>14.014900000000001</v>
      </c>
      <c r="K56" s="560">
        <v>7.7343999999999999</v>
      </c>
      <c r="L56" s="560">
        <v>17.2102</v>
      </c>
      <c r="M56" s="560">
        <v>7.4116999999999997</v>
      </c>
      <c r="N56" s="560">
        <v>7.0830000000000002</v>
      </c>
      <c r="O56" s="560">
        <v>17.065300000000001</v>
      </c>
      <c r="P56" s="560"/>
      <c r="Q56" s="564">
        <v>45561</v>
      </c>
      <c r="R56" s="4">
        <v>397.88</v>
      </c>
      <c r="S56" s="4">
        <v>19432.400000000001</v>
      </c>
      <c r="T56" s="4">
        <v>1147.3</v>
      </c>
      <c r="U56" s="4">
        <v>1.1852955195424213</v>
      </c>
      <c r="V56" s="4">
        <v>1.7239913944152419</v>
      </c>
      <c r="W56" s="4" t="e">
        <v>#DIV/0!</v>
      </c>
      <c r="Y56" s="560">
        <v>397.88</v>
      </c>
      <c r="Z56" s="4">
        <v>96.73</v>
      </c>
      <c r="AA56" s="4">
        <v>390.96</v>
      </c>
      <c r="AB56" s="4">
        <v>11.23</v>
      </c>
      <c r="AC56" s="4">
        <v>52.07</v>
      </c>
      <c r="AD56" s="4">
        <v>180.21</v>
      </c>
      <c r="AF56" s="4">
        <v>1.1852955195424213</v>
      </c>
      <c r="AG56" s="4">
        <v>0.90911654135338349</v>
      </c>
      <c r="AH56" s="4">
        <v>2.1864548962585983</v>
      </c>
      <c r="AI56" s="4">
        <v>0.93040596520298258</v>
      </c>
      <c r="AJ56" s="4">
        <v>1.6185887472800746</v>
      </c>
      <c r="AK56" s="4">
        <v>1.3495843630644799</v>
      </c>
      <c r="AM56" s="562">
        <v>45866</v>
      </c>
      <c r="AN56" s="563">
        <v>499.82</v>
      </c>
      <c r="AO56" s="563">
        <v>1064558</v>
      </c>
      <c r="AP56" s="563">
        <v>270.82704999999999</v>
      </c>
      <c r="AQ56" s="563">
        <v>135364.77613099999</v>
      </c>
      <c r="AR56" s="563">
        <v>2.9895</v>
      </c>
    </row>
    <row r="57" spans="2:44" x14ac:dyDescent="0.25">
      <c r="B57" s="564">
        <v>45554</v>
      </c>
      <c r="C57" s="560">
        <v>7.0972999999999997</v>
      </c>
      <c r="D57" s="560">
        <v>9.4242000000000008</v>
      </c>
      <c r="E57" s="560">
        <v>11.852600000000001</v>
      </c>
      <c r="F57" s="560">
        <v>3.1682999999999999</v>
      </c>
      <c r="G57" s="560">
        <v>5.7061999999999999</v>
      </c>
      <c r="H57" s="560">
        <v>9.8122000000000007</v>
      </c>
      <c r="I57" s="564">
        <v>45554</v>
      </c>
      <c r="J57" s="560">
        <v>13.9556</v>
      </c>
      <c r="K57" s="560">
        <v>7.6623999999999999</v>
      </c>
      <c r="L57" s="560">
        <v>16.433299999999999</v>
      </c>
      <c r="M57" s="560">
        <v>7.2268999999999997</v>
      </c>
      <c r="N57" s="560">
        <v>7.3224999999999998</v>
      </c>
      <c r="O57" s="560">
        <v>17.5123</v>
      </c>
      <c r="P57" s="560"/>
      <c r="Q57" s="564">
        <v>45554</v>
      </c>
      <c r="R57" s="4">
        <v>387.3</v>
      </c>
      <c r="S57" s="4">
        <v>18829.14</v>
      </c>
      <c r="T57" s="4">
        <v>1147.3</v>
      </c>
      <c r="U57" s="4">
        <v>1.1537774070543374</v>
      </c>
      <c r="V57" s="4">
        <v>1.6704717546077583</v>
      </c>
      <c r="W57" s="4" t="e">
        <v>#DIV/0!</v>
      </c>
      <c r="Y57" s="560">
        <v>387.3</v>
      </c>
      <c r="Z57" s="4">
        <v>95.83</v>
      </c>
      <c r="AA57" s="4">
        <v>373.31</v>
      </c>
      <c r="AB57" s="4">
        <v>10.95</v>
      </c>
      <c r="AC57" s="4">
        <v>53.83</v>
      </c>
      <c r="AD57" s="4">
        <v>184.93</v>
      </c>
      <c r="AF57" s="4">
        <v>1.1537774070543374</v>
      </c>
      <c r="AG57" s="4">
        <v>0.90065789473684199</v>
      </c>
      <c r="AH57" s="4">
        <v>2.0877467703148591</v>
      </c>
      <c r="AI57" s="4">
        <v>0.90720795360397677</v>
      </c>
      <c r="AJ57" s="4">
        <v>1.6732981038234378</v>
      </c>
      <c r="AK57" s="4">
        <v>1.3849322249681719</v>
      </c>
      <c r="AM57" s="562">
        <v>45865</v>
      </c>
      <c r="AN57" s="563">
        <v>499.82</v>
      </c>
      <c r="AO57" s="563">
        <v>1064558</v>
      </c>
      <c r="AP57" s="563">
        <v>270.82704999999999</v>
      </c>
      <c r="AQ57" s="563">
        <v>135364.77613099999</v>
      </c>
      <c r="AR57" s="563">
        <v>2.9895</v>
      </c>
    </row>
    <row r="58" spans="2:44" x14ac:dyDescent="0.25">
      <c r="B58" s="564">
        <v>45547</v>
      </c>
      <c r="C58" s="560">
        <v>6.7108999999999996</v>
      </c>
      <c r="D58" s="560">
        <v>9.0094999999999992</v>
      </c>
      <c r="E58" s="560">
        <v>10.811400000000001</v>
      </c>
      <c r="F58" s="560">
        <v>2.9523999999999999</v>
      </c>
      <c r="G58" s="560">
        <v>5.4035000000000002</v>
      </c>
      <c r="H58" s="560">
        <v>9.3507999999999996</v>
      </c>
      <c r="I58" s="564">
        <v>45547</v>
      </c>
      <c r="J58" s="560">
        <v>13.1814</v>
      </c>
      <c r="K58" s="560">
        <v>7.1418999999999997</v>
      </c>
      <c r="L58" s="560">
        <v>14.948399999999999</v>
      </c>
      <c r="M58" s="560">
        <v>6.6395</v>
      </c>
      <c r="N58" s="560">
        <v>6.8967000000000001</v>
      </c>
      <c r="O58" s="560">
        <v>16.6174</v>
      </c>
      <c r="P58" s="560"/>
      <c r="Q58" s="564">
        <v>45547</v>
      </c>
      <c r="R58" s="4">
        <v>385.69</v>
      </c>
      <c r="S58" s="4">
        <v>18958.73</v>
      </c>
      <c r="T58" s="4">
        <v>1147.3</v>
      </c>
      <c r="U58" s="4">
        <v>1.1489811725452812</v>
      </c>
      <c r="V58" s="4">
        <v>1.6819686384101846</v>
      </c>
      <c r="W58" s="4" t="e">
        <v>#DIV/0!</v>
      </c>
      <c r="Y58" s="560">
        <v>385.69</v>
      </c>
      <c r="Z58" s="4">
        <v>89.32</v>
      </c>
      <c r="AA58" s="4">
        <v>339.58</v>
      </c>
      <c r="AB58" s="4">
        <v>10.06</v>
      </c>
      <c r="AC58" s="4">
        <v>50.7</v>
      </c>
      <c r="AD58" s="4">
        <v>175.48</v>
      </c>
      <c r="AF58" s="4">
        <v>1.1489811725452812</v>
      </c>
      <c r="AG58" s="4">
        <v>0.83947368421052626</v>
      </c>
      <c r="AH58" s="4">
        <v>1.8991107879872489</v>
      </c>
      <c r="AI58" s="4">
        <v>0.83347141673570835</v>
      </c>
      <c r="AJ58" s="4">
        <v>1.5760024867889337</v>
      </c>
      <c r="AK58" s="4">
        <v>1.3141616116228563</v>
      </c>
      <c r="AM58" s="562">
        <v>45864</v>
      </c>
      <c r="AN58" s="563">
        <v>499.14</v>
      </c>
      <c r="AO58" s="563">
        <v>1778885</v>
      </c>
      <c r="AP58" s="563">
        <v>270.82704999999999</v>
      </c>
      <c r="AQ58" s="563">
        <v>135180.61373699998</v>
      </c>
      <c r="AR58" s="563">
        <v>2.9853999999999998</v>
      </c>
    </row>
    <row r="59" spans="2:44" x14ac:dyDescent="0.25">
      <c r="B59" s="564">
        <v>45540</v>
      </c>
      <c r="C59" s="560">
        <v>6.6546000000000003</v>
      </c>
      <c r="D59" s="560">
        <v>8.9783000000000008</v>
      </c>
      <c r="E59" s="560">
        <v>10.6256</v>
      </c>
      <c r="F59" s="560">
        <v>2.9693999999999998</v>
      </c>
      <c r="G59" s="560">
        <v>5.3792999999999997</v>
      </c>
      <c r="H59" s="560">
        <v>9.2477</v>
      </c>
      <c r="I59" s="564">
        <v>45540</v>
      </c>
      <c r="J59" s="560">
        <v>13.0687</v>
      </c>
      <c r="K59" s="560">
        <v>7.1026999999999996</v>
      </c>
      <c r="L59" s="560">
        <v>14.683400000000001</v>
      </c>
      <c r="M59" s="560">
        <v>6.6856999999999998</v>
      </c>
      <c r="N59" s="560">
        <v>6.8627000000000002</v>
      </c>
      <c r="O59" s="560">
        <v>16.4176</v>
      </c>
      <c r="P59" s="560"/>
      <c r="Q59" s="564">
        <v>45540</v>
      </c>
      <c r="R59" s="4">
        <v>375.98</v>
      </c>
      <c r="S59" s="4">
        <v>19581.52</v>
      </c>
      <c r="T59" s="4">
        <v>1147.3</v>
      </c>
      <c r="U59" s="4">
        <v>1.120054814108675</v>
      </c>
      <c r="V59" s="4">
        <v>1.7372209284272628</v>
      </c>
      <c r="W59" s="4" t="e">
        <v>#DIV/0!</v>
      </c>
      <c r="Y59" s="560">
        <v>375.98</v>
      </c>
      <c r="Z59" s="4">
        <v>88.83</v>
      </c>
      <c r="AA59" s="4">
        <v>333.56</v>
      </c>
      <c r="AB59" s="4">
        <v>10.130000000000001</v>
      </c>
      <c r="AC59" s="4">
        <v>50.45</v>
      </c>
      <c r="AD59" s="4">
        <v>173.37</v>
      </c>
      <c r="AF59" s="4">
        <v>1.120054814108675</v>
      </c>
      <c r="AG59" s="4">
        <v>0.83486842105263148</v>
      </c>
      <c r="AH59" s="4">
        <v>1.8654437671271182</v>
      </c>
      <c r="AI59" s="4">
        <v>0.83927091963545986</v>
      </c>
      <c r="AJ59" s="4">
        <v>1.5682312713708424</v>
      </c>
      <c r="AK59" s="4">
        <v>1.2983599191192992</v>
      </c>
      <c r="AM59" s="562">
        <v>45863</v>
      </c>
      <c r="AN59" s="563">
        <v>507.73</v>
      </c>
      <c r="AO59" s="563">
        <v>1150688</v>
      </c>
      <c r="AP59" s="563">
        <v>270.82704999999999</v>
      </c>
      <c r="AQ59" s="563">
        <v>137507.01809649999</v>
      </c>
      <c r="AR59" s="563">
        <v>3.0367999999999999</v>
      </c>
    </row>
    <row r="60" spans="2:44" x14ac:dyDescent="0.25">
      <c r="B60" s="564">
        <v>45533</v>
      </c>
      <c r="C60" s="560">
        <v>6.6227999999999998</v>
      </c>
      <c r="D60" s="560">
        <v>9.0808999999999997</v>
      </c>
      <c r="E60" s="560">
        <v>11.1837</v>
      </c>
      <c r="F60" s="560">
        <v>2.9645000000000001</v>
      </c>
      <c r="G60" s="560">
        <v>5.9440999999999997</v>
      </c>
      <c r="H60" s="560">
        <v>9.7814999999999994</v>
      </c>
      <c r="I60" s="564">
        <v>45533</v>
      </c>
      <c r="J60" s="560">
        <v>13.005000000000001</v>
      </c>
      <c r="K60" s="560">
        <v>7.2313999999999998</v>
      </c>
      <c r="L60" s="560">
        <v>15.4793</v>
      </c>
      <c r="M60" s="560">
        <v>6.6725000000000003</v>
      </c>
      <c r="N60" s="560">
        <v>7.6570999999999998</v>
      </c>
      <c r="O60" s="560">
        <v>17.4527</v>
      </c>
      <c r="P60" s="560"/>
      <c r="Q60" s="564">
        <v>45533</v>
      </c>
      <c r="R60" s="4">
        <v>372.59</v>
      </c>
      <c r="S60" s="4">
        <v>19719.82</v>
      </c>
      <c r="T60" s="4">
        <v>1147.3</v>
      </c>
      <c r="U60" s="4">
        <v>1.1099559103908483</v>
      </c>
      <c r="V60" s="4">
        <v>1.7494905405105685</v>
      </c>
      <c r="W60" s="4" t="e">
        <v>#DIV/0!</v>
      </c>
      <c r="Y60" s="560">
        <v>372.59</v>
      </c>
      <c r="Z60" s="4">
        <v>90.44</v>
      </c>
      <c r="AA60" s="4">
        <v>351.64</v>
      </c>
      <c r="AB60" s="4">
        <v>10.11</v>
      </c>
      <c r="AC60" s="4">
        <v>56.29</v>
      </c>
      <c r="AD60" s="4">
        <v>184.3</v>
      </c>
      <c r="AF60" s="4">
        <v>1.1099559103908483</v>
      </c>
      <c r="AG60" s="4">
        <v>0.85</v>
      </c>
      <c r="AH60" s="4">
        <v>1.9665566802751524</v>
      </c>
      <c r="AI60" s="4">
        <v>0.83761391880695935</v>
      </c>
      <c r="AJ60" s="4">
        <v>1.749766863537457</v>
      </c>
      <c r="AK60" s="4">
        <v>1.3802141840784843</v>
      </c>
      <c r="AM60" s="562">
        <v>45862</v>
      </c>
      <c r="AN60" s="563">
        <v>503.47</v>
      </c>
      <c r="AO60" s="563">
        <v>1173076</v>
      </c>
      <c r="AP60" s="563">
        <v>270.82704999999999</v>
      </c>
      <c r="AQ60" s="563">
        <v>136353.29486349999</v>
      </c>
      <c r="AR60" s="563">
        <v>3.0112999999999999</v>
      </c>
    </row>
    <row r="61" spans="2:44" x14ac:dyDescent="0.25">
      <c r="B61" s="564">
        <v>45526</v>
      </c>
      <c r="C61" s="560">
        <v>6.58</v>
      </c>
      <c r="D61" s="560">
        <v>8.9514999999999993</v>
      </c>
      <c r="E61" s="560">
        <v>10.8972</v>
      </c>
      <c r="F61" s="560">
        <v>2.95</v>
      </c>
      <c r="G61" s="560">
        <v>5.6897000000000002</v>
      </c>
      <c r="H61" s="560">
        <v>9.5827000000000009</v>
      </c>
      <c r="I61" s="564">
        <v>45526</v>
      </c>
      <c r="J61" s="560">
        <v>12.8268</v>
      </c>
      <c r="K61" s="560">
        <v>7.0690999999999997</v>
      </c>
      <c r="L61" s="560">
        <v>15.0708</v>
      </c>
      <c r="M61" s="560">
        <v>6.6329000000000002</v>
      </c>
      <c r="N61" s="560">
        <v>7.2992999999999997</v>
      </c>
      <c r="O61" s="560">
        <v>17.0672</v>
      </c>
      <c r="P61" s="560"/>
      <c r="Q61" s="564">
        <v>45526</v>
      </c>
      <c r="R61" s="4">
        <v>350.59</v>
      </c>
      <c r="S61" s="4">
        <v>19006.43</v>
      </c>
      <c r="T61" s="4">
        <v>1147.3</v>
      </c>
      <c r="U61" s="4">
        <v>1.0444173021925642</v>
      </c>
      <c r="V61" s="4">
        <v>1.6862004568944486</v>
      </c>
      <c r="W61" s="4" t="e">
        <v>#DIV/0!</v>
      </c>
      <c r="Y61" s="560">
        <v>350.59</v>
      </c>
      <c r="Z61" s="4">
        <v>88.41</v>
      </c>
      <c r="AA61" s="4">
        <v>342.36</v>
      </c>
      <c r="AB61" s="4">
        <v>10.050000000000001</v>
      </c>
      <c r="AC61" s="4">
        <v>53.66</v>
      </c>
      <c r="AD61" s="4">
        <v>180.23</v>
      </c>
      <c r="AF61" s="4">
        <v>1.0444173021925642</v>
      </c>
      <c r="AG61" s="4">
        <v>0.83092105263157889</v>
      </c>
      <c r="AH61" s="4">
        <v>1.9146580168894358</v>
      </c>
      <c r="AI61" s="4">
        <v>0.83264291632145815</v>
      </c>
      <c r="AJ61" s="4">
        <v>1.6680136773391356</v>
      </c>
      <c r="AK61" s="4">
        <v>1.3497341421403428</v>
      </c>
      <c r="AM61" s="562">
        <v>45861</v>
      </c>
      <c r="AN61" s="563">
        <v>507.61</v>
      </c>
      <c r="AO61" s="563">
        <v>1087056</v>
      </c>
      <c r="AP61" s="563">
        <v>270.82704999999999</v>
      </c>
      <c r="AQ61" s="563">
        <v>137474.5188505</v>
      </c>
      <c r="AR61" s="563">
        <v>3.0360999999999998</v>
      </c>
    </row>
    <row r="62" spans="2:44" x14ac:dyDescent="0.25">
      <c r="B62" s="564">
        <v>45519</v>
      </c>
      <c r="C62" s="560">
        <v>6.5229999999999997</v>
      </c>
      <c r="D62" s="560">
        <v>8.9337</v>
      </c>
      <c r="E62" s="560">
        <v>10.9985</v>
      </c>
      <c r="F62" s="560">
        <v>2.9426999999999999</v>
      </c>
      <c r="G62" s="560">
        <v>5.7794999999999996</v>
      </c>
      <c r="H62" s="560">
        <v>9.3054000000000006</v>
      </c>
      <c r="I62" s="564">
        <v>45519</v>
      </c>
      <c r="J62" s="560">
        <v>12.7134</v>
      </c>
      <c r="K62" s="560">
        <v>7.0467000000000004</v>
      </c>
      <c r="L62" s="560">
        <v>15.215199999999999</v>
      </c>
      <c r="M62" s="560">
        <v>6.6131000000000002</v>
      </c>
      <c r="N62" s="560">
        <v>7.4189999999999996</v>
      </c>
      <c r="O62" s="560">
        <v>16.529399999999999</v>
      </c>
      <c r="P62" s="560"/>
      <c r="Q62" s="564">
        <v>45519</v>
      </c>
      <c r="R62" s="4">
        <v>346.06</v>
      </c>
      <c r="S62" s="4">
        <v>18077.919999999998</v>
      </c>
      <c r="T62" s="4">
        <v>1147.3</v>
      </c>
      <c r="U62" s="4">
        <v>1.0309223069590085</v>
      </c>
      <c r="V62" s="4">
        <v>1.6038254929358793</v>
      </c>
      <c r="W62" s="4" t="e">
        <v>#DIV/0!</v>
      </c>
      <c r="Y62" s="560">
        <v>346.06</v>
      </c>
      <c r="Z62" s="4">
        <v>88.13</v>
      </c>
      <c r="AA62" s="4">
        <v>345.64</v>
      </c>
      <c r="AB62" s="4">
        <v>10.02</v>
      </c>
      <c r="AC62" s="4">
        <v>54.54</v>
      </c>
      <c r="AD62" s="4">
        <v>174.55</v>
      </c>
      <c r="AF62" s="4">
        <v>1.0309223069590085</v>
      </c>
      <c r="AG62" s="4">
        <v>0.82828947368421046</v>
      </c>
      <c r="AH62" s="4">
        <v>1.933001509982663</v>
      </c>
      <c r="AI62" s="4">
        <v>0.83015741507870744</v>
      </c>
      <c r="AJ62" s="4">
        <v>1.6953683556108174</v>
      </c>
      <c r="AK62" s="4">
        <v>1.3071968845952222</v>
      </c>
      <c r="AM62" s="562">
        <v>45860</v>
      </c>
      <c r="AN62" s="563">
        <v>512.41</v>
      </c>
      <c r="AO62" s="563">
        <v>1047165</v>
      </c>
      <c r="AP62" s="563">
        <v>270.82704999999999</v>
      </c>
      <c r="AQ62" s="563">
        <v>138774.48869049997</v>
      </c>
      <c r="AR62" s="563">
        <v>3.0648</v>
      </c>
    </row>
    <row r="63" spans="2:44" x14ac:dyDescent="0.25">
      <c r="B63" s="564">
        <v>45512</v>
      </c>
      <c r="C63" s="560">
        <v>6.11</v>
      </c>
      <c r="D63" s="560">
        <v>8.9833999999999996</v>
      </c>
      <c r="E63" s="560">
        <v>10.7059</v>
      </c>
      <c r="F63" s="560">
        <v>2.9015</v>
      </c>
      <c r="G63" s="560">
        <v>5.8278999999999996</v>
      </c>
      <c r="H63" s="560">
        <v>9.3215000000000003</v>
      </c>
      <c r="I63" s="564">
        <v>45512</v>
      </c>
      <c r="J63" s="560">
        <v>11.8919</v>
      </c>
      <c r="K63" s="560">
        <v>7.1090999999999998</v>
      </c>
      <c r="L63" s="560">
        <v>14.7979</v>
      </c>
      <c r="M63" s="560">
        <v>6.5010000000000003</v>
      </c>
      <c r="N63" s="560">
        <v>7.4870999999999999</v>
      </c>
      <c r="O63" s="560">
        <v>16.560600000000001</v>
      </c>
      <c r="P63" s="560"/>
      <c r="Q63" s="564">
        <v>45512</v>
      </c>
      <c r="R63" s="4">
        <v>371.77</v>
      </c>
      <c r="S63" s="4">
        <v>18796.27</v>
      </c>
      <c r="T63" s="4">
        <v>1147.3</v>
      </c>
      <c r="U63" s="4">
        <v>1.1075131077216396</v>
      </c>
      <c r="V63" s="4">
        <v>1.667555614700468</v>
      </c>
      <c r="W63" s="4" t="e">
        <v>#DIV/0!</v>
      </c>
      <c r="Y63" s="560">
        <v>371.77</v>
      </c>
      <c r="Z63" s="4">
        <v>88.91</v>
      </c>
      <c r="AA63" s="4">
        <v>336.16</v>
      </c>
      <c r="AB63" s="4">
        <v>9.85</v>
      </c>
      <c r="AC63" s="4">
        <v>55.04</v>
      </c>
      <c r="AD63" s="4">
        <v>174.88</v>
      </c>
      <c r="AF63" s="4">
        <v>1.1075131077216396</v>
      </c>
      <c r="AG63" s="4">
        <v>0.83562030075187965</v>
      </c>
      <c r="AH63" s="4">
        <v>1.8799843409205304</v>
      </c>
      <c r="AI63" s="4">
        <v>0.81607290803645394</v>
      </c>
      <c r="AJ63" s="4">
        <v>1.7109107864470001</v>
      </c>
      <c r="AK63" s="4">
        <v>1.3096682393469632</v>
      </c>
      <c r="AM63" s="562">
        <v>45859</v>
      </c>
      <c r="AN63" s="563">
        <v>512.41</v>
      </c>
      <c r="AO63" s="563">
        <v>1047165</v>
      </c>
      <c r="AP63" s="563">
        <v>270.82704999999999</v>
      </c>
      <c r="AQ63" s="563">
        <v>138774.48869049997</v>
      </c>
      <c r="AR63" s="563">
        <v>3.0648</v>
      </c>
    </row>
    <row r="64" spans="2:44" x14ac:dyDescent="0.25">
      <c r="B64" s="564">
        <v>45505</v>
      </c>
      <c r="C64" s="560">
        <v>6.2602000000000002</v>
      </c>
      <c r="D64" s="560">
        <v>9.1370000000000005</v>
      </c>
      <c r="E64" s="560">
        <v>10.6503</v>
      </c>
      <c r="F64" s="560">
        <v>2.9645000000000001</v>
      </c>
      <c r="G64" s="560">
        <v>6.1851000000000003</v>
      </c>
      <c r="H64" s="560">
        <v>9.8048999999999999</v>
      </c>
      <c r="I64" s="564">
        <v>45505</v>
      </c>
      <c r="J64" s="560">
        <v>12.1906</v>
      </c>
      <c r="K64" s="560">
        <v>7.3041999999999998</v>
      </c>
      <c r="L64" s="560">
        <v>14.5936</v>
      </c>
      <c r="M64" s="560">
        <v>6.6527000000000003</v>
      </c>
      <c r="N64" s="560">
        <v>7.9889999999999999</v>
      </c>
      <c r="O64" s="560">
        <v>17.498100000000001</v>
      </c>
      <c r="P64" s="560"/>
      <c r="Q64" s="564">
        <v>45505</v>
      </c>
      <c r="R64" s="4">
        <v>371.52</v>
      </c>
      <c r="S64" s="4">
        <v>19754.34</v>
      </c>
      <c r="T64" s="4">
        <v>1147.3</v>
      </c>
      <c r="U64" s="4">
        <v>1.1067683508102955</v>
      </c>
      <c r="V64" s="4">
        <v>1.7525530640761195</v>
      </c>
      <c r="W64" s="4" t="e">
        <v>#DIV/0!</v>
      </c>
      <c r="Y64" s="560">
        <v>371.52</v>
      </c>
      <c r="Z64" s="4">
        <v>91.35</v>
      </c>
      <c r="AA64" s="4">
        <v>331.52</v>
      </c>
      <c r="AB64" s="4">
        <v>10.08</v>
      </c>
      <c r="AC64" s="4">
        <v>58.73</v>
      </c>
      <c r="AD64" s="4">
        <v>184.78</v>
      </c>
      <c r="AF64" s="4">
        <v>1.1067683508102955</v>
      </c>
      <c r="AG64" s="4">
        <v>0.85855263157894723</v>
      </c>
      <c r="AH64" s="4">
        <v>1.8540350092276716</v>
      </c>
      <c r="AI64" s="4">
        <v>0.83512841756420875</v>
      </c>
      <c r="AJ64" s="4">
        <v>1.8256139260180291</v>
      </c>
      <c r="AK64" s="4">
        <v>1.3838088818991987</v>
      </c>
      <c r="AM64" s="562">
        <v>45858</v>
      </c>
      <c r="AN64" s="563">
        <v>512.41</v>
      </c>
      <c r="AO64" s="563">
        <v>1047165</v>
      </c>
      <c r="AP64" s="563">
        <v>270.82704999999999</v>
      </c>
      <c r="AQ64" s="563">
        <v>138774.48869049997</v>
      </c>
      <c r="AR64" s="563">
        <v>3.0648</v>
      </c>
    </row>
    <row r="65" spans="2:44" x14ac:dyDescent="0.25">
      <c r="B65" s="564">
        <v>45498</v>
      </c>
      <c r="C65" s="560">
        <v>6.3696999999999999</v>
      </c>
      <c r="D65" s="560">
        <v>9.8049999999999997</v>
      </c>
      <c r="E65" s="560">
        <v>11.0482</v>
      </c>
      <c r="F65" s="560">
        <v>3.0034000000000001</v>
      </c>
      <c r="G65" s="560">
        <v>6.8587999999999996</v>
      </c>
      <c r="H65" s="560">
        <v>10.1533</v>
      </c>
      <c r="I65" s="564">
        <v>45498</v>
      </c>
      <c r="J65" s="560">
        <v>11.7669</v>
      </c>
      <c r="K65" s="560">
        <v>8.1428999999999991</v>
      </c>
      <c r="L65" s="560">
        <v>15.1562</v>
      </c>
      <c r="M65" s="560">
        <v>6.7583000000000002</v>
      </c>
      <c r="N65" s="560">
        <v>8.9358000000000004</v>
      </c>
      <c r="O65" s="560">
        <v>18.184699999999999</v>
      </c>
      <c r="P65" s="560"/>
      <c r="Q65" s="564">
        <v>45498</v>
      </c>
      <c r="R65" s="4">
        <v>377.51</v>
      </c>
      <c r="S65" s="4">
        <v>20398.63</v>
      </c>
      <c r="T65" s="4">
        <v>1147.3</v>
      </c>
      <c r="U65" s="4">
        <v>1.124612726406101</v>
      </c>
      <c r="V65" s="4">
        <v>1.8097127775190189</v>
      </c>
      <c r="W65" s="4" t="e">
        <v>#DIV/0!</v>
      </c>
      <c r="Y65" s="560">
        <v>377.51</v>
      </c>
      <c r="Z65" s="4">
        <v>101.84</v>
      </c>
      <c r="AA65" s="4">
        <v>344.3</v>
      </c>
      <c r="AB65" s="4">
        <v>10.24</v>
      </c>
      <c r="AC65" s="4">
        <v>65.69</v>
      </c>
      <c r="AD65" s="4">
        <v>192.03</v>
      </c>
      <c r="AF65" s="4">
        <v>1.124612726406101</v>
      </c>
      <c r="AG65" s="4">
        <v>0.95714285714285707</v>
      </c>
      <c r="AH65" s="4">
        <v>1.9255075219506739</v>
      </c>
      <c r="AI65" s="4">
        <v>0.84838442419221205</v>
      </c>
      <c r="AJ65" s="4">
        <v>2.0419645632576935</v>
      </c>
      <c r="AK65" s="4">
        <v>1.4381037968995731</v>
      </c>
      <c r="AM65" s="562">
        <v>45857</v>
      </c>
      <c r="AN65" s="563">
        <v>519.20000000000005</v>
      </c>
      <c r="AO65" s="563">
        <v>1268934</v>
      </c>
      <c r="AP65" s="563">
        <v>270.82704999999999</v>
      </c>
      <c r="AQ65" s="563">
        <v>140613.40436000002</v>
      </c>
      <c r="AR65" s="563">
        <v>3.1053999999999999</v>
      </c>
    </row>
    <row r="66" spans="2:44" x14ac:dyDescent="0.25">
      <c r="B66" s="564">
        <v>45491</v>
      </c>
      <c r="C66" s="560">
        <v>6.3528000000000002</v>
      </c>
      <c r="D66" s="560">
        <v>9.8305000000000007</v>
      </c>
      <c r="E66" s="560">
        <v>11.413399999999999</v>
      </c>
      <c r="F66" s="560">
        <v>3.0594000000000001</v>
      </c>
      <c r="G66" s="560">
        <v>6.0864000000000003</v>
      </c>
      <c r="H66" s="560">
        <v>9.798</v>
      </c>
      <c r="I66" s="564">
        <v>45491</v>
      </c>
      <c r="J66" s="560">
        <v>11.734500000000001</v>
      </c>
      <c r="K66" s="560">
        <v>8.1748999999999992</v>
      </c>
      <c r="L66" s="560">
        <v>15.672599999999999</v>
      </c>
      <c r="M66" s="560">
        <v>6.9100999999999999</v>
      </c>
      <c r="N66" s="560">
        <v>7.8502000000000001</v>
      </c>
      <c r="O66" s="560">
        <v>17.4953</v>
      </c>
      <c r="P66" s="560"/>
      <c r="Q66" s="564">
        <v>45491</v>
      </c>
      <c r="R66" s="4">
        <v>348.84</v>
      </c>
      <c r="S66" s="4">
        <v>20453.02</v>
      </c>
      <c r="T66" s="4">
        <v>1147.3</v>
      </c>
      <c r="U66" s="4">
        <v>1.0392040038131554</v>
      </c>
      <c r="V66" s="4">
        <v>1.8145381151995033</v>
      </c>
      <c r="W66" s="4" t="e">
        <v>#DIV/0!</v>
      </c>
      <c r="Y66" s="560">
        <v>348.84</v>
      </c>
      <c r="Z66" s="4">
        <v>102.24</v>
      </c>
      <c r="AA66" s="4">
        <v>356.03</v>
      </c>
      <c r="AB66" s="4">
        <v>10.47</v>
      </c>
      <c r="AC66" s="4">
        <v>57.71</v>
      </c>
      <c r="AD66" s="4">
        <v>184.75</v>
      </c>
      <c r="AF66" s="4">
        <v>1.0392040038131554</v>
      </c>
      <c r="AG66" s="4">
        <v>0.96090225563909759</v>
      </c>
      <c r="AH66" s="4">
        <v>1.9911078798724902</v>
      </c>
      <c r="AI66" s="4">
        <v>0.86743993371996686</v>
      </c>
      <c r="AJ66" s="4">
        <v>1.7939073671122163</v>
      </c>
      <c r="AK66" s="4">
        <v>1.3835842132854039</v>
      </c>
      <c r="AM66" s="562">
        <v>45856</v>
      </c>
      <c r="AN66" s="563">
        <v>509.33</v>
      </c>
      <c r="AO66" s="563">
        <v>1152545</v>
      </c>
      <c r="AP66" s="563">
        <v>270.82704999999999</v>
      </c>
      <c r="AQ66" s="563">
        <v>137940.3413765</v>
      </c>
      <c r="AR66" s="563">
        <v>3.0464000000000002</v>
      </c>
    </row>
    <row r="67" spans="2:44" x14ac:dyDescent="0.25">
      <c r="B67" s="564">
        <v>45484</v>
      </c>
      <c r="C67" s="560">
        <v>6.0461</v>
      </c>
      <c r="D67" s="560">
        <v>9.5096000000000007</v>
      </c>
      <c r="E67" s="560">
        <v>10.638199999999999</v>
      </c>
      <c r="F67" s="560">
        <v>2.9499</v>
      </c>
      <c r="G67" s="560">
        <v>5.7572999999999999</v>
      </c>
      <c r="H67" s="560">
        <v>9.2094000000000005</v>
      </c>
      <c r="I67" s="564">
        <v>45484</v>
      </c>
      <c r="J67" s="560">
        <v>11.147500000000001</v>
      </c>
      <c r="K67" s="560">
        <v>7.7718999999999996</v>
      </c>
      <c r="L67" s="560">
        <v>14.576499999999999</v>
      </c>
      <c r="M67" s="560">
        <v>6.6131000000000002</v>
      </c>
      <c r="N67" s="560">
        <v>7.3876999999999997</v>
      </c>
      <c r="O67" s="560">
        <v>16.353200000000001</v>
      </c>
      <c r="P67" s="560"/>
      <c r="Q67" s="564">
        <v>45484</v>
      </c>
      <c r="R67" s="4">
        <v>364.95</v>
      </c>
      <c r="S67" s="4">
        <v>20011.89</v>
      </c>
      <c r="T67" s="4">
        <v>1147.3</v>
      </c>
      <c r="U67" s="4">
        <v>1.0871961391801714</v>
      </c>
      <c r="V67" s="4">
        <v>1.7754022223700845</v>
      </c>
      <c r="W67" s="4" t="e">
        <v>#DIV/0!</v>
      </c>
      <c r="Y67" s="560">
        <v>364.95</v>
      </c>
      <c r="Z67" s="4">
        <v>97.2</v>
      </c>
      <c r="AA67" s="4">
        <v>331.13</v>
      </c>
      <c r="AB67" s="4">
        <v>10.02</v>
      </c>
      <c r="AC67" s="4">
        <v>54.31</v>
      </c>
      <c r="AD67" s="4">
        <v>172.69</v>
      </c>
      <c r="AF67" s="4">
        <v>1.0871961391801714</v>
      </c>
      <c r="AG67" s="4">
        <v>0.9135338345864662</v>
      </c>
      <c r="AH67" s="4">
        <v>1.8518539231586599</v>
      </c>
      <c r="AI67" s="4">
        <v>0.83015741507870744</v>
      </c>
      <c r="AJ67" s="4">
        <v>1.6882188374261735</v>
      </c>
      <c r="AK67" s="4">
        <v>1.2932674305399536</v>
      </c>
      <c r="AM67" s="562">
        <v>45855</v>
      </c>
      <c r="AN67" s="563">
        <v>508.91</v>
      </c>
      <c r="AO67" s="563">
        <v>1285072</v>
      </c>
      <c r="AP67" s="563">
        <v>270.82704999999999</v>
      </c>
      <c r="AQ67" s="563">
        <v>137826.59401550001</v>
      </c>
      <c r="AR67" s="563">
        <v>3.0438000000000001</v>
      </c>
    </row>
    <row r="68" spans="2:44" x14ac:dyDescent="0.25">
      <c r="B68" s="564">
        <v>45477</v>
      </c>
      <c r="C68" s="560">
        <v>6.0208000000000004</v>
      </c>
      <c r="D68" s="560">
        <v>9.3254999999999999</v>
      </c>
      <c r="E68" s="560">
        <v>10.551600000000001</v>
      </c>
      <c r="F68" s="560">
        <v>2.8599000000000001</v>
      </c>
      <c r="G68" s="560">
        <v>5.6760000000000002</v>
      </c>
      <c r="H68" s="560">
        <v>8.8693000000000008</v>
      </c>
      <c r="I68" s="564">
        <v>45477</v>
      </c>
      <c r="J68" s="560">
        <v>11.0991</v>
      </c>
      <c r="K68" s="560">
        <v>7.5408999999999997</v>
      </c>
      <c r="L68" s="560">
        <v>14.4541</v>
      </c>
      <c r="M68" s="560">
        <v>6.3689999999999998</v>
      </c>
      <c r="N68" s="560">
        <v>7.2735000000000003</v>
      </c>
      <c r="O68" s="560">
        <v>15.693199999999999</v>
      </c>
      <c r="P68" s="560"/>
      <c r="Q68" s="564">
        <v>45477</v>
      </c>
      <c r="R68" s="4">
        <v>369.47</v>
      </c>
      <c r="S68" s="4">
        <v>19701.13</v>
      </c>
      <c r="T68" s="4">
        <v>1147.3</v>
      </c>
      <c r="U68" s="4">
        <v>1.1006613441372737</v>
      </c>
      <c r="V68" s="4">
        <v>1.7478324128906337</v>
      </c>
      <c r="W68" s="4" t="e">
        <v>#DIV/0!</v>
      </c>
      <c r="Y68" s="560">
        <v>369.47</v>
      </c>
      <c r="Z68" s="4">
        <v>98.82</v>
      </c>
      <c r="AA68" s="4">
        <v>327.45999999999998</v>
      </c>
      <c r="AB68" s="4">
        <v>10.19</v>
      </c>
      <c r="AC68" s="4">
        <v>53.18</v>
      </c>
      <c r="AD68" s="4">
        <v>171.01</v>
      </c>
      <c r="AF68" s="4">
        <v>1.1006613441372737</v>
      </c>
      <c r="AG68" s="4">
        <v>0.92875939849624045</v>
      </c>
      <c r="AH68" s="4">
        <v>1.8313293439964207</v>
      </c>
      <c r="AI68" s="4">
        <v>0.84424192212096105</v>
      </c>
      <c r="AJ68" s="4">
        <v>1.6530929437364004</v>
      </c>
      <c r="AK68" s="4">
        <v>1.2806859881674528</v>
      </c>
      <c r="AM68" s="562">
        <v>45854</v>
      </c>
      <c r="AN68" s="563">
        <v>510.29</v>
      </c>
      <c r="AO68" s="563">
        <v>1017279</v>
      </c>
      <c r="AP68" s="563">
        <v>270.82704999999999</v>
      </c>
      <c r="AQ68" s="563">
        <v>138200.3353445</v>
      </c>
      <c r="AR68" s="563">
        <v>3.0520999999999998</v>
      </c>
    </row>
    <row r="69" spans="2:44" x14ac:dyDescent="0.25">
      <c r="B69" s="564">
        <v>45470</v>
      </c>
      <c r="C69" s="560">
        <v>6.2907999999999999</v>
      </c>
      <c r="D69" s="560">
        <v>4.6599000000000004</v>
      </c>
      <c r="E69" s="560">
        <v>10.432499999999999</v>
      </c>
      <c r="F69" s="560">
        <v>2.673</v>
      </c>
      <c r="G69" s="560">
        <v>5.5502000000000002</v>
      </c>
      <c r="H69" s="560">
        <v>8.8942999999999994</v>
      </c>
      <c r="I69" s="564">
        <v>45470</v>
      </c>
      <c r="J69" s="560">
        <v>11.6158</v>
      </c>
      <c r="K69" s="560">
        <v>6.6638000000000002</v>
      </c>
      <c r="L69" s="560">
        <v>14.8363</v>
      </c>
      <c r="M69" s="560">
        <v>6.1501000000000001</v>
      </c>
      <c r="N69" s="560">
        <v>7.0157999999999996</v>
      </c>
      <c r="O69" s="560">
        <v>15.214399999999999</v>
      </c>
      <c r="P69" s="560"/>
      <c r="Q69" s="564">
        <v>45470</v>
      </c>
      <c r="R69" s="4">
        <v>382.76</v>
      </c>
      <c r="S69" s="4">
        <v>19908.86</v>
      </c>
      <c r="T69" s="4">
        <v>1147.3</v>
      </c>
      <c r="U69" s="4">
        <v>1.1402526215443278</v>
      </c>
      <c r="V69" s="4">
        <v>1.7662616718788122</v>
      </c>
      <c r="W69" s="4" t="e">
        <v>#DIV/0!</v>
      </c>
      <c r="Y69" s="560">
        <v>382.76</v>
      </c>
      <c r="Z69" s="4">
        <v>98.82</v>
      </c>
      <c r="AA69" s="4">
        <v>327.45999999999998</v>
      </c>
      <c r="AB69" s="4">
        <v>10.19</v>
      </c>
      <c r="AC69" s="4">
        <v>53.18</v>
      </c>
      <c r="AD69" s="4">
        <v>171.01</v>
      </c>
      <c r="AF69" s="4">
        <v>1.1402526215443278</v>
      </c>
      <c r="AG69" s="4">
        <v>0.92875939849624045</v>
      </c>
      <c r="AH69" s="4">
        <v>1.8313293439964207</v>
      </c>
      <c r="AI69" s="4">
        <v>0.84424192212096105</v>
      </c>
      <c r="AJ69" s="4">
        <v>1.6530929437364004</v>
      </c>
      <c r="AK69" s="4">
        <v>1.2806859881674528</v>
      </c>
      <c r="AM69" s="562">
        <v>45853</v>
      </c>
      <c r="AN69" s="563">
        <v>520.97</v>
      </c>
      <c r="AO69" s="563">
        <v>470313</v>
      </c>
      <c r="AP69" s="563">
        <v>270.82704999999999</v>
      </c>
      <c r="AQ69" s="563">
        <v>141092.76823849999</v>
      </c>
      <c r="AR69" s="563">
        <v>3.1160000000000001</v>
      </c>
    </row>
    <row r="70" spans="2:44" x14ac:dyDescent="0.25">
      <c r="B70" s="564">
        <v>45463</v>
      </c>
      <c r="C70" s="560">
        <v>6.3670999999999998</v>
      </c>
      <c r="D70" s="560">
        <v>4.7438000000000002</v>
      </c>
      <c r="E70" s="560">
        <v>10.4839</v>
      </c>
      <c r="F70" s="560">
        <v>2.6707000000000001</v>
      </c>
      <c r="G70" s="560">
        <v>5.5454999999999997</v>
      </c>
      <c r="H70" s="560">
        <v>9.1003000000000007</v>
      </c>
      <c r="I70" s="564">
        <v>45463</v>
      </c>
      <c r="J70" s="560">
        <v>11.761900000000001</v>
      </c>
      <c r="K70" s="560">
        <v>6.8068</v>
      </c>
      <c r="L70" s="560">
        <v>14.912000000000001</v>
      </c>
      <c r="M70" s="560">
        <v>6.1440000000000001</v>
      </c>
      <c r="N70" s="560">
        <v>7.0091999999999999</v>
      </c>
      <c r="O70" s="560">
        <v>15.604100000000001</v>
      </c>
      <c r="P70" s="560"/>
      <c r="Q70" s="564">
        <v>45463</v>
      </c>
      <c r="R70" s="4">
        <v>365.13</v>
      </c>
      <c r="S70" s="4">
        <v>19210.18</v>
      </c>
      <c r="T70" s="4">
        <v>1147.3</v>
      </c>
      <c r="U70" s="4">
        <v>1.0877323641563392</v>
      </c>
      <c r="V70" s="4">
        <v>1.7042766207554285</v>
      </c>
      <c r="W70" s="4" t="e">
        <v>#DIV/0!</v>
      </c>
      <c r="Y70" s="560">
        <v>365.13</v>
      </c>
      <c r="Z70" s="4">
        <v>100.94</v>
      </c>
      <c r="AA70" s="4">
        <v>329.13</v>
      </c>
      <c r="AB70" s="4">
        <v>10.18</v>
      </c>
      <c r="AC70" s="4">
        <v>53.13</v>
      </c>
      <c r="AD70" s="4">
        <v>175.39</v>
      </c>
      <c r="AF70" s="4">
        <v>1.0877323641563392</v>
      </c>
      <c r="AG70" s="4">
        <v>0.94868421052631569</v>
      </c>
      <c r="AH70" s="4">
        <v>1.840668866394497</v>
      </c>
      <c r="AI70" s="4">
        <v>0.84341342170671085</v>
      </c>
      <c r="AJ70" s="4">
        <v>1.6515387006527822</v>
      </c>
      <c r="AK70" s="4">
        <v>1.3134876057814722</v>
      </c>
      <c r="AM70" s="562">
        <v>45852</v>
      </c>
      <c r="AN70" s="563">
        <v>520.97</v>
      </c>
      <c r="AO70" s="563">
        <v>470313</v>
      </c>
      <c r="AP70" s="563">
        <v>270.82704999999999</v>
      </c>
      <c r="AQ70" s="563">
        <v>141092.76823849999</v>
      </c>
      <c r="AR70" s="563">
        <v>3.1160000000000001</v>
      </c>
    </row>
    <row r="71" spans="2:44" x14ac:dyDescent="0.25">
      <c r="B71" s="564">
        <v>45456</v>
      </c>
      <c r="C71" s="560">
        <v>6.3094999999999999</v>
      </c>
      <c r="D71" s="560">
        <v>4.9233000000000002</v>
      </c>
      <c r="E71" s="560">
        <v>10.3986</v>
      </c>
      <c r="F71" s="560">
        <v>2.7212999999999998</v>
      </c>
      <c r="G71" s="560">
        <v>5.7</v>
      </c>
      <c r="H71" s="560">
        <v>9.2065999999999999</v>
      </c>
      <c r="I71" s="564">
        <v>45456</v>
      </c>
      <c r="J71" s="560">
        <v>11.6516</v>
      </c>
      <c r="K71" s="560">
        <v>7.1121999999999996</v>
      </c>
      <c r="L71" s="560">
        <v>14.7865</v>
      </c>
      <c r="M71" s="560">
        <v>6.2767999999999997</v>
      </c>
      <c r="N71" s="560">
        <v>7.2243000000000004</v>
      </c>
      <c r="O71" s="560">
        <v>15.805199999999999</v>
      </c>
      <c r="P71" s="560"/>
      <c r="Q71" s="564">
        <v>45456</v>
      </c>
      <c r="R71" s="4">
        <v>369.37</v>
      </c>
      <c r="S71" s="4">
        <v>18654.84</v>
      </c>
      <c r="T71" s="4">
        <v>1147.3</v>
      </c>
      <c r="U71" s="4">
        <v>1.1003634413727359</v>
      </c>
      <c r="V71" s="4">
        <v>1.6550083172533103</v>
      </c>
      <c r="W71" s="4" t="e">
        <v>#DIV/0!</v>
      </c>
      <c r="Y71" s="560">
        <v>369.37</v>
      </c>
      <c r="Z71" s="4">
        <v>105.47</v>
      </c>
      <c r="AA71" s="4">
        <v>326.36</v>
      </c>
      <c r="AB71" s="4">
        <v>10.4</v>
      </c>
      <c r="AC71" s="4">
        <v>54.76</v>
      </c>
      <c r="AD71" s="4">
        <v>177.65</v>
      </c>
      <c r="AF71" s="4">
        <v>1.1003634413727359</v>
      </c>
      <c r="AG71" s="4">
        <v>0.99125939849624056</v>
      </c>
      <c r="AH71" s="4">
        <v>1.8251775627761311</v>
      </c>
      <c r="AI71" s="4">
        <v>0.86164043082021546</v>
      </c>
      <c r="AJ71" s="4">
        <v>1.7022070251787378</v>
      </c>
      <c r="AK71" s="4">
        <v>1.3304126413540029</v>
      </c>
      <c r="AM71" s="562">
        <v>45851</v>
      </c>
      <c r="AN71" s="563">
        <v>520.97</v>
      </c>
      <c r="AO71" s="563">
        <v>470313</v>
      </c>
      <c r="AP71" s="563">
        <v>270.82704999999999</v>
      </c>
      <c r="AQ71" s="563">
        <v>141092.76823849999</v>
      </c>
      <c r="AR71" s="563">
        <v>3.1160000000000001</v>
      </c>
    </row>
    <row r="72" spans="2:44" x14ac:dyDescent="0.25">
      <c r="B72" s="564">
        <v>45449</v>
      </c>
      <c r="C72" s="560">
        <v>6.2018000000000004</v>
      </c>
      <c r="D72" s="560">
        <v>4.8491999999999997</v>
      </c>
      <c r="E72" s="560">
        <v>10.458</v>
      </c>
      <c r="F72" s="560">
        <v>2.7006000000000001</v>
      </c>
      <c r="G72" s="560">
        <v>5.9170999999999996</v>
      </c>
      <c r="H72" s="560">
        <v>9.6896000000000004</v>
      </c>
      <c r="I72" s="564">
        <v>45449</v>
      </c>
      <c r="J72" s="560">
        <v>11.445600000000001</v>
      </c>
      <c r="K72" s="560">
        <v>6.9861000000000004</v>
      </c>
      <c r="L72" s="560">
        <v>14.873900000000001</v>
      </c>
      <c r="M72" s="560">
        <v>6.2225000000000001</v>
      </c>
      <c r="N72" s="560">
        <v>7.5263999999999998</v>
      </c>
      <c r="O72" s="560">
        <v>16.718900000000001</v>
      </c>
      <c r="P72" s="560"/>
      <c r="Q72" s="564">
        <v>45449</v>
      </c>
      <c r="R72" s="4">
        <v>369.27</v>
      </c>
      <c r="S72" s="4">
        <v>18869.439999999999</v>
      </c>
      <c r="T72" s="4">
        <v>1147.3</v>
      </c>
      <c r="U72" s="4">
        <v>1.1000655386081981</v>
      </c>
      <c r="V72" s="4">
        <v>1.6740470645640648</v>
      </c>
      <c r="W72" s="4" t="e">
        <v>#DIV/0!</v>
      </c>
      <c r="Y72" s="560">
        <v>369.27</v>
      </c>
      <c r="Z72" s="4">
        <v>103.6</v>
      </c>
      <c r="AA72" s="4">
        <v>328.29</v>
      </c>
      <c r="AB72" s="4">
        <v>10.31</v>
      </c>
      <c r="AC72" s="4">
        <v>57.05</v>
      </c>
      <c r="AD72" s="4">
        <v>187.92</v>
      </c>
      <c r="AF72" s="4">
        <v>1.1000655386081981</v>
      </c>
      <c r="AG72" s="4">
        <v>0.97368421052631571</v>
      </c>
      <c r="AH72" s="4">
        <v>1.8359711425535485</v>
      </c>
      <c r="AI72" s="4">
        <v>0.85418392709196356</v>
      </c>
      <c r="AJ72" s="4">
        <v>1.7733913584084549</v>
      </c>
      <c r="AK72" s="4">
        <v>1.4073241968097057</v>
      </c>
      <c r="AM72" s="562">
        <v>45850</v>
      </c>
      <c r="AN72" s="563">
        <v>520.97</v>
      </c>
      <c r="AO72" s="563">
        <v>470313</v>
      </c>
      <c r="AP72" s="563">
        <v>270.82704999999999</v>
      </c>
      <c r="AQ72" s="563">
        <v>141092.76823849999</v>
      </c>
      <c r="AR72" s="563">
        <v>3.1160000000000001</v>
      </c>
    </row>
    <row r="73" spans="2:44" x14ac:dyDescent="0.25">
      <c r="B73" s="564">
        <v>45442</v>
      </c>
      <c r="C73" s="560">
        <v>6.1547999999999998</v>
      </c>
      <c r="D73" s="560">
        <v>4.8928000000000003</v>
      </c>
      <c r="E73" s="560">
        <v>10.795400000000001</v>
      </c>
      <c r="F73" s="560">
        <v>2.7673999999999999</v>
      </c>
      <c r="G73" s="560">
        <v>6.1284999999999998</v>
      </c>
      <c r="H73" s="560">
        <v>9.7723999999999993</v>
      </c>
      <c r="I73" s="564">
        <v>45442</v>
      </c>
      <c r="J73" s="560">
        <v>11.355600000000001</v>
      </c>
      <c r="K73" s="560">
        <v>7.0602999999999998</v>
      </c>
      <c r="L73" s="560">
        <v>15.3705</v>
      </c>
      <c r="M73" s="560">
        <v>6.3975</v>
      </c>
      <c r="N73" s="560">
        <v>7.8205999999999998</v>
      </c>
      <c r="O73" s="560">
        <v>16.875399999999999</v>
      </c>
      <c r="P73" s="560"/>
      <c r="Q73" s="564">
        <v>45442</v>
      </c>
      <c r="R73" s="4">
        <v>386.74</v>
      </c>
      <c r="S73" s="4">
        <v>18713.8</v>
      </c>
      <c r="T73" s="4">
        <v>1147.3</v>
      </c>
      <c r="U73" s="4">
        <v>1.1521091515729267</v>
      </c>
      <c r="V73" s="4">
        <v>1.6602390933084925</v>
      </c>
      <c r="W73" s="4" t="e">
        <v>#DIV/0!</v>
      </c>
      <c r="Y73" s="560">
        <v>386.74</v>
      </c>
      <c r="Z73" s="4">
        <v>104.7</v>
      </c>
      <c r="AA73" s="4">
        <v>339.25</v>
      </c>
      <c r="AB73" s="4">
        <v>10.6</v>
      </c>
      <c r="AC73" s="4">
        <v>59.28</v>
      </c>
      <c r="AD73" s="4">
        <v>189.68</v>
      </c>
      <c r="AF73" s="4">
        <v>1.1521091515729267</v>
      </c>
      <c r="AG73" s="4">
        <v>0.98402255639097747</v>
      </c>
      <c r="AH73" s="4">
        <v>1.8972652536211621</v>
      </c>
      <c r="AI73" s="4">
        <v>0.87821043910521945</v>
      </c>
      <c r="AJ73" s="4">
        <v>1.8427105999378302</v>
      </c>
      <c r="AK73" s="4">
        <v>1.4205047554856587</v>
      </c>
      <c r="AM73" s="562">
        <v>45849</v>
      </c>
      <c r="AN73" s="563">
        <v>520.30999999999995</v>
      </c>
      <c r="AO73" s="563">
        <v>1096876</v>
      </c>
      <c r="AP73" s="563">
        <v>270.82704999999999</v>
      </c>
      <c r="AQ73" s="563">
        <v>140914.02238549996</v>
      </c>
      <c r="AR73" s="563">
        <v>3.1120000000000001</v>
      </c>
    </row>
    <row r="74" spans="2:44" x14ac:dyDescent="0.25">
      <c r="B74" s="564">
        <v>45435</v>
      </c>
      <c r="C74" s="560">
        <v>6.3920000000000003</v>
      </c>
      <c r="D74" s="560">
        <v>5.0016999999999996</v>
      </c>
      <c r="E74" s="560">
        <v>11.1478</v>
      </c>
      <c r="F74" s="560">
        <v>2.7858000000000001</v>
      </c>
      <c r="G74" s="560">
        <v>6.2469999999999999</v>
      </c>
      <c r="H74" s="560">
        <v>9.8237000000000005</v>
      </c>
      <c r="I74" s="564">
        <v>45435</v>
      </c>
      <c r="J74" s="560">
        <v>11.6913</v>
      </c>
      <c r="K74" s="560">
        <v>7.2458</v>
      </c>
      <c r="L74" s="560">
        <v>15.8893</v>
      </c>
      <c r="M74" s="560">
        <v>6.4458000000000002</v>
      </c>
      <c r="N74" s="560">
        <v>7.9855</v>
      </c>
      <c r="O74" s="560">
        <v>16.9724</v>
      </c>
      <c r="P74" s="560"/>
      <c r="Q74" s="564">
        <v>45435</v>
      </c>
      <c r="R74" s="4">
        <v>412.78</v>
      </c>
      <c r="S74" s="4">
        <v>18322.77</v>
      </c>
      <c r="T74" s="4">
        <v>1147.3</v>
      </c>
      <c r="U74" s="4">
        <v>1.2296830314585319</v>
      </c>
      <c r="V74" s="4">
        <v>1.6255479406480804</v>
      </c>
      <c r="W74" s="4" t="e">
        <v>#DIV/0!</v>
      </c>
      <c r="Y74" s="560">
        <v>412.78</v>
      </c>
      <c r="Z74" s="4">
        <v>107.45</v>
      </c>
      <c r="AA74" s="4">
        <v>350.7</v>
      </c>
      <c r="AB74" s="4">
        <v>10.68</v>
      </c>
      <c r="AC74" s="4">
        <v>60.53</v>
      </c>
      <c r="AD74" s="4">
        <v>190.77</v>
      </c>
      <c r="AF74" s="4">
        <v>1.2296830314585319</v>
      </c>
      <c r="AG74" s="4">
        <v>1.0098684210526316</v>
      </c>
      <c r="AH74" s="4">
        <v>1.9612997035959956</v>
      </c>
      <c r="AI74" s="4">
        <v>0.88483844241922116</v>
      </c>
      <c r="AJ74" s="4">
        <v>1.8815666770282871</v>
      </c>
      <c r="AK74" s="4">
        <v>1.4286677151201979</v>
      </c>
      <c r="AM74" s="562">
        <v>45848</v>
      </c>
      <c r="AN74" s="563">
        <v>508.36</v>
      </c>
      <c r="AO74" s="563">
        <v>1375269</v>
      </c>
      <c r="AP74" s="563">
        <v>270.82704999999999</v>
      </c>
      <c r="AQ74" s="563">
        <v>137677.639138</v>
      </c>
      <c r="AR74" s="563">
        <v>3.0406</v>
      </c>
    </row>
    <row r="75" spans="2:44" x14ac:dyDescent="0.25">
      <c r="B75" s="564">
        <v>45428</v>
      </c>
      <c r="C75" s="560">
        <v>6.6391999999999998</v>
      </c>
      <c r="D75" s="560">
        <v>5.1832000000000003</v>
      </c>
      <c r="E75" s="560">
        <v>11.148400000000001</v>
      </c>
      <c r="F75" s="560">
        <v>2.9792000000000001</v>
      </c>
      <c r="G75" s="560">
        <v>6.2281000000000004</v>
      </c>
      <c r="H75" s="560">
        <v>10.070600000000001</v>
      </c>
      <c r="I75" s="564">
        <v>45428</v>
      </c>
      <c r="J75" s="560">
        <v>12.159599999999999</v>
      </c>
      <c r="K75" s="560">
        <v>7.5545999999999998</v>
      </c>
      <c r="L75" s="560">
        <v>15.8902</v>
      </c>
      <c r="M75" s="560">
        <v>6.9527999999999999</v>
      </c>
      <c r="N75" s="560">
        <v>7.9591000000000003</v>
      </c>
      <c r="O75" s="560">
        <v>17.439499999999999</v>
      </c>
      <c r="P75" s="560"/>
      <c r="Q75" s="564">
        <v>45428</v>
      </c>
      <c r="R75" s="4">
        <v>405.57</v>
      </c>
      <c r="S75" s="4">
        <v>18091.45</v>
      </c>
      <c r="T75" s="4">
        <v>1147.3</v>
      </c>
      <c r="U75" s="4">
        <v>1.2082042421353669</v>
      </c>
      <c r="V75" s="4">
        <v>1.6050258389336174</v>
      </c>
      <c r="W75" s="4" t="e">
        <v>#DIV/0!</v>
      </c>
      <c r="Y75" s="560">
        <v>405.57</v>
      </c>
      <c r="Z75" s="4">
        <v>112.03</v>
      </c>
      <c r="AA75" s="4">
        <v>350.72</v>
      </c>
      <c r="AB75" s="4">
        <v>11.52</v>
      </c>
      <c r="AC75" s="4">
        <v>60.33</v>
      </c>
      <c r="AD75" s="4">
        <v>196.02</v>
      </c>
      <c r="AF75" s="4">
        <v>1.2082042421353669</v>
      </c>
      <c r="AG75" s="4">
        <v>1.0529135338345865</v>
      </c>
      <c r="AH75" s="4">
        <v>1.9614115541636374</v>
      </c>
      <c r="AI75" s="4">
        <v>0.95443247721623858</v>
      </c>
      <c r="AJ75" s="4">
        <v>1.8753497046938139</v>
      </c>
      <c r="AK75" s="4">
        <v>1.4679847225342619</v>
      </c>
      <c r="AM75" s="562">
        <v>45847</v>
      </c>
      <c r="AN75" s="563">
        <v>508.49</v>
      </c>
      <c r="AO75" s="563">
        <v>1408642</v>
      </c>
      <c r="AP75" s="563">
        <v>270.82704999999999</v>
      </c>
      <c r="AQ75" s="563">
        <v>137712.8466545</v>
      </c>
      <c r="AR75" s="563">
        <v>3.0413000000000001</v>
      </c>
    </row>
    <row r="76" spans="2:44" x14ac:dyDescent="0.25">
      <c r="B76" s="564">
        <v>45421</v>
      </c>
      <c r="C76" s="560">
        <v>6.8762999999999996</v>
      </c>
      <c r="D76" s="560">
        <v>5.3518999999999997</v>
      </c>
      <c r="E76" s="560">
        <v>11.180999999999999</v>
      </c>
      <c r="F76" s="560">
        <v>3.0459000000000001</v>
      </c>
      <c r="G76" s="560">
        <v>6.2925000000000004</v>
      </c>
      <c r="H76" s="560">
        <v>10.177899999999999</v>
      </c>
      <c r="I76" s="564">
        <v>45421</v>
      </c>
      <c r="J76" s="560">
        <v>12.6088</v>
      </c>
      <c r="K76" s="560">
        <v>7.8418999999999999</v>
      </c>
      <c r="L76" s="560">
        <v>15.9382</v>
      </c>
      <c r="M76" s="560">
        <v>7.1277999999999997</v>
      </c>
      <c r="N76" s="560">
        <v>8.0488</v>
      </c>
      <c r="O76" s="560">
        <v>17.642299999999999</v>
      </c>
      <c r="P76" s="560"/>
      <c r="Q76" s="564">
        <v>45421</v>
      </c>
      <c r="R76" s="4">
        <v>391.41</v>
      </c>
      <c r="S76" s="4">
        <v>17440.689999999999</v>
      </c>
      <c r="T76" s="4">
        <v>1147.3</v>
      </c>
      <c r="U76" s="4">
        <v>1.1660212106768351</v>
      </c>
      <c r="V76" s="4">
        <v>1.5472921241155986</v>
      </c>
      <c r="W76" s="4" t="e">
        <v>#DIV/0!</v>
      </c>
      <c r="Y76" s="560">
        <v>391.41</v>
      </c>
      <c r="Z76" s="4">
        <v>116.29</v>
      </c>
      <c r="AA76" s="4">
        <v>351.78</v>
      </c>
      <c r="AB76" s="4">
        <v>11.81</v>
      </c>
      <c r="AC76" s="4">
        <v>61.01</v>
      </c>
      <c r="AD76" s="4">
        <v>198.3</v>
      </c>
      <c r="AF76" s="4">
        <v>1.1660212106768351</v>
      </c>
      <c r="AG76" s="4">
        <v>1.092951127819549</v>
      </c>
      <c r="AH76" s="4">
        <v>1.9673396342486436</v>
      </c>
      <c r="AI76" s="4">
        <v>0.97845898922949459</v>
      </c>
      <c r="AJ76" s="4">
        <v>1.8964874106310226</v>
      </c>
      <c r="AK76" s="4">
        <v>1.4850595371826556</v>
      </c>
      <c r="AM76" s="562">
        <v>45846</v>
      </c>
      <c r="AN76" s="563">
        <v>513.34</v>
      </c>
      <c r="AO76" s="563">
        <v>1835475</v>
      </c>
      <c r="AP76" s="563">
        <v>270.82704999999999</v>
      </c>
      <c r="AQ76" s="563">
        <v>139026.35784700001</v>
      </c>
      <c r="AR76" s="563">
        <v>3.0703</v>
      </c>
    </row>
    <row r="77" spans="2:44" x14ac:dyDescent="0.25">
      <c r="B77" s="564">
        <v>45414</v>
      </c>
      <c r="C77" s="560">
        <v>6.6641000000000004</v>
      </c>
      <c r="D77" s="560">
        <v>5.1276000000000002</v>
      </c>
      <c r="E77" s="560">
        <v>10.678100000000001</v>
      </c>
      <c r="F77" s="560">
        <v>2.9901</v>
      </c>
      <c r="G77" s="560">
        <v>5.9560000000000004</v>
      </c>
      <c r="H77" s="560">
        <v>10.034000000000001</v>
      </c>
      <c r="I77" s="564">
        <v>45414</v>
      </c>
      <c r="J77" s="560">
        <v>12.206799999999999</v>
      </c>
      <c r="K77" s="560">
        <v>7.4602000000000004</v>
      </c>
      <c r="L77" s="560">
        <v>15.197900000000001</v>
      </c>
      <c r="M77" s="560">
        <v>7.0494000000000003</v>
      </c>
      <c r="N77" s="560">
        <v>7.5804999999999998</v>
      </c>
      <c r="O77" s="560">
        <v>17.370100000000001</v>
      </c>
      <c r="P77" s="560"/>
      <c r="Q77" s="564">
        <v>45414</v>
      </c>
      <c r="R77" s="4">
        <v>397.21</v>
      </c>
      <c r="S77" s="4">
        <v>17471.47</v>
      </c>
      <c r="T77" s="4">
        <v>1134.2</v>
      </c>
      <c r="U77" s="4">
        <v>1.1832995710200189</v>
      </c>
      <c r="V77" s="4">
        <v>1.5500228447224256</v>
      </c>
      <c r="W77" s="4" t="e">
        <v>#DIV/0!</v>
      </c>
      <c r="Y77" s="560">
        <v>397.21</v>
      </c>
      <c r="Z77" s="4">
        <v>110.63</v>
      </c>
      <c r="AA77" s="4">
        <v>335.44</v>
      </c>
      <c r="AB77" s="4">
        <v>11.68</v>
      </c>
      <c r="AC77" s="4">
        <v>57.46</v>
      </c>
      <c r="AD77" s="4">
        <v>195.24</v>
      </c>
      <c r="AF77" s="4">
        <v>1.1832995710200189</v>
      </c>
      <c r="AG77" s="4">
        <v>1.0397556390977443</v>
      </c>
      <c r="AH77" s="4">
        <v>1.8759577204854314</v>
      </c>
      <c r="AI77" s="4">
        <v>0.96768848384424189</v>
      </c>
      <c r="AJ77" s="4">
        <v>1.786136151694125</v>
      </c>
      <c r="AK77" s="4">
        <v>1.4621433385756011</v>
      </c>
      <c r="AM77" s="562">
        <v>45845</v>
      </c>
      <c r="AN77" s="563">
        <v>513.34</v>
      </c>
      <c r="AO77" s="563">
        <v>1835475</v>
      </c>
      <c r="AP77" s="563">
        <v>270.82704999999999</v>
      </c>
      <c r="AQ77" s="563">
        <v>139026.35784700001</v>
      </c>
      <c r="AR77" s="563">
        <v>3.0703</v>
      </c>
    </row>
    <row r="78" spans="2:44" x14ac:dyDescent="0.25">
      <c r="B78" s="564">
        <v>45407</v>
      </c>
      <c r="C78" s="560">
        <v>6.5339999999999998</v>
      </c>
      <c r="D78" s="560">
        <v>5.4065000000000003</v>
      </c>
      <c r="E78" s="560">
        <v>10.9765</v>
      </c>
      <c r="F78" s="560">
        <v>2.9217</v>
      </c>
      <c r="G78" s="560">
        <v>6.1872999999999996</v>
      </c>
      <c r="H78" s="560">
        <v>10.2346</v>
      </c>
      <c r="I78" s="564">
        <v>45407</v>
      </c>
      <c r="J78" s="560">
        <v>11.5837</v>
      </c>
      <c r="K78" s="560">
        <v>7.9348999999999998</v>
      </c>
      <c r="L78" s="560">
        <v>15.3139</v>
      </c>
      <c r="M78" s="560">
        <v>6.8682999999999996</v>
      </c>
      <c r="N78" s="560">
        <v>7.9024000000000001</v>
      </c>
      <c r="O78" s="560">
        <v>17.7607</v>
      </c>
      <c r="P78" s="560"/>
      <c r="Q78" s="564">
        <v>45407</v>
      </c>
      <c r="R78" s="4">
        <v>393.01</v>
      </c>
      <c r="S78" s="4">
        <v>17713.66</v>
      </c>
      <c r="T78" s="4">
        <v>1134.2</v>
      </c>
      <c r="U78" s="4">
        <v>1.1707876549094376</v>
      </c>
      <c r="V78" s="4">
        <v>1.5715093042340365</v>
      </c>
      <c r="W78" s="4" t="e">
        <v>#DIV/0!</v>
      </c>
      <c r="Y78" s="560">
        <v>393.01</v>
      </c>
      <c r="Z78" s="4">
        <v>117.67</v>
      </c>
      <c r="AA78" s="4">
        <v>338</v>
      </c>
      <c r="AB78" s="4">
        <v>11.38</v>
      </c>
      <c r="AC78" s="4">
        <v>59.9</v>
      </c>
      <c r="AD78" s="4">
        <v>199.63</v>
      </c>
      <c r="AF78" s="4">
        <v>1.1707876549094376</v>
      </c>
      <c r="AG78" s="4">
        <v>1.1059210526315788</v>
      </c>
      <c r="AH78" s="4">
        <v>1.8902745931435603</v>
      </c>
      <c r="AI78" s="4">
        <v>0.94283347141673579</v>
      </c>
      <c r="AJ78" s="4">
        <v>1.8619832141746968</v>
      </c>
      <c r="AK78" s="4">
        <v>1.4950198457275519</v>
      </c>
      <c r="AM78" s="562">
        <v>45844</v>
      </c>
      <c r="AN78" s="563">
        <v>513.34</v>
      </c>
      <c r="AO78" s="563">
        <v>1835475</v>
      </c>
      <c r="AP78" s="563">
        <v>270.82704999999999</v>
      </c>
      <c r="AQ78" s="563">
        <v>139026.35784700001</v>
      </c>
      <c r="AR78" s="563">
        <v>3.0703</v>
      </c>
    </row>
    <row r="79" spans="2:44" x14ac:dyDescent="0.25">
      <c r="B79" s="564">
        <v>45400</v>
      </c>
      <c r="C79" s="560">
        <v>6.6378000000000004</v>
      </c>
      <c r="D79" s="560">
        <v>5.3693</v>
      </c>
      <c r="E79" s="560">
        <v>11.6028</v>
      </c>
      <c r="F79" s="560">
        <v>3.1541999999999999</v>
      </c>
      <c r="G79" s="560">
        <v>6.1749999999999998</v>
      </c>
      <c r="H79" s="560">
        <v>10.48</v>
      </c>
      <c r="I79" s="564">
        <v>45400</v>
      </c>
      <c r="J79" s="560">
        <v>11.7759</v>
      </c>
      <c r="K79" s="560">
        <v>7.8715000000000002</v>
      </c>
      <c r="L79" s="560">
        <v>16.216799999999999</v>
      </c>
      <c r="M79" s="560">
        <v>7.4839000000000002</v>
      </c>
      <c r="N79" s="560">
        <v>7.8852000000000002</v>
      </c>
      <c r="O79" s="560">
        <v>18.225100000000001</v>
      </c>
      <c r="P79" s="560"/>
      <c r="Q79" s="564">
        <v>45400</v>
      </c>
      <c r="R79" s="4">
        <v>411.48</v>
      </c>
      <c r="S79" s="4">
        <v>18169.900000000001</v>
      </c>
      <c r="T79" s="4">
        <v>1134.2</v>
      </c>
      <c r="U79" s="4">
        <v>1.2258102955195425</v>
      </c>
      <c r="V79" s="4">
        <v>1.6119857165036486</v>
      </c>
      <c r="W79" s="4" t="e">
        <v>#DIV/0!</v>
      </c>
      <c r="Y79" s="560">
        <v>411.48</v>
      </c>
      <c r="Z79" s="4">
        <v>116.73</v>
      </c>
      <c r="AA79" s="4">
        <v>357.93</v>
      </c>
      <c r="AB79" s="4">
        <v>12.4</v>
      </c>
      <c r="AC79" s="4">
        <v>59.77</v>
      </c>
      <c r="AD79" s="4">
        <v>204.85</v>
      </c>
      <c r="AF79" s="4">
        <v>1.2258102955195425</v>
      </c>
      <c r="AG79" s="4">
        <v>1.0970864661654136</v>
      </c>
      <c r="AH79" s="4">
        <v>2.0017336837984452</v>
      </c>
      <c r="AI79" s="4">
        <v>1.0273405136702569</v>
      </c>
      <c r="AJ79" s="4">
        <v>1.8579421821572895</v>
      </c>
      <c r="AK79" s="4">
        <v>1.5341121845278214</v>
      </c>
      <c r="AM79" s="562">
        <v>45843</v>
      </c>
      <c r="AN79" s="563">
        <v>508.53</v>
      </c>
      <c r="AO79" s="563">
        <v>1199411</v>
      </c>
      <c r="AP79" s="563">
        <v>270.82704999999999</v>
      </c>
      <c r="AQ79" s="563">
        <v>137723.67973649999</v>
      </c>
      <c r="AR79" s="563">
        <v>3.0415999999999999</v>
      </c>
    </row>
    <row r="80" spans="2:44" x14ac:dyDescent="0.25">
      <c r="B80" s="564">
        <v>45393</v>
      </c>
      <c r="C80" s="560">
        <v>6.8319999999999999</v>
      </c>
      <c r="D80" s="560">
        <v>5.5732999999999997</v>
      </c>
      <c r="E80" s="560">
        <v>12.0444</v>
      </c>
      <c r="F80" s="560">
        <v>3.2818999999999998</v>
      </c>
      <c r="G80" s="560">
        <v>6.6054000000000004</v>
      </c>
      <c r="H80" s="560">
        <v>11.186999999999999</v>
      </c>
      <c r="I80" s="564">
        <v>45393</v>
      </c>
      <c r="J80" s="560">
        <v>12.1357</v>
      </c>
      <c r="K80" s="560">
        <v>8.2187999999999999</v>
      </c>
      <c r="L80" s="560">
        <v>16.853400000000001</v>
      </c>
      <c r="M80" s="560">
        <v>7.8219000000000003</v>
      </c>
      <c r="N80" s="560">
        <v>8.4841999999999995</v>
      </c>
      <c r="O80" s="560">
        <v>19.563199999999998</v>
      </c>
      <c r="P80" s="560"/>
      <c r="Q80" s="564">
        <v>45393</v>
      </c>
      <c r="R80" s="4">
        <v>404</v>
      </c>
      <c r="S80" s="4">
        <v>18121.78</v>
      </c>
      <c r="T80" s="4">
        <v>1134.2</v>
      </c>
      <c r="U80" s="4">
        <v>1.2035271687321258</v>
      </c>
      <c r="V80" s="4">
        <v>1.6077166367245546</v>
      </c>
      <c r="W80" s="4" t="e">
        <v>#DIV/0!</v>
      </c>
      <c r="Y80" s="560">
        <v>404</v>
      </c>
      <c r="Z80" s="4">
        <v>121.88</v>
      </c>
      <c r="AA80" s="4">
        <v>371.98</v>
      </c>
      <c r="AB80" s="4">
        <v>12.96</v>
      </c>
      <c r="AC80" s="4">
        <v>64.31</v>
      </c>
      <c r="AD80" s="4">
        <v>219.89</v>
      </c>
      <c r="AF80" s="4">
        <v>1.2035271687321258</v>
      </c>
      <c r="AG80" s="4">
        <v>1.1454887218045111</v>
      </c>
      <c r="AH80" s="4">
        <v>2.0803087075666911</v>
      </c>
      <c r="AI80" s="4">
        <v>1.0737365368682685</v>
      </c>
      <c r="AJ80" s="4">
        <v>1.999067454149829</v>
      </c>
      <c r="AK80" s="4">
        <v>1.646746049576874</v>
      </c>
      <c r="AM80" s="562">
        <v>45842</v>
      </c>
      <c r="AN80" s="563">
        <v>506.74</v>
      </c>
      <c r="AO80" s="563">
        <v>1189224</v>
      </c>
      <c r="AP80" s="563">
        <v>270.82704999999999</v>
      </c>
      <c r="AQ80" s="563">
        <v>137238.899317</v>
      </c>
      <c r="AR80" s="563">
        <v>3.0308999999999999</v>
      </c>
    </row>
    <row r="81" spans="2:44" x14ac:dyDescent="0.25">
      <c r="B81" s="564">
        <v>45386</v>
      </c>
      <c r="C81" s="560">
        <v>6.7411000000000003</v>
      </c>
      <c r="D81" s="560">
        <v>5.5792000000000002</v>
      </c>
      <c r="E81" s="560">
        <v>11.9756</v>
      </c>
      <c r="F81" s="560">
        <v>3.25</v>
      </c>
      <c r="G81" s="560">
        <v>6.6233000000000004</v>
      </c>
      <c r="H81" s="560">
        <v>11.022399999999999</v>
      </c>
      <c r="I81" s="564">
        <v>45386</v>
      </c>
      <c r="J81" s="560">
        <v>11.9673</v>
      </c>
      <c r="K81" s="560">
        <v>8.2288999999999994</v>
      </c>
      <c r="L81" s="560">
        <v>16.754200000000001</v>
      </c>
      <c r="M81" s="560">
        <v>7.7374000000000001</v>
      </c>
      <c r="N81" s="560">
        <v>8.5039999999999996</v>
      </c>
      <c r="O81" s="560">
        <v>19.251799999999999</v>
      </c>
      <c r="P81" s="560"/>
      <c r="Q81" s="564">
        <v>45386</v>
      </c>
      <c r="R81" s="4">
        <v>398.52</v>
      </c>
      <c r="S81" s="4">
        <v>18210.54</v>
      </c>
      <c r="T81" s="4">
        <v>1134.2</v>
      </c>
      <c r="U81" s="4">
        <v>1.1872020972354622</v>
      </c>
      <c r="V81" s="4">
        <v>1.6155911903652938</v>
      </c>
      <c r="W81" s="4" t="e">
        <v>#DIV/0!</v>
      </c>
      <c r="Y81" s="560">
        <v>398.52</v>
      </c>
      <c r="Z81" s="4">
        <v>122.03</v>
      </c>
      <c r="AA81" s="4">
        <v>369.79</v>
      </c>
      <c r="AB81" s="4">
        <v>12.82</v>
      </c>
      <c r="AC81" s="4">
        <v>64.459999999999994</v>
      </c>
      <c r="AD81" s="4">
        <v>216.39</v>
      </c>
      <c r="AF81" s="4">
        <v>1.1872020972354622</v>
      </c>
      <c r="AG81" s="4">
        <v>1.1468984962406015</v>
      </c>
      <c r="AH81" s="4">
        <v>2.0680610704099323</v>
      </c>
      <c r="AI81" s="4">
        <v>1.0621375310687655</v>
      </c>
      <c r="AJ81" s="4">
        <v>2.0037301834006835</v>
      </c>
      <c r="AK81" s="4">
        <v>1.6205347113008313</v>
      </c>
      <c r="AM81" s="562">
        <v>45841</v>
      </c>
      <c r="AN81" s="563">
        <v>514.1</v>
      </c>
      <c r="AO81" s="563">
        <v>1215674</v>
      </c>
      <c r="AP81" s="563">
        <v>270.82704999999999</v>
      </c>
      <c r="AQ81" s="563">
        <v>139232.18640499999</v>
      </c>
      <c r="AR81" s="563">
        <v>3.0749</v>
      </c>
    </row>
    <row r="82" spans="2:44" x14ac:dyDescent="0.25">
      <c r="B82" s="564">
        <v>45379</v>
      </c>
      <c r="C82" s="560">
        <v>6.7986000000000004</v>
      </c>
      <c r="D82" s="560">
        <v>5.1104000000000003</v>
      </c>
      <c r="E82" s="560">
        <v>12.3437</v>
      </c>
      <c r="F82" s="560">
        <v>3.0503999999999998</v>
      </c>
      <c r="G82" s="560">
        <v>6.7659000000000002</v>
      </c>
      <c r="H82" s="560">
        <v>11.5006</v>
      </c>
      <c r="I82" s="564">
        <v>45379</v>
      </c>
      <c r="J82" s="560">
        <v>12.074</v>
      </c>
      <c r="K82" s="560">
        <v>7.7135999999999996</v>
      </c>
      <c r="L82" s="560">
        <v>16.4709</v>
      </c>
      <c r="M82" s="560">
        <v>7.5998000000000001</v>
      </c>
      <c r="N82" s="560">
        <v>8.4960000000000004</v>
      </c>
      <c r="O82" s="560">
        <v>20.099499999999999</v>
      </c>
      <c r="P82" s="560"/>
      <c r="Q82" s="564">
        <v>45379</v>
      </c>
      <c r="R82" s="4">
        <v>391.51</v>
      </c>
      <c r="S82" s="4">
        <v>18032.21</v>
      </c>
      <c r="T82" s="4">
        <v>1134.2</v>
      </c>
      <c r="U82" s="4">
        <v>1.1663191134413726</v>
      </c>
      <c r="V82" s="4">
        <v>1.599770222015215</v>
      </c>
      <c r="W82" s="4" t="e">
        <v>#DIV/0!</v>
      </c>
      <c r="Y82" s="560">
        <v>391.51</v>
      </c>
      <c r="Z82" s="4">
        <v>123.02</v>
      </c>
      <c r="AA82" s="4">
        <v>366.43</v>
      </c>
      <c r="AB82" s="4">
        <v>12.96</v>
      </c>
      <c r="AC82" s="4">
        <v>64.400000000000006</v>
      </c>
      <c r="AD82" s="4">
        <v>228.33</v>
      </c>
      <c r="AF82" s="4">
        <v>1.1663191134413726</v>
      </c>
      <c r="AG82" s="4">
        <v>1.1562030075187968</v>
      </c>
      <c r="AH82" s="4">
        <v>2.0492701750461384</v>
      </c>
      <c r="AI82" s="4">
        <v>1.0737365368682685</v>
      </c>
      <c r="AJ82" s="4">
        <v>2.001865091700342</v>
      </c>
      <c r="AK82" s="4">
        <v>1.7099528195911031</v>
      </c>
      <c r="AM82" s="562">
        <v>45840</v>
      </c>
      <c r="AN82" s="563">
        <v>514.08000000000004</v>
      </c>
      <c r="AO82" s="563">
        <v>1261442</v>
      </c>
      <c r="AP82" s="563">
        <v>270.82704999999999</v>
      </c>
      <c r="AQ82" s="563">
        <v>139226.769864</v>
      </c>
      <c r="AR82" s="563">
        <v>3.0748000000000002</v>
      </c>
    </row>
    <row r="83" spans="2:44" x14ac:dyDescent="0.25">
      <c r="B83" s="564">
        <v>45372</v>
      </c>
      <c r="C83" s="560">
        <v>6.5907999999999998</v>
      </c>
      <c r="D83" s="560">
        <v>4.9230999999999998</v>
      </c>
      <c r="E83" s="560">
        <v>12.2819</v>
      </c>
      <c r="F83" s="560">
        <v>3.0257000000000001</v>
      </c>
      <c r="G83" s="560">
        <v>6.5134999999999996</v>
      </c>
      <c r="H83" s="560">
        <v>10.8047</v>
      </c>
      <c r="I83" s="564">
        <v>45372</v>
      </c>
      <c r="J83" s="560">
        <v>11.6889</v>
      </c>
      <c r="K83" s="560">
        <v>7.4006999999999996</v>
      </c>
      <c r="L83" s="560">
        <v>16.386800000000001</v>
      </c>
      <c r="M83" s="560">
        <v>7.5353000000000003</v>
      </c>
      <c r="N83" s="560">
        <v>8.1516999999999999</v>
      </c>
      <c r="O83" s="560">
        <v>18.794899999999998</v>
      </c>
      <c r="P83" s="560"/>
      <c r="Q83" s="564">
        <v>45372</v>
      </c>
      <c r="R83" s="4">
        <v>372.65</v>
      </c>
      <c r="S83" s="4">
        <v>18219.12</v>
      </c>
      <c r="T83" s="4">
        <v>1134.2</v>
      </c>
      <c r="U83" s="4">
        <v>1.110134652049571</v>
      </c>
      <c r="V83" s="4">
        <v>1.6163523853882493</v>
      </c>
      <c r="W83" s="4" t="e">
        <v>#DIV/0!</v>
      </c>
      <c r="Y83" s="560">
        <v>372.65</v>
      </c>
      <c r="Z83" s="4">
        <v>118.03</v>
      </c>
      <c r="AA83" s="4">
        <v>364.56</v>
      </c>
      <c r="AB83" s="4">
        <v>12.85</v>
      </c>
      <c r="AC83" s="4">
        <v>61.79</v>
      </c>
      <c r="AD83" s="4">
        <v>213.51</v>
      </c>
      <c r="AF83" s="4">
        <v>1.110134652049571</v>
      </c>
      <c r="AG83" s="4">
        <v>1.1093045112781954</v>
      </c>
      <c r="AH83" s="4">
        <v>2.038812146971646</v>
      </c>
      <c r="AI83" s="4">
        <v>1.064623032311516</v>
      </c>
      <c r="AJ83" s="4">
        <v>1.9207336027354678</v>
      </c>
      <c r="AK83" s="4">
        <v>1.5989665243765445</v>
      </c>
      <c r="AM83" s="562">
        <v>45839</v>
      </c>
      <c r="AN83" s="563">
        <v>521.38</v>
      </c>
      <c r="AO83" s="563">
        <v>1389711</v>
      </c>
      <c r="AP83" s="563">
        <v>270.82704999999999</v>
      </c>
      <c r="AQ83" s="563">
        <v>141203.807329</v>
      </c>
      <c r="AR83" s="563">
        <v>3.1183999999999998</v>
      </c>
    </row>
    <row r="84" spans="2:44" x14ac:dyDescent="0.25">
      <c r="B84" s="564">
        <v>45365</v>
      </c>
      <c r="C84" s="560">
        <v>6.3146000000000004</v>
      </c>
      <c r="D84" s="560">
        <v>4.8465999999999996</v>
      </c>
      <c r="E84" s="560">
        <v>11.5336</v>
      </c>
      <c r="F84" s="560">
        <v>2.9578000000000002</v>
      </c>
      <c r="G84" s="560">
        <v>6.1809000000000003</v>
      </c>
      <c r="H84" s="560">
        <v>10.366099999999999</v>
      </c>
      <c r="I84" s="564">
        <v>45365</v>
      </c>
      <c r="J84" s="560">
        <v>11.177099999999999</v>
      </c>
      <c r="K84" s="560">
        <v>7.2728000000000002</v>
      </c>
      <c r="L84" s="560">
        <v>15.3691</v>
      </c>
      <c r="M84" s="560">
        <v>7.2948000000000004</v>
      </c>
      <c r="N84" s="560">
        <v>7.6978999999999997</v>
      </c>
      <c r="O84" s="560">
        <v>17.9727</v>
      </c>
      <c r="P84" s="560"/>
      <c r="Q84" s="564">
        <v>45365</v>
      </c>
      <c r="R84" s="4">
        <v>366.73</v>
      </c>
      <c r="S84" s="4">
        <v>17897.87</v>
      </c>
      <c r="T84" s="4">
        <v>1134.2</v>
      </c>
      <c r="U84" s="4">
        <v>1.092498808388942</v>
      </c>
      <c r="V84" s="4">
        <v>1.5878519307117349</v>
      </c>
      <c r="W84" s="4" t="e">
        <v>#DIV/0!</v>
      </c>
      <c r="Y84" s="560">
        <v>366.73</v>
      </c>
      <c r="Z84" s="4">
        <v>115.99</v>
      </c>
      <c r="AA84" s="4">
        <v>341.92</v>
      </c>
      <c r="AB84" s="4">
        <v>12.44</v>
      </c>
      <c r="AC84" s="4">
        <v>58.35</v>
      </c>
      <c r="AD84" s="4">
        <v>204.17</v>
      </c>
      <c r="AF84" s="4">
        <v>1.092498808388942</v>
      </c>
      <c r="AG84" s="4">
        <v>1.0901315789473682</v>
      </c>
      <c r="AH84" s="4">
        <v>1.9121973044013199</v>
      </c>
      <c r="AI84" s="4">
        <v>1.0306545153272575</v>
      </c>
      <c r="AJ84" s="4">
        <v>1.8138016785825302</v>
      </c>
      <c r="AK84" s="4">
        <v>1.5290196959484759</v>
      </c>
      <c r="AM84" s="562">
        <v>45838</v>
      </c>
      <c r="AN84" s="563">
        <v>521.38</v>
      </c>
      <c r="AO84" s="563">
        <v>1389711</v>
      </c>
      <c r="AP84" s="563">
        <v>270.82704999999999</v>
      </c>
      <c r="AQ84" s="563">
        <v>141203.807329</v>
      </c>
      <c r="AR84" s="563">
        <v>3.1183999999999998</v>
      </c>
    </row>
    <row r="85" spans="2:44" x14ac:dyDescent="0.25">
      <c r="B85" s="564">
        <v>45358</v>
      </c>
      <c r="C85" s="560">
        <v>6.2367999999999997</v>
      </c>
      <c r="D85" s="560">
        <v>4.7351000000000001</v>
      </c>
      <c r="E85" s="560">
        <v>11.477399999999999</v>
      </c>
      <c r="F85" s="560">
        <v>2.8146</v>
      </c>
      <c r="G85" s="560">
        <v>6.2496</v>
      </c>
      <c r="H85" s="560">
        <v>10.440200000000001</v>
      </c>
      <c r="I85" s="564">
        <v>45358</v>
      </c>
      <c r="J85" s="560">
        <v>11.0328</v>
      </c>
      <c r="K85" s="560">
        <v>7.0865</v>
      </c>
      <c r="L85" s="560">
        <v>15.2927</v>
      </c>
      <c r="M85" s="560">
        <v>6.9253999999999998</v>
      </c>
      <c r="N85" s="560">
        <v>7.7915999999999999</v>
      </c>
      <c r="O85" s="560">
        <v>18.156700000000001</v>
      </c>
      <c r="P85" s="560"/>
      <c r="Q85" s="564">
        <v>45358</v>
      </c>
      <c r="R85" s="4">
        <v>360.66</v>
      </c>
      <c r="S85" s="4">
        <v>17971.05</v>
      </c>
      <c r="T85" s="4">
        <v>1134.2</v>
      </c>
      <c r="U85" s="4">
        <v>1.0744161105815062</v>
      </c>
      <c r="V85" s="4">
        <v>1.5943442677490185</v>
      </c>
      <c r="W85" s="4" t="e">
        <v>#DIV/0!</v>
      </c>
      <c r="Y85" s="560">
        <v>360.66</v>
      </c>
      <c r="Z85" s="4">
        <v>113.02</v>
      </c>
      <c r="AA85" s="4">
        <v>340.22</v>
      </c>
      <c r="AB85" s="4">
        <v>11.81</v>
      </c>
      <c r="AC85" s="4">
        <v>59.06</v>
      </c>
      <c r="AD85" s="4">
        <v>206.26</v>
      </c>
      <c r="AF85" s="4">
        <v>1.0744161105815062</v>
      </c>
      <c r="AG85" s="4">
        <v>1.0622180451127818</v>
      </c>
      <c r="AH85" s="4">
        <v>1.9026900061517813</v>
      </c>
      <c r="AI85" s="4">
        <v>0.97845898922949459</v>
      </c>
      <c r="AJ85" s="4">
        <v>1.8358719303699098</v>
      </c>
      <c r="AK85" s="4">
        <v>1.5446716093761701</v>
      </c>
      <c r="AM85" s="562">
        <v>45837</v>
      </c>
      <c r="AN85" s="563">
        <v>521.38</v>
      </c>
      <c r="AO85" s="563">
        <v>1389711</v>
      </c>
      <c r="AP85" s="563">
        <v>270.82704999999999</v>
      </c>
      <c r="AQ85" s="563">
        <v>141203.807329</v>
      </c>
      <c r="AR85" s="563">
        <v>3.1183999999999998</v>
      </c>
    </row>
    <row r="86" spans="2:44" x14ac:dyDescent="0.25">
      <c r="B86" s="564">
        <v>45351</v>
      </c>
      <c r="C86" s="560">
        <v>6.0738000000000003</v>
      </c>
      <c r="D86" s="560">
        <v>4.6105999999999998</v>
      </c>
      <c r="E86" s="560">
        <v>11.2706</v>
      </c>
      <c r="F86" s="560">
        <v>2.8464</v>
      </c>
      <c r="G86" s="560">
        <v>6.0842000000000001</v>
      </c>
      <c r="H86" s="560">
        <v>10.254300000000001</v>
      </c>
      <c r="I86" s="564">
        <v>45351</v>
      </c>
      <c r="J86" s="560">
        <v>10.7309</v>
      </c>
      <c r="K86" s="560">
        <v>6.8784000000000001</v>
      </c>
      <c r="L86" s="560">
        <v>15.0113</v>
      </c>
      <c r="M86" s="560">
        <v>7.0075000000000003</v>
      </c>
      <c r="N86" s="560">
        <v>7.5659999999999998</v>
      </c>
      <c r="O86" s="560">
        <v>17.807200000000002</v>
      </c>
      <c r="P86" s="560"/>
      <c r="Q86" s="564">
        <v>45351</v>
      </c>
      <c r="R86" s="4">
        <v>357.38</v>
      </c>
      <c r="S86" s="4">
        <v>17546.099999999999</v>
      </c>
      <c r="T86" s="4">
        <v>1134.2</v>
      </c>
      <c r="U86" s="4">
        <v>1.0646448999046711</v>
      </c>
      <c r="V86" s="4">
        <v>1.5566438219442411</v>
      </c>
      <c r="W86" s="4" t="e">
        <v>#DIV/0!</v>
      </c>
      <c r="Y86" s="560">
        <v>357.38</v>
      </c>
      <c r="Z86" s="4">
        <v>109.7</v>
      </c>
      <c r="AA86" s="4">
        <v>333.96</v>
      </c>
      <c r="AB86" s="4">
        <v>11.95</v>
      </c>
      <c r="AC86" s="4">
        <v>57.35</v>
      </c>
      <c r="AD86" s="4">
        <v>202.29</v>
      </c>
      <c r="AF86" s="4">
        <v>1.0646448999046711</v>
      </c>
      <c r="AG86" s="4">
        <v>1.0310150375939848</v>
      </c>
      <c r="AH86" s="4">
        <v>1.8676807784799507</v>
      </c>
      <c r="AI86" s="4">
        <v>0.99005799502899738</v>
      </c>
      <c r="AJ86" s="4">
        <v>1.7827168169101646</v>
      </c>
      <c r="AK86" s="4">
        <v>1.5149404628173444</v>
      </c>
      <c r="AM86" s="562">
        <v>45836</v>
      </c>
      <c r="AN86" s="563">
        <v>524.98</v>
      </c>
      <c r="AO86" s="563">
        <v>959731</v>
      </c>
      <c r="AP86" s="563">
        <v>270.82704999999999</v>
      </c>
      <c r="AQ86" s="563">
        <v>142178.784709</v>
      </c>
      <c r="AR86" s="563">
        <v>3.14</v>
      </c>
    </row>
    <row r="87" spans="2:44" x14ac:dyDescent="0.25">
      <c r="B87" s="564">
        <v>45344</v>
      </c>
      <c r="C87" s="560">
        <v>5.9757999999999996</v>
      </c>
      <c r="D87" s="560">
        <v>4.5270999999999999</v>
      </c>
      <c r="E87" s="560">
        <v>10.878299999999999</v>
      </c>
      <c r="F87" s="560">
        <v>3.0021</v>
      </c>
      <c r="G87" s="560">
        <v>5.6733000000000002</v>
      </c>
      <c r="H87" s="560">
        <v>10.8177</v>
      </c>
      <c r="I87" s="564">
        <v>45344</v>
      </c>
      <c r="J87" s="560">
        <v>10.4878</v>
      </c>
      <c r="K87" s="560">
        <v>6.7153999999999998</v>
      </c>
      <c r="L87" s="560">
        <v>14.4778</v>
      </c>
      <c r="M87" s="560">
        <v>6.9958</v>
      </c>
      <c r="N87" s="560">
        <v>7.0053000000000001</v>
      </c>
      <c r="O87" s="560">
        <v>18.866199999999999</v>
      </c>
      <c r="P87" s="560"/>
      <c r="Q87" s="564">
        <v>45344</v>
      </c>
      <c r="R87" s="4">
        <v>379.27</v>
      </c>
      <c r="S87" s="4">
        <v>17600.419999999998</v>
      </c>
      <c r="T87" s="4">
        <v>1134.2</v>
      </c>
      <c r="U87" s="4">
        <v>1.1298558150619638</v>
      </c>
      <c r="V87" s="4">
        <v>1.5614629494089203</v>
      </c>
      <c r="W87" s="4" t="e">
        <v>#DIV/0!</v>
      </c>
      <c r="Y87" s="560">
        <v>379.27</v>
      </c>
      <c r="Z87" s="4">
        <v>107.1</v>
      </c>
      <c r="AA87" s="4">
        <v>322.08999999999997</v>
      </c>
      <c r="AB87" s="4">
        <v>11.93</v>
      </c>
      <c r="AC87" s="4">
        <v>53.1</v>
      </c>
      <c r="AD87" s="4">
        <v>214.32</v>
      </c>
      <c r="AF87" s="4">
        <v>1.1298558150619638</v>
      </c>
      <c r="AG87" s="4">
        <v>1.006578947368421</v>
      </c>
      <c r="AH87" s="4">
        <v>1.8012974665846428</v>
      </c>
      <c r="AI87" s="4">
        <v>0.9884009942004971</v>
      </c>
      <c r="AJ87" s="4">
        <v>1.6506061548026112</v>
      </c>
      <c r="AK87" s="4">
        <v>1.6050325769490001</v>
      </c>
      <c r="AM87" s="562">
        <v>45835</v>
      </c>
      <c r="AN87" s="563">
        <v>524.98</v>
      </c>
      <c r="AO87" s="563">
        <v>959731</v>
      </c>
      <c r="AP87" s="563">
        <v>270.82704999999999</v>
      </c>
      <c r="AQ87" s="563">
        <v>142178.784709</v>
      </c>
      <c r="AR87" s="563">
        <v>3.14</v>
      </c>
    </row>
    <row r="88" spans="2:44" x14ac:dyDescent="0.25">
      <c r="B88" s="564">
        <v>45337</v>
      </c>
      <c r="C88" s="560">
        <v>6.1016000000000004</v>
      </c>
      <c r="D88" s="560">
        <v>4.6581000000000001</v>
      </c>
      <c r="E88" s="560">
        <v>11.1182</v>
      </c>
      <c r="F88" s="560">
        <v>3.1032000000000002</v>
      </c>
      <c r="G88" s="560">
        <v>6.0377999999999998</v>
      </c>
      <c r="H88" s="560">
        <v>11.137</v>
      </c>
      <c r="I88" s="564">
        <v>45337</v>
      </c>
      <c r="J88" s="560">
        <v>10.7194</v>
      </c>
      <c r="K88" s="560">
        <v>6.9336000000000002</v>
      </c>
      <c r="L88" s="560">
        <v>14.521800000000001</v>
      </c>
      <c r="M88" s="560">
        <v>7.2420999999999998</v>
      </c>
      <c r="N88" s="560">
        <v>7.5026000000000002</v>
      </c>
      <c r="O88" s="560">
        <v>19.471800000000002</v>
      </c>
      <c r="P88" s="560"/>
      <c r="Q88" s="564">
        <v>45337</v>
      </c>
      <c r="R88" s="4">
        <v>388.9</v>
      </c>
      <c r="S88" s="4">
        <v>17572.73</v>
      </c>
      <c r="T88" s="4">
        <v>1134.2</v>
      </c>
      <c r="U88" s="4">
        <v>1.1585438512869399</v>
      </c>
      <c r="V88" s="4">
        <v>1.5590063654712001</v>
      </c>
      <c r="W88" s="4" t="e">
        <v>#DIV/0!</v>
      </c>
      <c r="Y88" s="560">
        <v>388.9</v>
      </c>
      <c r="Z88" s="4">
        <v>110.58</v>
      </c>
      <c r="AA88" s="4">
        <v>323.07</v>
      </c>
      <c r="AB88" s="4">
        <v>12.35</v>
      </c>
      <c r="AC88" s="4">
        <v>56.87</v>
      </c>
      <c r="AD88" s="4">
        <v>221.2</v>
      </c>
      <c r="AF88" s="4">
        <v>1.1585438512869399</v>
      </c>
      <c r="AG88" s="4">
        <v>1.0392857142857141</v>
      </c>
      <c r="AH88" s="4">
        <v>1.8067781443990827</v>
      </c>
      <c r="AI88" s="4">
        <v>1.0231980115990058</v>
      </c>
      <c r="AJ88" s="4">
        <v>1.7677960833074291</v>
      </c>
      <c r="AK88" s="4">
        <v>1.6565565790459071</v>
      </c>
      <c r="AM88" s="562">
        <v>45834</v>
      </c>
      <c r="AN88" s="563">
        <v>523.12</v>
      </c>
      <c r="AO88" s="563">
        <v>862537</v>
      </c>
      <c r="AP88" s="563">
        <v>270.82704999999999</v>
      </c>
      <c r="AQ88" s="563">
        <v>141675.04639599999</v>
      </c>
      <c r="AR88" s="563">
        <v>3.1288</v>
      </c>
    </row>
    <row r="89" spans="2:44" x14ac:dyDescent="0.25">
      <c r="B89" s="564">
        <v>45330</v>
      </c>
      <c r="C89" s="560">
        <v>6.4394</v>
      </c>
      <c r="D89" s="560">
        <v>4.9157000000000002</v>
      </c>
      <c r="E89" s="560">
        <v>11.0822</v>
      </c>
      <c r="F89" s="560">
        <v>3.0623</v>
      </c>
      <c r="G89" s="560">
        <v>6.7888999999999999</v>
      </c>
      <c r="H89" s="560">
        <v>10.8939</v>
      </c>
      <c r="I89" s="564">
        <v>45330</v>
      </c>
      <c r="J89" s="560">
        <v>11.341699999999999</v>
      </c>
      <c r="K89" s="560">
        <v>7.3624000000000001</v>
      </c>
      <c r="L89" s="560">
        <v>14.473699999999999</v>
      </c>
      <c r="M89" s="560">
        <v>7.1424000000000003</v>
      </c>
      <c r="N89" s="560">
        <v>8.4893999999999998</v>
      </c>
      <c r="O89" s="560">
        <v>19.015000000000001</v>
      </c>
      <c r="P89" s="560"/>
      <c r="Q89" s="564">
        <v>45330</v>
      </c>
      <c r="R89" s="4">
        <v>396.93</v>
      </c>
      <c r="S89" s="4">
        <v>17476.71</v>
      </c>
      <c r="T89" s="4">
        <v>1134.2</v>
      </c>
      <c r="U89" s="4">
        <v>1.1824654432793136</v>
      </c>
      <c r="V89" s="4">
        <v>1.5504877237341139</v>
      </c>
      <c r="W89" s="4" t="e">
        <v>#DIV/0!</v>
      </c>
      <c r="Y89" s="560">
        <v>396.93</v>
      </c>
      <c r="Z89" s="4">
        <v>117.42</v>
      </c>
      <c r="AA89" s="4">
        <v>322</v>
      </c>
      <c r="AB89" s="4">
        <v>12.18</v>
      </c>
      <c r="AC89" s="4">
        <v>64.349999999999994</v>
      </c>
      <c r="AD89" s="4">
        <v>216.01</v>
      </c>
      <c r="AF89" s="4">
        <v>1.1824654432793136</v>
      </c>
      <c r="AG89" s="4">
        <v>1.1035714285714284</v>
      </c>
      <c r="AH89" s="4">
        <v>1.8007941390302555</v>
      </c>
      <c r="AI89" s="4">
        <v>1.0091135045567523</v>
      </c>
      <c r="AJ89" s="4">
        <v>2.0003108486167234</v>
      </c>
      <c r="AK89" s="4">
        <v>1.6176889088594322</v>
      </c>
      <c r="AM89" s="562">
        <v>45833</v>
      </c>
      <c r="AN89" s="563">
        <v>524.44000000000005</v>
      </c>
      <c r="AO89" s="563">
        <v>1278803</v>
      </c>
      <c r="AP89" s="563">
        <v>270.82704999999999</v>
      </c>
      <c r="AQ89" s="563">
        <v>142032.53810200002</v>
      </c>
      <c r="AR89" s="563">
        <v>3.1366999999999998</v>
      </c>
    </row>
    <row r="90" spans="2:44" x14ac:dyDescent="0.25">
      <c r="B90" s="564">
        <v>45323</v>
      </c>
      <c r="C90" s="560">
        <v>6.5646000000000004</v>
      </c>
      <c r="D90" s="560">
        <v>5.1360000000000001</v>
      </c>
      <c r="E90" s="560">
        <v>10.6</v>
      </c>
      <c r="F90" s="560">
        <v>3.0912000000000002</v>
      </c>
      <c r="G90" s="560">
        <v>6.6247999999999996</v>
      </c>
      <c r="H90" s="560">
        <v>10.8757</v>
      </c>
      <c r="I90" s="564">
        <v>45323</v>
      </c>
      <c r="J90" s="560">
        <v>11.5725</v>
      </c>
      <c r="K90" s="560">
        <v>7.7291999999999996</v>
      </c>
      <c r="L90" s="560">
        <v>13.830500000000001</v>
      </c>
      <c r="M90" s="560">
        <v>7.2126999999999999</v>
      </c>
      <c r="N90" s="560">
        <v>8.2665000000000006</v>
      </c>
      <c r="O90" s="560">
        <v>18.980599999999999</v>
      </c>
      <c r="P90" s="560"/>
      <c r="Q90" s="564">
        <v>45323</v>
      </c>
      <c r="R90" s="4">
        <v>387.46</v>
      </c>
      <c r="S90" s="4">
        <v>17404.21</v>
      </c>
      <c r="T90" s="4">
        <v>1134.2</v>
      </c>
      <c r="U90" s="4">
        <v>1.1542540514775976</v>
      </c>
      <c r="V90" s="4">
        <v>1.5440557145075076</v>
      </c>
      <c r="W90" s="4" t="e">
        <v>#DIV/0!</v>
      </c>
      <c r="Y90" s="560">
        <v>387.46</v>
      </c>
      <c r="Z90" s="4">
        <v>123.27</v>
      </c>
      <c r="AA90" s="4">
        <v>307.69</v>
      </c>
      <c r="AB90" s="4">
        <v>12.3</v>
      </c>
      <c r="AC90" s="4">
        <v>62.66</v>
      </c>
      <c r="AD90" s="4">
        <v>215.62</v>
      </c>
      <c r="AF90" s="4">
        <v>1.1542540514775976</v>
      </c>
      <c r="AG90" s="4">
        <v>1.1585526315789472</v>
      </c>
      <c r="AH90" s="4">
        <v>1.7207650578826688</v>
      </c>
      <c r="AI90" s="4">
        <v>1.0190555095277547</v>
      </c>
      <c r="AJ90" s="4">
        <v>1.9477774323904256</v>
      </c>
      <c r="AK90" s="4">
        <v>1.6147682168801019</v>
      </c>
      <c r="AM90" s="562">
        <v>45832</v>
      </c>
      <c r="AN90" s="563">
        <v>509.59</v>
      </c>
      <c r="AO90" s="563">
        <v>824507</v>
      </c>
      <c r="AP90" s="563">
        <v>270.82704999999999</v>
      </c>
      <c r="AQ90" s="563">
        <v>138010.7564095</v>
      </c>
      <c r="AR90" s="563">
        <v>3.0478999999999998</v>
      </c>
    </row>
    <row r="91" spans="2:44" x14ac:dyDescent="0.25">
      <c r="B91" s="564">
        <v>45316</v>
      </c>
      <c r="C91" s="560">
        <v>6.452</v>
      </c>
      <c r="D91" s="560">
        <v>5.1585999999999999</v>
      </c>
      <c r="E91" s="560">
        <v>10.366899999999999</v>
      </c>
      <c r="F91" s="560">
        <v>3.0045000000000002</v>
      </c>
      <c r="G91" s="560">
        <v>6.5781999999999998</v>
      </c>
      <c r="H91" s="560">
        <v>10.722099999999999</v>
      </c>
      <c r="I91" s="564">
        <v>45316</v>
      </c>
      <c r="J91" s="560">
        <v>11.4451</v>
      </c>
      <c r="K91" s="560">
        <v>7.7668999999999997</v>
      </c>
      <c r="L91" s="560">
        <v>13.519500000000001</v>
      </c>
      <c r="M91" s="560">
        <v>7.0015999999999998</v>
      </c>
      <c r="N91" s="560">
        <v>8.2032000000000007</v>
      </c>
      <c r="O91" s="560">
        <v>18.6919</v>
      </c>
      <c r="P91" s="560"/>
      <c r="Q91" s="564">
        <v>45316</v>
      </c>
      <c r="R91" s="4">
        <v>385.35</v>
      </c>
      <c r="S91" s="4">
        <v>16830.71</v>
      </c>
      <c r="T91" s="4">
        <v>1134.2</v>
      </c>
      <c r="U91" s="4">
        <v>1.1479683031458532</v>
      </c>
      <c r="V91" s="4">
        <v>1.4931763035908354</v>
      </c>
      <c r="W91" s="4" t="e">
        <v>#DIV/0!</v>
      </c>
      <c r="Y91" s="560">
        <v>385.35</v>
      </c>
      <c r="Z91" s="4">
        <v>123.87</v>
      </c>
      <c r="AA91" s="4">
        <v>300.77</v>
      </c>
      <c r="AB91" s="4">
        <v>11.94</v>
      </c>
      <c r="AC91" s="4">
        <v>62.18</v>
      </c>
      <c r="AD91" s="4">
        <v>212.34</v>
      </c>
      <c r="AF91" s="4">
        <v>1.1479683031458532</v>
      </c>
      <c r="AG91" s="4">
        <v>1.1641917293233082</v>
      </c>
      <c r="AH91" s="4">
        <v>1.6820647614786643</v>
      </c>
      <c r="AI91" s="4">
        <v>0.9892294946147473</v>
      </c>
      <c r="AJ91" s="4">
        <v>1.9328566987876903</v>
      </c>
      <c r="AK91" s="4">
        <v>1.5902044484385531</v>
      </c>
      <c r="AM91" s="562">
        <v>45831</v>
      </c>
      <c r="AN91" s="563">
        <v>509.59</v>
      </c>
      <c r="AO91" s="563">
        <v>824507</v>
      </c>
      <c r="AP91" s="563">
        <v>270.82704999999999</v>
      </c>
      <c r="AQ91" s="563">
        <v>138010.7564095</v>
      </c>
      <c r="AR91" s="563">
        <v>3.0478999999999998</v>
      </c>
    </row>
    <row r="92" spans="2:44" x14ac:dyDescent="0.25">
      <c r="B92" s="564">
        <v>45309</v>
      </c>
      <c r="C92" s="560">
        <v>6.2659000000000002</v>
      </c>
      <c r="D92" s="560">
        <v>4.8562000000000003</v>
      </c>
      <c r="E92" s="560">
        <v>9.7310999999999996</v>
      </c>
      <c r="F92" s="560">
        <v>2.9155000000000002</v>
      </c>
      <c r="G92" s="560">
        <v>6.0381</v>
      </c>
      <c r="H92" s="560">
        <v>10.2637</v>
      </c>
      <c r="I92" s="564">
        <v>45309</v>
      </c>
      <c r="J92" s="560">
        <v>11.1067</v>
      </c>
      <c r="K92" s="560">
        <v>7.2633999999999999</v>
      </c>
      <c r="L92" s="560">
        <v>12.6713</v>
      </c>
      <c r="M92" s="560">
        <v>6.7847</v>
      </c>
      <c r="N92" s="560">
        <v>7.4696999999999996</v>
      </c>
      <c r="O92" s="560">
        <v>17.830100000000002</v>
      </c>
      <c r="P92" s="560"/>
      <c r="Q92" s="564">
        <v>45309</v>
      </c>
      <c r="R92" s="4">
        <v>393.22</v>
      </c>
      <c r="S92" s="4">
        <v>16678.71</v>
      </c>
      <c r="T92" s="4">
        <v>1134.2</v>
      </c>
      <c r="U92" s="4">
        <v>1.1714132507149666</v>
      </c>
      <c r="V92" s="4">
        <v>1.4796912635571229</v>
      </c>
      <c r="W92" s="4" t="e">
        <v>#DIV/0!</v>
      </c>
      <c r="Y92" s="560">
        <v>393.22</v>
      </c>
      <c r="Z92" s="4">
        <v>115.84</v>
      </c>
      <c r="AA92" s="4">
        <v>281.89999999999998</v>
      </c>
      <c r="AB92" s="4">
        <v>11.57</v>
      </c>
      <c r="AC92" s="4">
        <v>56.62</v>
      </c>
      <c r="AD92" s="4">
        <v>202.55</v>
      </c>
      <c r="AF92" s="4">
        <v>1.1714132507149666</v>
      </c>
      <c r="AG92" s="4">
        <v>1.0887218045112781</v>
      </c>
      <c r="AH92" s="4">
        <v>1.5765337509087858</v>
      </c>
      <c r="AI92" s="4">
        <v>0.95857497928748969</v>
      </c>
      <c r="AJ92" s="4">
        <v>1.7600248678893378</v>
      </c>
      <c r="AK92" s="4">
        <v>1.5168875908035648</v>
      </c>
      <c r="AM92" s="562">
        <v>45830</v>
      </c>
      <c r="AN92" s="563">
        <v>509.59</v>
      </c>
      <c r="AO92" s="563">
        <v>824507</v>
      </c>
      <c r="AP92" s="563">
        <v>270.82704999999999</v>
      </c>
      <c r="AQ92" s="563">
        <v>138010.7564095</v>
      </c>
      <c r="AR92" s="563">
        <v>3.0478999999999998</v>
      </c>
    </row>
    <row r="93" spans="2:44" x14ac:dyDescent="0.25">
      <c r="B93" s="564">
        <v>45302</v>
      </c>
      <c r="C93" s="560">
        <v>6.4073000000000002</v>
      </c>
      <c r="D93" s="560">
        <v>4.9884000000000004</v>
      </c>
      <c r="E93" s="560">
        <v>10.073399999999999</v>
      </c>
      <c r="F93" s="560">
        <v>2.9275000000000002</v>
      </c>
      <c r="G93" s="560">
        <v>6.0605000000000002</v>
      </c>
      <c r="H93" s="560">
        <v>10.1663</v>
      </c>
      <c r="I93" s="564">
        <v>45302</v>
      </c>
      <c r="J93" s="560">
        <v>11.363899999999999</v>
      </c>
      <c r="K93" s="560">
        <v>7.4833999999999996</v>
      </c>
      <c r="L93" s="560">
        <v>13.128</v>
      </c>
      <c r="M93" s="560">
        <v>6.8140000000000001</v>
      </c>
      <c r="N93" s="560">
        <v>7.5</v>
      </c>
      <c r="O93" s="560">
        <v>17.646999999999998</v>
      </c>
      <c r="P93" s="560"/>
      <c r="Q93" s="564">
        <v>45302</v>
      </c>
      <c r="R93" s="4">
        <v>400.91</v>
      </c>
      <c r="S93" s="4">
        <v>16543.939999999999</v>
      </c>
      <c r="T93" s="4">
        <v>1134.2</v>
      </c>
      <c r="U93" s="4">
        <v>1.1943219733079125</v>
      </c>
      <c r="V93" s="4">
        <v>1.4677348237851264</v>
      </c>
      <c r="W93" s="4" t="e">
        <v>#DIV/0!</v>
      </c>
      <c r="Y93" s="560">
        <v>400.91</v>
      </c>
      <c r="Z93" s="4">
        <v>119.35</v>
      </c>
      <c r="AA93" s="4">
        <v>292.06</v>
      </c>
      <c r="AB93" s="4">
        <v>11.62</v>
      </c>
      <c r="AC93" s="4">
        <v>56.85</v>
      </c>
      <c r="AD93" s="4">
        <v>200.47</v>
      </c>
      <c r="AF93" s="4">
        <v>1.1943219733079125</v>
      </c>
      <c r="AG93" s="4">
        <v>1.1217105263157894</v>
      </c>
      <c r="AH93" s="4">
        <v>1.6333538392707343</v>
      </c>
      <c r="AI93" s="4">
        <v>0.96271748135874058</v>
      </c>
      <c r="AJ93" s="4">
        <v>1.7671743860739819</v>
      </c>
      <c r="AK93" s="4">
        <v>1.501310566913802</v>
      </c>
      <c r="AM93" s="562">
        <v>45829</v>
      </c>
      <c r="AN93" s="563">
        <v>516.86</v>
      </c>
      <c r="AO93" s="563">
        <v>797140</v>
      </c>
      <c r="AP93" s="563">
        <v>270.82704999999999</v>
      </c>
      <c r="AQ93" s="563">
        <v>139979.66906300001</v>
      </c>
      <c r="AR93" s="563">
        <v>3.0914000000000001</v>
      </c>
    </row>
    <row r="94" spans="2:44" x14ac:dyDescent="0.25">
      <c r="B94" s="564">
        <v>45295</v>
      </c>
      <c r="C94" s="560">
        <v>6.4481000000000002</v>
      </c>
      <c r="D94" s="560">
        <v>5.0030999999999999</v>
      </c>
      <c r="E94" s="560">
        <v>9.8726000000000003</v>
      </c>
      <c r="F94" s="560">
        <v>2.9948999999999999</v>
      </c>
      <c r="G94" s="560">
        <v>6.0808999999999997</v>
      </c>
      <c r="H94" s="560">
        <v>10.204700000000001</v>
      </c>
      <c r="I94" s="564">
        <v>45295</v>
      </c>
      <c r="J94" s="560">
        <v>11.427099999999999</v>
      </c>
      <c r="K94" s="560">
        <v>7.5079000000000002</v>
      </c>
      <c r="L94" s="560">
        <v>12.860099999999999</v>
      </c>
      <c r="M94" s="560">
        <v>6.9782000000000002</v>
      </c>
      <c r="N94" s="560">
        <v>7.5277000000000003</v>
      </c>
      <c r="O94" s="560">
        <v>17.719200000000001</v>
      </c>
      <c r="P94" s="560"/>
      <c r="Q94" s="564">
        <v>45295</v>
      </c>
      <c r="R94" s="4">
        <v>401.27</v>
      </c>
      <c r="S94" s="4">
        <v>16878.46</v>
      </c>
      <c r="T94" s="4">
        <v>1134.2</v>
      </c>
      <c r="U94" s="4">
        <v>1.1953944232602478</v>
      </c>
      <c r="V94" s="4">
        <v>1.4974125579435313</v>
      </c>
      <c r="W94" s="4" t="e">
        <v>#DIV/0!</v>
      </c>
      <c r="Y94" s="560">
        <v>401.27</v>
      </c>
      <c r="Z94" s="4">
        <v>119.74</v>
      </c>
      <c r="AA94" s="4">
        <v>286.10000000000002</v>
      </c>
      <c r="AB94" s="4">
        <v>11.9</v>
      </c>
      <c r="AC94" s="4">
        <v>57.06</v>
      </c>
      <c r="AD94" s="4">
        <v>201.29</v>
      </c>
      <c r="AF94" s="4">
        <v>1.1953944232602478</v>
      </c>
      <c r="AG94" s="4">
        <v>1.1253759398496239</v>
      </c>
      <c r="AH94" s="4">
        <v>1.6000223701135283</v>
      </c>
      <c r="AI94" s="4">
        <v>0.9859154929577465</v>
      </c>
      <c r="AJ94" s="4">
        <v>1.7737022070251787</v>
      </c>
      <c r="AK94" s="4">
        <v>1.5074515090241893</v>
      </c>
      <c r="AM94" s="562">
        <v>45828</v>
      </c>
      <c r="AN94" s="563">
        <v>520.84</v>
      </c>
      <c r="AO94" s="563">
        <v>1037093</v>
      </c>
      <c r="AP94" s="563">
        <v>270.82704999999999</v>
      </c>
      <c r="AQ94" s="563">
        <v>141057.56072199999</v>
      </c>
      <c r="AR94" s="563">
        <v>3.1152000000000002</v>
      </c>
    </row>
    <row r="95" spans="2:44" x14ac:dyDescent="0.25">
      <c r="B95" s="564">
        <v>45288</v>
      </c>
      <c r="C95" s="560">
        <v>6.5582000000000003</v>
      </c>
      <c r="D95" s="560">
        <v>5.1936999999999998</v>
      </c>
      <c r="E95" s="560">
        <v>11.327400000000001</v>
      </c>
      <c r="F95" s="560">
        <v>3.3125</v>
      </c>
      <c r="G95" s="560">
        <v>6.3554000000000004</v>
      </c>
      <c r="H95" s="560">
        <v>11.0595</v>
      </c>
      <c r="I95" s="564">
        <v>45288</v>
      </c>
      <c r="J95" s="560">
        <v>11.6271</v>
      </c>
      <c r="K95" s="560">
        <v>7.3402000000000003</v>
      </c>
      <c r="L95" s="560">
        <v>14.062200000000001</v>
      </c>
      <c r="M95" s="560">
        <v>7.4029999999999996</v>
      </c>
      <c r="N95" s="560">
        <v>8.3210999999999995</v>
      </c>
      <c r="O95" s="560">
        <v>18.931999999999999</v>
      </c>
      <c r="P95" s="560"/>
      <c r="Q95" s="564">
        <v>45288</v>
      </c>
      <c r="R95" s="4">
        <v>393.94</v>
      </c>
      <c r="S95" s="4">
        <v>16811.849999999999</v>
      </c>
      <c r="T95" s="4">
        <v>1134.2</v>
      </c>
      <c r="U95" s="4">
        <v>1.1735581506196378</v>
      </c>
      <c r="V95" s="4">
        <v>1.4915030940182312</v>
      </c>
      <c r="W95" s="4" t="e">
        <v>#DIV/0!</v>
      </c>
      <c r="Y95" s="560">
        <v>393.94</v>
      </c>
      <c r="Z95" s="4">
        <v>122.11</v>
      </c>
      <c r="AA95" s="4">
        <v>296.88</v>
      </c>
      <c r="AB95" s="4">
        <v>12.08</v>
      </c>
      <c r="AC95" s="4">
        <v>58.6</v>
      </c>
      <c r="AD95" s="4">
        <v>211.47</v>
      </c>
      <c r="AF95" s="4">
        <v>1.1735581506196378</v>
      </c>
      <c r="AG95" s="4">
        <v>1.1476503759398495</v>
      </c>
      <c r="AH95" s="4">
        <v>1.6603098260723672</v>
      </c>
      <c r="AI95" s="4">
        <v>1.0008285004142501</v>
      </c>
      <c r="AJ95" s="4">
        <v>1.8215728940006217</v>
      </c>
      <c r="AK95" s="4">
        <v>1.5836890586385082</v>
      </c>
      <c r="AM95" s="562">
        <v>45827</v>
      </c>
      <c r="AN95" s="563">
        <v>515.82000000000005</v>
      </c>
      <c r="AO95" s="563">
        <v>1294210</v>
      </c>
      <c r="AP95" s="563">
        <v>270.82704999999999</v>
      </c>
      <c r="AQ95" s="563">
        <v>139698.00893100002</v>
      </c>
      <c r="AR95" s="563">
        <v>3.0851999999999999</v>
      </c>
    </row>
    <row r="96" spans="2:44" x14ac:dyDescent="0.25">
      <c r="B96" s="564">
        <v>45281</v>
      </c>
      <c r="C96" s="560">
        <v>6.4633000000000003</v>
      </c>
      <c r="D96" s="560">
        <v>5.1925999999999997</v>
      </c>
      <c r="E96" s="560">
        <v>11.0738</v>
      </c>
      <c r="F96" s="560">
        <v>3.2681</v>
      </c>
      <c r="G96" s="560">
        <v>6.2853000000000003</v>
      </c>
      <c r="H96" s="560">
        <v>10.886200000000001</v>
      </c>
      <c r="I96" s="564">
        <v>45281</v>
      </c>
      <c r="J96" s="560">
        <v>11.454700000000001</v>
      </c>
      <c r="K96" s="560">
        <v>7.3384</v>
      </c>
      <c r="L96" s="560">
        <v>13.739699999999999</v>
      </c>
      <c r="M96" s="560">
        <v>7.2927</v>
      </c>
      <c r="N96" s="560">
        <v>8.2188999999999997</v>
      </c>
      <c r="O96" s="560">
        <v>18.608799999999999</v>
      </c>
      <c r="P96" s="560"/>
      <c r="Q96" s="564">
        <v>45281</v>
      </c>
      <c r="R96" s="4">
        <v>359.39</v>
      </c>
      <c r="S96" s="4">
        <v>16354.25</v>
      </c>
      <c r="T96" s="4">
        <v>1134.2</v>
      </c>
      <c r="U96" s="4">
        <v>1.0706327454718778</v>
      </c>
      <c r="V96" s="4">
        <v>1.450906026127265</v>
      </c>
      <c r="W96" s="4" t="e">
        <v>#DIV/0!</v>
      </c>
      <c r="Y96" s="560">
        <v>359.39</v>
      </c>
      <c r="Z96" s="4">
        <v>122.08</v>
      </c>
      <c r="AA96" s="4">
        <v>290.07</v>
      </c>
      <c r="AB96" s="4">
        <v>11.9</v>
      </c>
      <c r="AC96" s="4">
        <v>57.88</v>
      </c>
      <c r="AD96" s="4">
        <v>207.86</v>
      </c>
      <c r="AF96" s="4">
        <v>1.0706327454718778</v>
      </c>
      <c r="AG96" s="4">
        <v>1.1473684210526316</v>
      </c>
      <c r="AH96" s="4">
        <v>1.622224707790392</v>
      </c>
      <c r="AI96" s="4">
        <v>0.9859154929577465</v>
      </c>
      <c r="AJ96" s="4">
        <v>1.7991917935965185</v>
      </c>
      <c r="AK96" s="4">
        <v>1.5566539354452185</v>
      </c>
      <c r="AM96" s="562">
        <v>45826</v>
      </c>
      <c r="AN96" s="563">
        <v>521.67999999999995</v>
      </c>
      <c r="AO96" s="563">
        <v>1100962</v>
      </c>
      <c r="AP96" s="563">
        <v>270.82704999999999</v>
      </c>
      <c r="AQ96" s="563">
        <v>141285.05544399997</v>
      </c>
      <c r="AR96" s="563">
        <v>3.1202000000000001</v>
      </c>
    </row>
    <row r="97" spans="2:44" x14ac:dyDescent="0.25">
      <c r="B97" s="564">
        <v>45274</v>
      </c>
      <c r="C97" s="560">
        <v>6.5564999999999998</v>
      </c>
      <c r="D97" s="560">
        <v>5.2098000000000004</v>
      </c>
      <c r="E97" s="560">
        <v>10.891299999999999</v>
      </c>
      <c r="F97" s="560">
        <v>3.2311000000000001</v>
      </c>
      <c r="G97" s="560">
        <v>6.3349000000000002</v>
      </c>
      <c r="H97" s="560">
        <v>10.698499999999999</v>
      </c>
      <c r="I97" s="564">
        <v>45274</v>
      </c>
      <c r="J97" s="560">
        <v>11.311500000000001</v>
      </c>
      <c r="K97" s="560">
        <v>7.3666</v>
      </c>
      <c r="L97" s="560">
        <v>13.5076</v>
      </c>
      <c r="M97" s="560">
        <v>7.2008000000000001</v>
      </c>
      <c r="N97" s="560">
        <v>8.2912999999999997</v>
      </c>
      <c r="O97" s="560">
        <v>18.258700000000001</v>
      </c>
      <c r="P97" s="560"/>
      <c r="Q97" s="564">
        <v>45274</v>
      </c>
      <c r="R97" s="4">
        <v>361.14</v>
      </c>
      <c r="S97" s="4">
        <v>15877.71</v>
      </c>
      <c r="T97" s="4">
        <v>1134.2</v>
      </c>
      <c r="U97" s="4">
        <v>1.0758460438512869</v>
      </c>
      <c r="V97" s="4">
        <v>1.4086286512742032</v>
      </c>
      <c r="W97" s="4" t="e">
        <v>#DIV/0!</v>
      </c>
      <c r="Y97" s="560">
        <v>361.14</v>
      </c>
      <c r="Z97" s="4">
        <v>122.55</v>
      </c>
      <c r="AA97" s="4">
        <v>285.17</v>
      </c>
      <c r="AB97" s="4">
        <v>11.75</v>
      </c>
      <c r="AC97" s="4">
        <v>58.39</v>
      </c>
      <c r="AD97" s="4">
        <v>203.95</v>
      </c>
      <c r="AF97" s="4">
        <v>1.0758460438512869</v>
      </c>
      <c r="AG97" s="4">
        <v>1.1517857142857142</v>
      </c>
      <c r="AH97" s="4">
        <v>1.5948213187181925</v>
      </c>
      <c r="AI97" s="4">
        <v>0.97348798674399339</v>
      </c>
      <c r="AJ97" s="4">
        <v>1.8150450730494248</v>
      </c>
      <c r="AK97" s="4">
        <v>1.5273721261139819</v>
      </c>
      <c r="AM97" s="562">
        <v>45825</v>
      </c>
      <c r="AN97" s="563">
        <v>519.99</v>
      </c>
      <c r="AO97" s="563">
        <v>1474160</v>
      </c>
      <c r="AP97" s="563">
        <v>270.82704999999999</v>
      </c>
      <c r="AQ97" s="563">
        <v>140827.35772949998</v>
      </c>
      <c r="AR97" s="563">
        <v>3.1101000000000001</v>
      </c>
    </row>
    <row r="98" spans="2:44" x14ac:dyDescent="0.25">
      <c r="B98" s="564">
        <v>45267</v>
      </c>
      <c r="C98" s="560">
        <v>6.1082999999999998</v>
      </c>
      <c r="D98" s="560">
        <v>4.9179000000000004</v>
      </c>
      <c r="E98" s="560">
        <v>9.8574000000000002</v>
      </c>
      <c r="F98" s="560">
        <v>3.0263</v>
      </c>
      <c r="G98" s="560">
        <v>5.6298000000000004</v>
      </c>
      <c r="H98" s="560">
        <v>9.9326000000000008</v>
      </c>
      <c r="I98" s="564">
        <v>45267</v>
      </c>
      <c r="J98" s="560">
        <v>10.519399999999999</v>
      </c>
      <c r="K98" s="560">
        <v>6.8856999999999999</v>
      </c>
      <c r="L98" s="560">
        <v>12.1927</v>
      </c>
      <c r="M98" s="560">
        <v>6.6920999999999999</v>
      </c>
      <c r="N98" s="560">
        <v>7.2632000000000003</v>
      </c>
      <c r="O98" s="560">
        <v>16.8308</v>
      </c>
      <c r="P98" s="560"/>
      <c r="Q98" s="564">
        <v>45267</v>
      </c>
      <c r="R98" s="4">
        <v>360.02</v>
      </c>
      <c r="S98" s="4">
        <v>16010.43</v>
      </c>
      <c r="T98" s="4">
        <v>1134.2</v>
      </c>
      <c r="U98" s="4">
        <v>1.0725095328884651</v>
      </c>
      <c r="V98" s="4">
        <v>1.4204032204404817</v>
      </c>
      <c r="W98" s="4" t="e">
        <v>#DIV/0!</v>
      </c>
      <c r="Y98" s="560">
        <v>360.02</v>
      </c>
      <c r="Z98" s="4">
        <v>114.55</v>
      </c>
      <c r="AA98" s="4">
        <v>257.41000000000003</v>
      </c>
      <c r="AB98" s="4">
        <v>10.92</v>
      </c>
      <c r="AC98" s="4">
        <v>51.15</v>
      </c>
      <c r="AD98" s="4">
        <v>188</v>
      </c>
      <c r="AF98" s="4">
        <v>1.0725095328884651</v>
      </c>
      <c r="AG98" s="4">
        <v>1.0765977443609023</v>
      </c>
      <c r="AH98" s="4">
        <v>1.4395727308316091</v>
      </c>
      <c r="AI98" s="4">
        <v>0.90472245236122617</v>
      </c>
      <c r="AJ98" s="4">
        <v>1.5899906745414982</v>
      </c>
      <c r="AK98" s="4">
        <v>1.4079233131131581</v>
      </c>
      <c r="AM98" s="562">
        <v>45824</v>
      </c>
      <c r="AN98" s="563">
        <v>519.99</v>
      </c>
      <c r="AO98" s="563">
        <v>1474160</v>
      </c>
      <c r="AP98" s="563">
        <v>270.82704999999999</v>
      </c>
      <c r="AQ98" s="563">
        <v>140827.35772949998</v>
      </c>
      <c r="AR98" s="563">
        <v>3.1101000000000001</v>
      </c>
    </row>
    <row r="99" spans="2:44" x14ac:dyDescent="0.25">
      <c r="B99" s="564">
        <v>45260</v>
      </c>
      <c r="C99" s="560">
        <v>6.1608999999999998</v>
      </c>
      <c r="D99" s="560">
        <v>4.8807</v>
      </c>
      <c r="E99" s="560">
        <v>9.6082000000000001</v>
      </c>
      <c r="F99" s="560">
        <v>2.9819</v>
      </c>
      <c r="G99" s="560">
        <v>5.4691000000000001</v>
      </c>
      <c r="H99" s="560">
        <v>9.7261000000000006</v>
      </c>
      <c r="I99" s="564">
        <v>45260</v>
      </c>
      <c r="J99" s="560">
        <v>10.612299999999999</v>
      </c>
      <c r="K99" s="560">
        <v>6.8243999999999998</v>
      </c>
      <c r="L99" s="560">
        <v>11.8758</v>
      </c>
      <c r="M99" s="560">
        <v>6.5818000000000003</v>
      </c>
      <c r="N99" s="560">
        <v>7.0289999999999999</v>
      </c>
      <c r="O99" s="560">
        <v>16.445799999999998</v>
      </c>
      <c r="P99" s="560"/>
      <c r="Q99" s="564">
        <v>45260</v>
      </c>
      <c r="R99" s="4">
        <v>382.65</v>
      </c>
      <c r="S99" s="4">
        <v>15933.62</v>
      </c>
      <c r="T99" s="4">
        <v>1134.2</v>
      </c>
      <c r="U99" s="4">
        <v>1.1399249285033364</v>
      </c>
      <c r="V99" s="4">
        <v>1.4135888393550249</v>
      </c>
      <c r="W99" s="4" t="e">
        <v>#DIV/0!</v>
      </c>
      <c r="Y99" s="560">
        <v>382.65</v>
      </c>
      <c r="Z99" s="4">
        <v>113.53</v>
      </c>
      <c r="AA99" s="4">
        <v>250.72</v>
      </c>
      <c r="AB99" s="4">
        <v>10.74</v>
      </c>
      <c r="AC99" s="4">
        <v>49.5</v>
      </c>
      <c r="AD99" s="4">
        <v>183.7</v>
      </c>
      <c r="AF99" s="4">
        <v>1.1399249285033364</v>
      </c>
      <c r="AG99" s="4">
        <v>1.0670112781954886</v>
      </c>
      <c r="AH99" s="4">
        <v>1.4021587159554834</v>
      </c>
      <c r="AI99" s="4">
        <v>0.88980944490472247</v>
      </c>
      <c r="AJ99" s="4">
        <v>1.538700652782095</v>
      </c>
      <c r="AK99" s="4">
        <v>1.375720811802591</v>
      </c>
      <c r="AM99" s="562">
        <v>45823</v>
      </c>
      <c r="AN99" s="563">
        <v>519.99</v>
      </c>
      <c r="AO99" s="563">
        <v>1474160</v>
      </c>
      <c r="AP99" s="563">
        <v>270.82704999999999</v>
      </c>
      <c r="AQ99" s="563">
        <v>140827.35772949998</v>
      </c>
      <c r="AR99" s="563">
        <v>3.1101000000000001</v>
      </c>
    </row>
    <row r="100" spans="2:44" x14ac:dyDescent="0.25">
      <c r="B100" s="564">
        <v>45253</v>
      </c>
      <c r="C100" s="560">
        <v>6.2561</v>
      </c>
      <c r="D100" s="560">
        <v>4.9707999999999997</v>
      </c>
      <c r="E100" s="560">
        <v>9.4831000000000003</v>
      </c>
      <c r="F100" s="560">
        <v>2.8561000000000001</v>
      </c>
      <c r="G100" s="560">
        <v>5.5119999999999996</v>
      </c>
      <c r="H100" s="560">
        <v>9.8788</v>
      </c>
      <c r="I100" s="564">
        <v>45253</v>
      </c>
      <c r="J100" s="560">
        <v>10.7806</v>
      </c>
      <c r="K100" s="560">
        <v>6.9729000000000001</v>
      </c>
      <c r="L100" s="560">
        <v>11.7166</v>
      </c>
      <c r="M100" s="560">
        <v>6.2693000000000003</v>
      </c>
      <c r="N100" s="560">
        <v>7.0914000000000001</v>
      </c>
      <c r="O100" s="560">
        <v>16.730499999999999</v>
      </c>
      <c r="P100" s="560"/>
      <c r="Q100" s="564">
        <v>45253</v>
      </c>
      <c r="R100" s="4">
        <v>374.96</v>
      </c>
      <c r="S100" s="4">
        <v>15812.47</v>
      </c>
      <c r="T100" s="4">
        <v>1134.2</v>
      </c>
      <c r="U100" s="4">
        <v>1.1170162059103907</v>
      </c>
      <c r="V100" s="4">
        <v>1.4028407301439438</v>
      </c>
      <c r="W100" s="4" t="e">
        <v>#DIV/0!</v>
      </c>
      <c r="Y100" s="560">
        <v>374.96</v>
      </c>
      <c r="Z100" s="4">
        <v>116.11</v>
      </c>
      <c r="AA100" s="4">
        <v>248.21</v>
      </c>
      <c r="AB100" s="4">
        <v>10.02</v>
      </c>
      <c r="AC100" s="4">
        <v>49.98</v>
      </c>
      <c r="AD100" s="4">
        <v>185.63</v>
      </c>
      <c r="AF100" s="4">
        <v>1.1170162059103907</v>
      </c>
      <c r="AG100" s="4">
        <v>1.0912593984962404</v>
      </c>
      <c r="AH100" s="4">
        <v>1.3881214697164588</v>
      </c>
      <c r="AI100" s="4">
        <v>0.83015741507870744</v>
      </c>
      <c r="AJ100" s="4">
        <v>1.5536213863848305</v>
      </c>
      <c r="AK100" s="4">
        <v>1.3901744926233806</v>
      </c>
      <c r="AM100" s="562">
        <v>45822</v>
      </c>
      <c r="AN100" s="563">
        <v>510.75</v>
      </c>
      <c r="AO100" s="563">
        <v>1126141</v>
      </c>
      <c r="AP100" s="563">
        <v>270.82704999999999</v>
      </c>
      <c r="AQ100" s="563">
        <v>138324.91578749998</v>
      </c>
      <c r="AR100" s="563">
        <v>3.0548000000000002</v>
      </c>
    </row>
    <row r="101" spans="2:44" x14ac:dyDescent="0.25">
      <c r="B101" s="564">
        <v>45246</v>
      </c>
      <c r="C101" s="560">
        <v>6.3940999999999999</v>
      </c>
      <c r="D101" s="560">
        <v>4.9748000000000001</v>
      </c>
      <c r="E101" s="560">
        <v>9.5146999999999995</v>
      </c>
      <c r="F101" s="560">
        <v>2.8041999999999998</v>
      </c>
      <c r="G101" s="560">
        <v>5.5159000000000002</v>
      </c>
      <c r="H101" s="560">
        <v>9.8187999999999995</v>
      </c>
      <c r="I101" s="564">
        <v>45246</v>
      </c>
      <c r="J101" s="560">
        <v>11.0243</v>
      </c>
      <c r="K101" s="560">
        <v>6.9794999999999998</v>
      </c>
      <c r="L101" s="560">
        <v>11.7569</v>
      </c>
      <c r="M101" s="560">
        <v>6.1406000000000001</v>
      </c>
      <c r="N101" s="560">
        <v>7.0971000000000002</v>
      </c>
      <c r="O101" s="560">
        <v>16.618600000000001</v>
      </c>
      <c r="P101" s="560"/>
      <c r="Q101" s="564">
        <v>45246</v>
      </c>
      <c r="R101" s="4">
        <v>369.24</v>
      </c>
      <c r="S101" s="4">
        <v>15296.02</v>
      </c>
      <c r="T101" s="4">
        <v>1134.2</v>
      </c>
      <c r="U101" s="4">
        <v>1.0999761677788369</v>
      </c>
      <c r="V101" s="4">
        <v>1.357022645108346</v>
      </c>
      <c r="W101" s="4" t="e">
        <v>#DIV/0!</v>
      </c>
      <c r="Y101" s="560">
        <v>369.24</v>
      </c>
      <c r="Z101" s="4">
        <v>116.11</v>
      </c>
      <c r="AA101" s="4">
        <v>248.21</v>
      </c>
      <c r="AB101" s="4">
        <v>10.02</v>
      </c>
      <c r="AC101" s="4">
        <v>49.98</v>
      </c>
      <c r="AD101" s="4">
        <v>185.63</v>
      </c>
      <c r="AF101" s="4">
        <v>1.0999761677788369</v>
      </c>
      <c r="AG101" s="4">
        <v>1.0912593984962404</v>
      </c>
      <c r="AH101" s="4">
        <v>1.3881214697164588</v>
      </c>
      <c r="AI101" s="4">
        <v>0.83015741507870744</v>
      </c>
      <c r="AJ101" s="4">
        <v>1.5536213863848305</v>
      </c>
      <c r="AK101" s="4">
        <v>1.3901744926233806</v>
      </c>
      <c r="AM101" s="562">
        <v>45821</v>
      </c>
      <c r="AN101" s="563">
        <v>507.78</v>
      </c>
      <c r="AO101" s="563">
        <v>992748</v>
      </c>
      <c r="AP101" s="563">
        <v>270.82704999999999</v>
      </c>
      <c r="AQ101" s="563">
        <v>137520.55944899999</v>
      </c>
      <c r="AR101" s="563">
        <v>3.0371000000000001</v>
      </c>
    </row>
    <row r="102" spans="2:44" x14ac:dyDescent="0.25">
      <c r="B102" s="564">
        <v>45239</v>
      </c>
      <c r="C102" s="560">
        <v>6.2466999999999997</v>
      </c>
      <c r="D102" s="560">
        <v>4.9008000000000003</v>
      </c>
      <c r="E102" s="560">
        <v>8.9910999999999994</v>
      </c>
      <c r="F102" s="560">
        <v>2.8363</v>
      </c>
      <c r="G102" s="560">
        <v>5.2782</v>
      </c>
      <c r="H102" s="560">
        <v>9.4053000000000004</v>
      </c>
      <c r="I102" s="564">
        <v>45239</v>
      </c>
      <c r="J102" s="560">
        <v>10.763999999999999</v>
      </c>
      <c r="K102" s="560">
        <v>6.8574999999999999</v>
      </c>
      <c r="L102" s="560">
        <v>11.0909</v>
      </c>
      <c r="M102" s="560">
        <v>6.2202000000000002</v>
      </c>
      <c r="N102" s="560">
        <v>6.7506000000000004</v>
      </c>
      <c r="O102" s="560">
        <v>15.847799999999999</v>
      </c>
      <c r="P102" s="560"/>
      <c r="Q102" s="564">
        <v>45239</v>
      </c>
      <c r="R102" s="4">
        <v>365.36</v>
      </c>
      <c r="S102" s="4">
        <v>14409.78</v>
      </c>
      <c r="T102" s="4">
        <v>1134.2</v>
      </c>
      <c r="U102" s="4">
        <v>1.088417540514776</v>
      </c>
      <c r="V102" s="4">
        <v>1.2783977643223103</v>
      </c>
      <c r="W102" s="4" t="e">
        <v>#DIV/0!</v>
      </c>
      <c r="Y102" s="560">
        <v>365.36</v>
      </c>
      <c r="Z102" s="4">
        <v>114.08</v>
      </c>
      <c r="AA102" s="4">
        <v>234.15</v>
      </c>
      <c r="AB102" s="4">
        <v>10.15</v>
      </c>
      <c r="AC102" s="4">
        <v>47.54</v>
      </c>
      <c r="AD102" s="4">
        <v>177.02</v>
      </c>
      <c r="AF102" s="4">
        <v>1.088417540514776</v>
      </c>
      <c r="AG102" s="4">
        <v>1.0721804511278195</v>
      </c>
      <c r="AH102" s="4">
        <v>1.3094905206643923</v>
      </c>
      <c r="AI102" s="4">
        <v>0.84092792046396025</v>
      </c>
      <c r="AJ102" s="4">
        <v>1.4777743239042584</v>
      </c>
      <c r="AK102" s="4">
        <v>1.3256946004643153</v>
      </c>
      <c r="AM102" s="562">
        <v>45820</v>
      </c>
      <c r="AN102" s="563">
        <v>513.15</v>
      </c>
      <c r="AO102" s="563">
        <v>1107674</v>
      </c>
      <c r="AP102" s="563">
        <v>270.82704999999999</v>
      </c>
      <c r="AQ102" s="563">
        <v>138974.9007075</v>
      </c>
      <c r="AR102" s="563">
        <v>3.0691999999999999</v>
      </c>
    </row>
    <row r="103" spans="2:44" x14ac:dyDescent="0.25">
      <c r="B103" s="564">
        <v>45232</v>
      </c>
      <c r="C103" s="560">
        <v>6.3117000000000001</v>
      </c>
      <c r="D103" s="560">
        <v>5.0456000000000003</v>
      </c>
      <c r="E103" s="560">
        <v>9.1761999999999997</v>
      </c>
      <c r="F103" s="560">
        <v>3.1183000000000001</v>
      </c>
      <c r="G103" s="560">
        <v>5.4242999999999997</v>
      </c>
      <c r="H103" s="560">
        <v>8.6898999999999997</v>
      </c>
      <c r="I103" s="564">
        <v>45232</v>
      </c>
      <c r="J103" s="560">
        <v>10.8787</v>
      </c>
      <c r="K103" s="560">
        <v>7.0960999999999999</v>
      </c>
      <c r="L103" s="560">
        <v>11.3263</v>
      </c>
      <c r="M103" s="560">
        <v>6.9005000000000001</v>
      </c>
      <c r="N103" s="560">
        <v>6.9635999999999996</v>
      </c>
      <c r="O103" s="560">
        <v>14.5139</v>
      </c>
      <c r="P103" s="560"/>
      <c r="Q103" s="564">
        <v>45232</v>
      </c>
      <c r="R103" s="4">
        <v>373.57</v>
      </c>
      <c r="S103" s="4">
        <v>14745.85</v>
      </c>
      <c r="T103" s="4">
        <v>1103.4000000000001</v>
      </c>
      <c r="U103" s="4">
        <v>1.1128753574833175</v>
      </c>
      <c r="V103" s="4">
        <v>1.3082130104021115</v>
      </c>
      <c r="W103" s="4" t="e">
        <v>#DIV/0!</v>
      </c>
      <c r="Y103" s="560">
        <v>373.57</v>
      </c>
      <c r="Z103" s="4">
        <v>118.05</v>
      </c>
      <c r="AA103" s="4">
        <v>239.12</v>
      </c>
      <c r="AB103" s="4">
        <v>11.26</v>
      </c>
      <c r="AC103" s="4">
        <v>49.04</v>
      </c>
      <c r="AD103" s="4">
        <v>162.12</v>
      </c>
      <c r="AF103" s="4">
        <v>1.1128753574833175</v>
      </c>
      <c r="AG103" s="4">
        <v>1.1094924812030074</v>
      </c>
      <c r="AH103" s="4">
        <v>1.3372853867233376</v>
      </c>
      <c r="AI103" s="4">
        <v>0.93289146644573318</v>
      </c>
      <c r="AJ103" s="4">
        <v>1.5244016164128069</v>
      </c>
      <c r="AK103" s="4">
        <v>1.2141091889463043</v>
      </c>
      <c r="AM103" s="562">
        <v>45819</v>
      </c>
      <c r="AN103" s="563">
        <v>507.84</v>
      </c>
      <c r="AO103" s="563">
        <v>994059</v>
      </c>
      <c r="AP103" s="563">
        <v>270.82704999999999</v>
      </c>
      <c r="AQ103" s="563">
        <v>137536.80907199997</v>
      </c>
      <c r="AR103" s="563">
        <v>3.0373999999999999</v>
      </c>
    </row>
    <row r="104" spans="2:44" x14ac:dyDescent="0.25">
      <c r="B104" s="564">
        <v>45225</v>
      </c>
      <c r="C104" s="560">
        <v>6.1462000000000003</v>
      </c>
      <c r="D104" s="560">
        <v>4.8628</v>
      </c>
      <c r="E104" s="560">
        <v>9.3181999999999992</v>
      </c>
      <c r="F104" s="560">
        <v>3.0811999999999999</v>
      </c>
      <c r="G104" s="560">
        <v>5.2206999999999999</v>
      </c>
      <c r="H104" s="560">
        <v>8.6828000000000003</v>
      </c>
      <c r="I104" s="564">
        <v>45225</v>
      </c>
      <c r="J104" s="560">
        <v>11.248699999999999</v>
      </c>
      <c r="K104" s="560">
        <v>6.7949999999999999</v>
      </c>
      <c r="L104" s="560">
        <v>11.4831</v>
      </c>
      <c r="M104" s="560">
        <v>6.8085000000000004</v>
      </c>
      <c r="N104" s="560">
        <v>6.6569000000000003</v>
      </c>
      <c r="O104" s="560">
        <v>14.5022</v>
      </c>
      <c r="P104" s="560"/>
      <c r="Q104" s="564">
        <v>45225</v>
      </c>
      <c r="R104" s="4">
        <v>391.12</v>
      </c>
      <c r="S104" s="4">
        <v>15122.01</v>
      </c>
      <c r="T104" s="4">
        <v>1103.4000000000001</v>
      </c>
      <c r="U104" s="4">
        <v>1.1651572926596758</v>
      </c>
      <c r="V104" s="4">
        <v>1.3415849357908045</v>
      </c>
      <c r="W104" s="4" t="e">
        <v>#DIV/0!</v>
      </c>
      <c r="Y104" s="560">
        <v>391.12</v>
      </c>
      <c r="Z104" s="4">
        <v>113.04</v>
      </c>
      <c r="AA104" s="4">
        <v>242.43</v>
      </c>
      <c r="AB104" s="4">
        <v>11.11</v>
      </c>
      <c r="AC104" s="4">
        <v>46.88</v>
      </c>
      <c r="AD104" s="4">
        <v>161.99</v>
      </c>
      <c r="AF104" s="4">
        <v>1.1651572926596758</v>
      </c>
      <c r="AG104" s="4">
        <v>1.062406015037594</v>
      </c>
      <c r="AH104" s="4">
        <v>1.3557966556680274</v>
      </c>
      <c r="AI104" s="4">
        <v>0.92046396023198007</v>
      </c>
      <c r="AJ104" s="4">
        <v>1.4572583152004974</v>
      </c>
      <c r="AK104" s="4">
        <v>1.2131356249531942</v>
      </c>
      <c r="AM104" s="562">
        <v>45818</v>
      </c>
      <c r="AN104" s="563">
        <v>506.26</v>
      </c>
      <c r="AO104" s="563">
        <v>1686545</v>
      </c>
      <c r="AP104" s="563">
        <v>270.82704999999999</v>
      </c>
      <c r="AQ104" s="563">
        <v>137108.90233299998</v>
      </c>
      <c r="AR104" s="563">
        <v>3.028</v>
      </c>
    </row>
    <row r="105" spans="2:44" x14ac:dyDescent="0.25">
      <c r="B105" s="564">
        <v>45218</v>
      </c>
      <c r="C105" s="560">
        <v>6.3486000000000002</v>
      </c>
      <c r="D105" s="560">
        <v>4.9649999999999999</v>
      </c>
      <c r="E105" s="560">
        <v>9.7086000000000006</v>
      </c>
      <c r="F105" s="560">
        <v>3.1579000000000002</v>
      </c>
      <c r="G105" s="560">
        <v>5.3212000000000002</v>
      </c>
      <c r="H105" s="560">
        <v>8.8440999999999992</v>
      </c>
      <c r="I105" s="564">
        <v>45218</v>
      </c>
      <c r="J105" s="560">
        <v>11.6088</v>
      </c>
      <c r="K105" s="560">
        <v>6.9633000000000003</v>
      </c>
      <c r="L105" s="560">
        <v>11.9786</v>
      </c>
      <c r="M105" s="560">
        <v>6.9984999999999999</v>
      </c>
      <c r="N105" s="560">
        <v>6.8032000000000004</v>
      </c>
      <c r="O105" s="560">
        <v>14.803000000000001</v>
      </c>
      <c r="P105" s="560"/>
      <c r="Q105" s="564">
        <v>45218</v>
      </c>
      <c r="R105" s="4">
        <v>390.84</v>
      </c>
      <c r="S105" s="4">
        <v>15131.52</v>
      </c>
      <c r="T105" s="4">
        <v>1103.4000000000001</v>
      </c>
      <c r="U105" s="4">
        <v>1.1643231649189703</v>
      </c>
      <c r="V105" s="4">
        <v>1.3424286379665979</v>
      </c>
      <c r="W105" s="4" t="e">
        <v>#DIV/0!</v>
      </c>
      <c r="Y105" s="560">
        <v>390.84</v>
      </c>
      <c r="Z105" s="4">
        <v>115.84</v>
      </c>
      <c r="AA105" s="4">
        <v>252.89</v>
      </c>
      <c r="AB105" s="4">
        <v>11.42</v>
      </c>
      <c r="AC105" s="4">
        <v>47.91</v>
      </c>
      <c r="AD105" s="4">
        <v>165.35</v>
      </c>
      <c r="AF105" s="4">
        <v>1.1643231649189703</v>
      </c>
      <c r="AG105" s="4">
        <v>1.0887218045112781</v>
      </c>
      <c r="AH105" s="4">
        <v>1.4142945025446003</v>
      </c>
      <c r="AI105" s="4">
        <v>0.94614747307373648</v>
      </c>
      <c r="AJ105" s="4">
        <v>1.4892757227230338</v>
      </c>
      <c r="AK105" s="4">
        <v>1.2382985096981951</v>
      </c>
      <c r="AM105" s="562">
        <v>45817</v>
      </c>
      <c r="AN105" s="563">
        <v>506.26</v>
      </c>
      <c r="AO105" s="563">
        <v>1686545</v>
      </c>
      <c r="AP105" s="563">
        <v>270.82704999999999</v>
      </c>
      <c r="AQ105" s="563">
        <v>137108.90233299998</v>
      </c>
      <c r="AR105" s="563">
        <v>3.028</v>
      </c>
    </row>
    <row r="106" spans="2:44" x14ac:dyDescent="0.25">
      <c r="B106" s="564">
        <v>45211</v>
      </c>
      <c r="C106" s="560">
        <v>6.3642000000000003</v>
      </c>
      <c r="D106" s="560">
        <v>5.1466000000000003</v>
      </c>
      <c r="E106" s="560">
        <v>10.332599999999999</v>
      </c>
      <c r="F106" s="560">
        <v>3.2742</v>
      </c>
      <c r="G106" s="560">
        <v>6.0586000000000002</v>
      </c>
      <c r="H106" s="560">
        <v>9.2796000000000003</v>
      </c>
      <c r="I106" s="564">
        <v>45211</v>
      </c>
      <c r="J106" s="560">
        <v>11.6365</v>
      </c>
      <c r="K106" s="560">
        <v>7.2625999999999999</v>
      </c>
      <c r="L106" s="560">
        <v>12.7705</v>
      </c>
      <c r="M106" s="560">
        <v>7.2865000000000002</v>
      </c>
      <c r="N106" s="560">
        <v>7.8766999999999996</v>
      </c>
      <c r="O106" s="560">
        <v>15.615</v>
      </c>
      <c r="P106" s="560"/>
      <c r="Q106" s="564">
        <v>45211</v>
      </c>
      <c r="R106" s="4">
        <v>372.78</v>
      </c>
      <c r="S106" s="4">
        <v>14565.62</v>
      </c>
      <c r="T106" s="4">
        <v>1103.4000000000001</v>
      </c>
      <c r="U106" s="4">
        <v>1.11052192564347</v>
      </c>
      <c r="V106" s="4">
        <v>1.2922234790516114</v>
      </c>
      <c r="W106" s="4" t="e">
        <v>#DIV/0!</v>
      </c>
      <c r="Y106" s="560">
        <v>372.78</v>
      </c>
      <c r="Z106" s="4">
        <v>120.82</v>
      </c>
      <c r="AA106" s="4">
        <v>269.61</v>
      </c>
      <c r="AB106" s="4">
        <v>11.89</v>
      </c>
      <c r="AC106" s="4">
        <v>55.47</v>
      </c>
      <c r="AD106" s="4">
        <v>174.42</v>
      </c>
      <c r="AF106" s="4">
        <v>1.11052192564347</v>
      </c>
      <c r="AG106" s="4">
        <v>1.1355263157894735</v>
      </c>
      <c r="AH106" s="4">
        <v>1.5078015770930038</v>
      </c>
      <c r="AI106" s="4">
        <v>0.9850869925434963</v>
      </c>
      <c r="AJ106" s="4">
        <v>1.7242772769661174</v>
      </c>
      <c r="AK106" s="4">
        <v>1.3062233206021119</v>
      </c>
      <c r="AM106" s="562">
        <v>45816</v>
      </c>
      <c r="AN106" s="563">
        <v>506.26</v>
      </c>
      <c r="AO106" s="563">
        <v>1686545</v>
      </c>
      <c r="AP106" s="563">
        <v>270.82704999999999</v>
      </c>
      <c r="AQ106" s="563">
        <v>137108.90233299998</v>
      </c>
      <c r="AR106" s="563">
        <v>3.028</v>
      </c>
    </row>
    <row r="107" spans="2:44" x14ac:dyDescent="0.25">
      <c r="B107" s="564">
        <v>45204</v>
      </c>
      <c r="C107" s="560">
        <v>6.2514000000000003</v>
      </c>
      <c r="D107" s="560">
        <v>4.9546999999999999</v>
      </c>
      <c r="E107" s="560">
        <v>10.0038</v>
      </c>
      <c r="F107" s="560">
        <v>3.2198000000000002</v>
      </c>
      <c r="G107" s="560">
        <v>5.7533000000000003</v>
      </c>
      <c r="H107" s="560">
        <v>9.2334999999999994</v>
      </c>
      <c r="I107" s="564">
        <v>45204</v>
      </c>
      <c r="J107" s="560">
        <v>11.4359</v>
      </c>
      <c r="K107" s="560">
        <v>6.9463999999999997</v>
      </c>
      <c r="L107" s="560">
        <v>12.353199999999999</v>
      </c>
      <c r="M107" s="560">
        <v>7.1516999999999999</v>
      </c>
      <c r="N107" s="560">
        <v>7.4321999999999999</v>
      </c>
      <c r="O107" s="560">
        <v>15.5291</v>
      </c>
      <c r="P107" s="560"/>
      <c r="Q107" s="564">
        <v>45204</v>
      </c>
      <c r="R107" s="4">
        <v>379.63</v>
      </c>
      <c r="S107" s="4">
        <v>14545.83</v>
      </c>
      <c r="T107" s="4">
        <v>1103.4000000000001</v>
      </c>
      <c r="U107" s="4">
        <v>1.1309282650142993</v>
      </c>
      <c r="V107" s="4">
        <v>1.2904677623261693</v>
      </c>
      <c r="W107" s="4" t="e">
        <v>#DIV/0!</v>
      </c>
      <c r="Y107" s="560">
        <v>379.63</v>
      </c>
      <c r="Z107" s="4">
        <v>115.56</v>
      </c>
      <c r="AA107" s="4">
        <v>260.8</v>
      </c>
      <c r="AB107" s="4">
        <v>11.67</v>
      </c>
      <c r="AC107" s="4">
        <v>52.34</v>
      </c>
      <c r="AD107" s="4">
        <v>173.46</v>
      </c>
      <c r="AF107" s="4">
        <v>1.1309282650142993</v>
      </c>
      <c r="AG107" s="4">
        <v>1.0860902255639098</v>
      </c>
      <c r="AH107" s="4">
        <v>1.4585314020468654</v>
      </c>
      <c r="AI107" s="4">
        <v>0.96685998342999169</v>
      </c>
      <c r="AJ107" s="4">
        <v>1.6269816599316134</v>
      </c>
      <c r="AK107" s="4">
        <v>1.299033924960683</v>
      </c>
      <c r="AM107" s="562">
        <v>45815</v>
      </c>
      <c r="AN107" s="563">
        <v>503.45</v>
      </c>
      <c r="AO107" s="563">
        <v>994227</v>
      </c>
      <c r="AP107" s="563">
        <v>271.41392999999999</v>
      </c>
      <c r="AQ107" s="563">
        <v>136643.3430585</v>
      </c>
      <c r="AR107" s="563">
        <v>3.0112000000000001</v>
      </c>
    </row>
    <row r="108" spans="2:44" x14ac:dyDescent="0.25">
      <c r="B108" s="564">
        <v>45197</v>
      </c>
      <c r="C108" s="560">
        <v>6.4061000000000003</v>
      </c>
      <c r="D108" s="560">
        <v>5.62</v>
      </c>
      <c r="E108" s="560">
        <v>11.3832</v>
      </c>
      <c r="F108" s="560">
        <v>3.4975999999999998</v>
      </c>
      <c r="G108" s="560">
        <v>6.7206000000000001</v>
      </c>
      <c r="H108" s="560">
        <v>10.2508</v>
      </c>
      <c r="I108" s="564">
        <v>45197</v>
      </c>
      <c r="J108" s="560">
        <v>11.7111</v>
      </c>
      <c r="K108" s="560">
        <v>7.6212</v>
      </c>
      <c r="L108" s="560">
        <v>14.138999999999999</v>
      </c>
      <c r="M108" s="560">
        <v>7.5622999999999996</v>
      </c>
      <c r="N108" s="560">
        <v>8.9459999999999997</v>
      </c>
      <c r="O108" s="560">
        <v>17.276399999999999</v>
      </c>
      <c r="P108" s="560"/>
      <c r="Q108" s="564">
        <v>45197</v>
      </c>
      <c r="R108" s="4">
        <v>398.69</v>
      </c>
      <c r="S108" s="4">
        <v>15191.23</v>
      </c>
      <c r="T108" s="4">
        <v>1103.4000000000001</v>
      </c>
      <c r="U108" s="4">
        <v>1.1877085319351763</v>
      </c>
      <c r="V108" s="4">
        <v>1.3477259520482623</v>
      </c>
      <c r="W108" s="4" t="e">
        <v>#DIV/0!</v>
      </c>
      <c r="Y108" s="560">
        <v>398.69</v>
      </c>
      <c r="Z108" s="4">
        <v>120.82</v>
      </c>
      <c r="AA108" s="4">
        <v>276.24</v>
      </c>
      <c r="AB108" s="4">
        <v>12.27</v>
      </c>
      <c r="AC108" s="4">
        <v>58.08</v>
      </c>
      <c r="AD108" s="4">
        <v>180.02</v>
      </c>
      <c r="AF108" s="4">
        <v>1.1877085319351763</v>
      </c>
      <c r="AG108" s="4">
        <v>1.1355263157894735</v>
      </c>
      <c r="AH108" s="4">
        <v>1.5448800402662044</v>
      </c>
      <c r="AI108" s="4">
        <v>1.016570008285004</v>
      </c>
      <c r="AJ108" s="4">
        <v>1.8054087659309914</v>
      </c>
      <c r="AK108" s="4">
        <v>1.3481614618437805</v>
      </c>
      <c r="AM108" s="562">
        <v>45814</v>
      </c>
      <c r="AN108" s="563">
        <v>507.99</v>
      </c>
      <c r="AO108" s="563">
        <v>740160</v>
      </c>
      <c r="AP108" s="563">
        <v>271.41392999999999</v>
      </c>
      <c r="AQ108" s="563">
        <v>137875.5623007</v>
      </c>
      <c r="AR108" s="563">
        <v>3.0383</v>
      </c>
    </row>
    <row r="109" spans="2:44" x14ac:dyDescent="0.25">
      <c r="B109" s="564">
        <v>45190</v>
      </c>
      <c r="C109" s="560">
        <v>6.4558999999999997</v>
      </c>
      <c r="D109" s="560">
        <v>5.4661999999999997</v>
      </c>
      <c r="E109" s="560">
        <v>11.213699999999999</v>
      </c>
      <c r="F109" s="560">
        <v>3.5508999999999999</v>
      </c>
      <c r="G109" s="560">
        <v>6.5864000000000003</v>
      </c>
      <c r="H109" s="560">
        <v>9.7754999999999992</v>
      </c>
      <c r="I109" s="564">
        <v>45190</v>
      </c>
      <c r="J109" s="560">
        <v>11.7997</v>
      </c>
      <c r="K109" s="560">
        <v>7.3681999999999999</v>
      </c>
      <c r="L109" s="560">
        <v>13.923500000000001</v>
      </c>
      <c r="M109" s="560">
        <v>7.6917999999999997</v>
      </c>
      <c r="N109" s="560">
        <v>8.7472999999999992</v>
      </c>
      <c r="O109" s="560">
        <v>16.382000000000001</v>
      </c>
      <c r="P109" s="560"/>
      <c r="Q109" s="564">
        <v>45190</v>
      </c>
      <c r="R109" s="4">
        <v>402.26</v>
      </c>
      <c r="S109" s="4">
        <v>15289.74</v>
      </c>
      <c r="T109" s="4">
        <v>1103.4000000000001</v>
      </c>
      <c r="U109" s="4">
        <v>1.1983436606291706</v>
      </c>
      <c r="V109" s="4">
        <v>1.356465500033269</v>
      </c>
      <c r="W109" s="4" t="e">
        <v>#DIV/0!</v>
      </c>
      <c r="Y109" s="560">
        <v>402.26</v>
      </c>
      <c r="Z109" s="4">
        <v>116.81</v>
      </c>
      <c r="AA109" s="4">
        <v>272.02999999999997</v>
      </c>
      <c r="AB109" s="4">
        <v>12.48</v>
      </c>
      <c r="AC109" s="4">
        <v>56.79</v>
      </c>
      <c r="AD109" s="4">
        <v>170.7</v>
      </c>
      <c r="AF109" s="4">
        <v>1.1983436606291706</v>
      </c>
      <c r="AG109" s="4">
        <v>1.0978383458646617</v>
      </c>
      <c r="AH109" s="4">
        <v>1.5213354957776408</v>
      </c>
      <c r="AI109" s="4">
        <v>1.0339685169842585</v>
      </c>
      <c r="AJ109" s="4">
        <v>1.7653092943736399</v>
      </c>
      <c r="AK109" s="4">
        <v>1.2783644124915747</v>
      </c>
      <c r="AM109" s="562">
        <v>45813</v>
      </c>
      <c r="AN109" s="563">
        <v>509.63</v>
      </c>
      <c r="AO109" s="563">
        <v>1103534</v>
      </c>
      <c r="AP109" s="563">
        <v>271.41392999999999</v>
      </c>
      <c r="AQ109" s="563">
        <v>138320.68114589999</v>
      </c>
      <c r="AR109" s="563">
        <v>3.0480999999999998</v>
      </c>
    </row>
    <row r="110" spans="2:44" x14ac:dyDescent="0.25">
      <c r="B110" s="564">
        <v>45183</v>
      </c>
      <c r="C110" s="560">
        <v>6.8673000000000002</v>
      </c>
      <c r="D110" s="560">
        <v>5.6959</v>
      </c>
      <c r="E110" s="560">
        <v>11.637700000000001</v>
      </c>
      <c r="F110" s="560">
        <v>3.8224</v>
      </c>
      <c r="G110" s="560">
        <v>6.8361000000000001</v>
      </c>
      <c r="H110" s="560">
        <v>9.7969000000000008</v>
      </c>
      <c r="I110" s="564">
        <v>45183</v>
      </c>
      <c r="J110" s="560">
        <v>12.531499999999999</v>
      </c>
      <c r="K110" s="560">
        <v>7.7461000000000002</v>
      </c>
      <c r="L110" s="560">
        <v>14.4625</v>
      </c>
      <c r="M110" s="560">
        <v>8.3512000000000004</v>
      </c>
      <c r="N110" s="560">
        <v>9.1168999999999993</v>
      </c>
      <c r="O110" s="560">
        <v>16.4223</v>
      </c>
      <c r="P110" s="560"/>
      <c r="Q110" s="564">
        <v>45183</v>
      </c>
      <c r="R110" s="4">
        <v>414.43</v>
      </c>
      <c r="S110" s="4">
        <v>15508.24</v>
      </c>
      <c r="T110" s="4">
        <v>1103.4000000000001</v>
      </c>
      <c r="U110" s="4">
        <v>1.2345984270734032</v>
      </c>
      <c r="V110" s="4">
        <v>1.3758502450817309</v>
      </c>
      <c r="W110" s="4" t="e">
        <v>#DIV/0!</v>
      </c>
      <c r="Y110" s="560">
        <v>414.43</v>
      </c>
      <c r="Z110" s="4">
        <v>122.8</v>
      </c>
      <c r="AA110" s="4">
        <v>282.56</v>
      </c>
      <c r="AB110" s="4">
        <v>13.55</v>
      </c>
      <c r="AC110" s="4">
        <v>59.19</v>
      </c>
      <c r="AD110" s="4">
        <v>171.12</v>
      </c>
      <c r="AF110" s="4">
        <v>1.2345984270734032</v>
      </c>
      <c r="AG110" s="4">
        <v>1.1541353383458646</v>
      </c>
      <c r="AH110" s="4">
        <v>1.5802248196409596</v>
      </c>
      <c r="AI110" s="4">
        <v>1.1226180613090306</v>
      </c>
      <c r="AJ110" s="4">
        <v>1.8399129623873172</v>
      </c>
      <c r="AK110" s="4">
        <v>1.2815097730847</v>
      </c>
      <c r="AM110" s="562">
        <v>45812</v>
      </c>
      <c r="AN110" s="563">
        <v>510.06</v>
      </c>
      <c r="AO110" s="563">
        <v>850766</v>
      </c>
      <c r="AP110" s="563">
        <v>271.41392999999999</v>
      </c>
      <c r="AQ110" s="563">
        <v>138437.38913580001</v>
      </c>
      <c r="AR110" s="563">
        <v>3.0507</v>
      </c>
    </row>
    <row r="111" spans="2:44" x14ac:dyDescent="0.25">
      <c r="B111" s="564">
        <v>45176</v>
      </c>
      <c r="C111" s="560">
        <v>6.8681000000000001</v>
      </c>
      <c r="D111" s="560">
        <v>5.8228</v>
      </c>
      <c r="E111" s="560">
        <v>11.5922</v>
      </c>
      <c r="F111" s="560">
        <v>3.8553999999999999</v>
      </c>
      <c r="G111" s="560">
        <v>6.8776999999999999</v>
      </c>
      <c r="H111" s="560">
        <v>9.7072000000000003</v>
      </c>
      <c r="I111" s="564">
        <v>45176</v>
      </c>
      <c r="J111" s="560">
        <v>12.532999999999999</v>
      </c>
      <c r="K111" s="560">
        <v>7.9549000000000003</v>
      </c>
      <c r="L111" s="560">
        <v>14.4046</v>
      </c>
      <c r="M111" s="560">
        <v>8.4314</v>
      </c>
      <c r="N111" s="560">
        <v>9.1785999999999994</v>
      </c>
      <c r="O111" s="560">
        <v>16.253399999999999</v>
      </c>
      <c r="P111" s="560"/>
      <c r="Q111" s="564">
        <v>45176</v>
      </c>
      <c r="R111" s="4">
        <v>404.1</v>
      </c>
      <c r="S111" s="4">
        <v>15376.55</v>
      </c>
      <c r="T111" s="4">
        <v>1103.4000000000001</v>
      </c>
      <c r="U111" s="4">
        <v>1.2038250714966636</v>
      </c>
      <c r="V111" s="4">
        <v>1.3641670548051543</v>
      </c>
      <c r="W111" s="4" t="e">
        <v>#DIV/0!</v>
      </c>
      <c r="Y111" s="560">
        <v>404.1</v>
      </c>
      <c r="Z111" s="4">
        <v>126.11</v>
      </c>
      <c r="AA111" s="4">
        <v>281.43</v>
      </c>
      <c r="AB111" s="4">
        <v>13.68</v>
      </c>
      <c r="AC111" s="4">
        <v>59.59</v>
      </c>
      <c r="AD111" s="4">
        <v>169.36</v>
      </c>
      <c r="AF111" s="4">
        <v>1.2038250714966636</v>
      </c>
      <c r="AG111" s="4">
        <v>1.1852443609022556</v>
      </c>
      <c r="AH111" s="4">
        <v>1.5739052625692076</v>
      </c>
      <c r="AI111" s="4">
        <v>1.1333885666942833</v>
      </c>
      <c r="AJ111" s="4">
        <v>1.8523469070562637</v>
      </c>
      <c r="AK111" s="4">
        <v>1.2683292144087472</v>
      </c>
      <c r="AM111" s="562">
        <v>45811</v>
      </c>
      <c r="AN111" s="563">
        <v>510.06</v>
      </c>
      <c r="AO111" s="563">
        <v>850766</v>
      </c>
      <c r="AP111" s="563">
        <v>271.41392999999999</v>
      </c>
      <c r="AQ111" s="563">
        <v>138437.38913580001</v>
      </c>
      <c r="AR111" s="563">
        <v>3.0507</v>
      </c>
    </row>
    <row r="112" spans="2:44" x14ac:dyDescent="0.25">
      <c r="B112" s="564">
        <v>45169</v>
      </c>
      <c r="C112" s="560">
        <v>6.8545999999999996</v>
      </c>
      <c r="D112" s="560">
        <v>5.9539</v>
      </c>
      <c r="E112" s="560">
        <v>11.5801</v>
      </c>
      <c r="F112" s="560">
        <v>3.8807999999999998</v>
      </c>
      <c r="G112" s="560">
        <v>6.9837999999999996</v>
      </c>
      <c r="H112" s="560">
        <v>9.8239999999999998</v>
      </c>
      <c r="I112" s="564">
        <v>45169</v>
      </c>
      <c r="J112" s="560">
        <v>12.508900000000001</v>
      </c>
      <c r="K112" s="560">
        <v>8.1706000000000003</v>
      </c>
      <c r="L112" s="560">
        <v>14.3893</v>
      </c>
      <c r="M112" s="560">
        <v>8.4930000000000003</v>
      </c>
      <c r="N112" s="560">
        <v>9.3356999999999992</v>
      </c>
      <c r="O112" s="560">
        <v>16.473099999999999</v>
      </c>
      <c r="P112" s="560"/>
      <c r="Q112" s="564">
        <v>45169</v>
      </c>
      <c r="R112" s="4">
        <v>385.21</v>
      </c>
      <c r="S112" s="4">
        <v>14908.96</v>
      </c>
      <c r="T112" s="4">
        <v>1103.4000000000001</v>
      </c>
      <c r="U112" s="4">
        <v>1.1475512392755003</v>
      </c>
      <c r="V112" s="4">
        <v>1.322683700401446</v>
      </c>
      <c r="W112" s="4" t="e">
        <v>#DIV/0!</v>
      </c>
      <c r="Y112" s="560">
        <v>385.21</v>
      </c>
      <c r="Z112" s="4">
        <v>129.53</v>
      </c>
      <c r="AA112" s="4">
        <v>281.13</v>
      </c>
      <c r="AB112" s="4">
        <v>13.78</v>
      </c>
      <c r="AC112" s="4">
        <v>60.61</v>
      </c>
      <c r="AD112" s="4">
        <v>171.65</v>
      </c>
      <c r="AF112" s="4">
        <v>1.1475512392755003</v>
      </c>
      <c r="AG112" s="4">
        <v>1.2173872180451126</v>
      </c>
      <c r="AH112" s="4">
        <v>1.572227504054583</v>
      </c>
      <c r="AI112" s="4">
        <v>1.1416735708367853</v>
      </c>
      <c r="AJ112" s="4">
        <v>1.8840534659620765</v>
      </c>
      <c r="AK112" s="4">
        <v>1.2854789185950724</v>
      </c>
      <c r="AM112" s="562">
        <v>45810</v>
      </c>
      <c r="AN112" s="563">
        <v>510.06</v>
      </c>
      <c r="AO112" s="563">
        <v>850766</v>
      </c>
      <c r="AP112" s="563">
        <v>271.41392999999999</v>
      </c>
      <c r="AQ112" s="563">
        <v>138437.38913580001</v>
      </c>
      <c r="AR112" s="563">
        <v>3.0507</v>
      </c>
    </row>
    <row r="113" spans="2:44" x14ac:dyDescent="0.25">
      <c r="B113" s="564">
        <v>45162</v>
      </c>
      <c r="C113" s="560">
        <v>6.5580999999999996</v>
      </c>
      <c r="D113" s="560">
        <v>5.4950000000000001</v>
      </c>
      <c r="E113" s="560">
        <v>11.1038</v>
      </c>
      <c r="F113" s="560">
        <v>3.6473</v>
      </c>
      <c r="G113" s="560">
        <v>6.4177999999999997</v>
      </c>
      <c r="H113" s="560">
        <v>9.6938999999999993</v>
      </c>
      <c r="I113" s="564">
        <v>45162</v>
      </c>
      <c r="J113" s="560">
        <v>11.7692</v>
      </c>
      <c r="K113" s="560">
        <v>7.4154999999999998</v>
      </c>
      <c r="L113" s="560">
        <v>13.783799999999999</v>
      </c>
      <c r="M113" s="560">
        <v>7.9260000000000002</v>
      </c>
      <c r="N113" s="560">
        <v>8.4977999999999998</v>
      </c>
      <c r="O113" s="560">
        <v>16.228400000000001</v>
      </c>
      <c r="P113" s="560"/>
      <c r="Q113" s="564">
        <v>45162</v>
      </c>
      <c r="R113" s="4">
        <v>431.68</v>
      </c>
      <c r="S113" s="4">
        <v>15037.65</v>
      </c>
      <c r="T113" s="4">
        <v>1103.4000000000001</v>
      </c>
      <c r="U113" s="4">
        <v>1.2859866539561486</v>
      </c>
      <c r="V113" s="4">
        <v>1.334100738572094</v>
      </c>
      <c r="W113" s="4" t="e">
        <v>#DIV/0!</v>
      </c>
      <c r="Y113" s="560">
        <v>431.68</v>
      </c>
      <c r="Z113" s="4">
        <v>117.56</v>
      </c>
      <c r="AA113" s="4">
        <v>269.3</v>
      </c>
      <c r="AB113" s="4">
        <v>12.86</v>
      </c>
      <c r="AC113" s="4">
        <v>55.17</v>
      </c>
      <c r="AD113" s="4">
        <v>169.1</v>
      </c>
      <c r="AF113" s="4">
        <v>1.2859866539561486</v>
      </c>
      <c r="AG113" s="4">
        <v>1.1048872180451128</v>
      </c>
      <c r="AH113" s="4">
        <v>1.5060678932945586</v>
      </c>
      <c r="AI113" s="4">
        <v>1.0654515327257663</v>
      </c>
      <c r="AJ113" s="4">
        <v>1.7149518184644077</v>
      </c>
      <c r="AK113" s="4">
        <v>1.2663820864225268</v>
      </c>
      <c r="AM113" s="562">
        <v>45809</v>
      </c>
      <c r="AN113" s="563">
        <v>510.06</v>
      </c>
      <c r="AO113" s="563">
        <v>850766</v>
      </c>
      <c r="AP113" s="563">
        <v>271.41392999999999</v>
      </c>
      <c r="AQ113" s="563">
        <v>138437.38913580001</v>
      </c>
      <c r="AR113" s="563">
        <v>3.0507</v>
      </c>
    </row>
    <row r="114" spans="2:44" x14ac:dyDescent="0.25">
      <c r="B114" s="564">
        <v>45155</v>
      </c>
      <c r="C114" s="560">
        <v>7.1246</v>
      </c>
      <c r="D114" s="560">
        <v>5.6528999999999998</v>
      </c>
      <c r="E114" s="560">
        <v>11.340199999999999</v>
      </c>
      <c r="F114" s="560">
        <v>3.7158000000000002</v>
      </c>
      <c r="G114" s="560">
        <v>6.6082000000000001</v>
      </c>
      <c r="H114" s="560">
        <v>9.7515999999999998</v>
      </c>
      <c r="I114" s="564">
        <v>45155</v>
      </c>
      <c r="J114" s="560">
        <v>12.7591</v>
      </c>
      <c r="K114" s="560">
        <v>7.6753999999999998</v>
      </c>
      <c r="L114" s="560">
        <v>14.084199999999999</v>
      </c>
      <c r="M114" s="560">
        <v>8.0923999999999996</v>
      </c>
      <c r="N114" s="560">
        <v>8.7796000000000003</v>
      </c>
      <c r="O114" s="560">
        <v>16.3369</v>
      </c>
      <c r="P114" s="560"/>
      <c r="Q114" s="564">
        <v>45155</v>
      </c>
      <c r="R114" s="4">
        <v>430.46</v>
      </c>
      <c r="S114" s="4">
        <v>15273.05</v>
      </c>
      <c r="T114" s="4">
        <v>1103.4000000000001</v>
      </c>
      <c r="U114" s="4">
        <v>1.2823522402287892</v>
      </c>
      <c r="V114" s="4">
        <v>1.3549848071506199</v>
      </c>
      <c r="W114" s="4" t="e">
        <v>#DIV/0!</v>
      </c>
      <c r="Y114" s="560">
        <v>430.46</v>
      </c>
      <c r="Z114" s="4">
        <v>121.68</v>
      </c>
      <c r="AA114" s="4">
        <v>275.17</v>
      </c>
      <c r="AB114" s="4">
        <v>13.13</v>
      </c>
      <c r="AC114" s="4">
        <v>57</v>
      </c>
      <c r="AD114" s="4">
        <v>170.23</v>
      </c>
      <c r="AF114" s="4">
        <v>1.2823522402287892</v>
      </c>
      <c r="AG114" s="4">
        <v>1.1436090225563911</v>
      </c>
      <c r="AH114" s="4">
        <v>1.5388960348973773</v>
      </c>
      <c r="AI114" s="4">
        <v>1.087821043910522</v>
      </c>
      <c r="AJ114" s="4">
        <v>1.7718371153248367</v>
      </c>
      <c r="AK114" s="4">
        <v>1.274844604208792</v>
      </c>
      <c r="AM114" s="562">
        <v>45808</v>
      </c>
      <c r="AN114" s="563">
        <v>515.65</v>
      </c>
      <c r="AO114" s="563">
        <v>949194</v>
      </c>
      <c r="AP114" s="563">
        <v>271.41392999999999</v>
      </c>
      <c r="AQ114" s="563">
        <v>139954.5930045</v>
      </c>
      <c r="AR114" s="563">
        <v>3.0842000000000001</v>
      </c>
    </row>
    <row r="115" spans="2:44" x14ac:dyDescent="0.25">
      <c r="B115" s="564">
        <v>45148</v>
      </c>
      <c r="C115" s="560">
        <v>7.3929999999999998</v>
      </c>
      <c r="D115" s="560">
        <v>5.9313000000000002</v>
      </c>
      <c r="E115" s="560">
        <v>11.6884</v>
      </c>
      <c r="F115" s="560">
        <v>3.9315000000000002</v>
      </c>
      <c r="G115" s="560">
        <v>7.0087999999999999</v>
      </c>
      <c r="H115" s="560">
        <v>10.0871</v>
      </c>
      <c r="I115" s="564">
        <v>45148</v>
      </c>
      <c r="J115" s="560">
        <v>13.228199999999999</v>
      </c>
      <c r="K115" s="560">
        <v>8.1334</v>
      </c>
      <c r="L115" s="560">
        <v>14.526999999999999</v>
      </c>
      <c r="M115" s="560">
        <v>8.6163000000000007</v>
      </c>
      <c r="N115" s="560">
        <v>9.3726000000000003</v>
      </c>
      <c r="O115" s="560">
        <v>16.968299999999999</v>
      </c>
      <c r="P115" s="560"/>
      <c r="Q115" s="564">
        <v>45148</v>
      </c>
      <c r="R115" s="4">
        <v>433.44</v>
      </c>
      <c r="S115" s="4">
        <v>15718.01</v>
      </c>
      <c r="T115" s="4">
        <v>1103.4000000000001</v>
      </c>
      <c r="U115" s="4">
        <v>1.2912297426120114</v>
      </c>
      <c r="V115" s="4">
        <v>1.3944604875019406</v>
      </c>
      <c r="W115" s="4" t="e">
        <v>#DIV/0!</v>
      </c>
      <c r="Y115" s="560">
        <v>433.44</v>
      </c>
      <c r="Z115" s="4">
        <v>128.94</v>
      </c>
      <c r="AA115" s="4">
        <v>283.82</v>
      </c>
      <c r="AB115" s="4">
        <v>13.98</v>
      </c>
      <c r="AC115" s="4">
        <v>60.85</v>
      </c>
      <c r="AD115" s="4">
        <v>176.81</v>
      </c>
      <c r="AF115" s="4">
        <v>1.2912297426120114</v>
      </c>
      <c r="AG115" s="4">
        <v>1.2118421052631578</v>
      </c>
      <c r="AH115" s="4">
        <v>1.5872714054023824</v>
      </c>
      <c r="AI115" s="4">
        <v>1.1582435791217895</v>
      </c>
      <c r="AJ115" s="4">
        <v>1.8915138327634442</v>
      </c>
      <c r="AK115" s="4">
        <v>1.3241219201677525</v>
      </c>
      <c r="AM115" s="562">
        <v>45807</v>
      </c>
      <c r="AN115" s="563">
        <v>514.66</v>
      </c>
      <c r="AO115" s="563">
        <v>1060330</v>
      </c>
      <c r="AP115" s="563">
        <v>271.41392999999999</v>
      </c>
      <c r="AQ115" s="563">
        <v>139685.89321379998</v>
      </c>
      <c r="AR115" s="563">
        <v>3.0781999999999998</v>
      </c>
    </row>
    <row r="116" spans="2:44" x14ac:dyDescent="0.25">
      <c r="B116" s="564">
        <v>45141</v>
      </c>
      <c r="C116" s="560">
        <v>7.2077999999999998</v>
      </c>
      <c r="D116" s="560">
        <v>5.9080000000000004</v>
      </c>
      <c r="E116" s="560">
        <v>11.593</v>
      </c>
      <c r="F116" s="560">
        <v>3.9493</v>
      </c>
      <c r="G116" s="560">
        <v>7.2667999999999999</v>
      </c>
      <c r="H116" s="560">
        <v>10.318099999999999</v>
      </c>
      <c r="I116" s="564">
        <v>45141</v>
      </c>
      <c r="J116" s="560">
        <v>12.9046</v>
      </c>
      <c r="K116" s="560">
        <v>8.0968</v>
      </c>
      <c r="L116" s="560">
        <v>14.4057</v>
      </c>
      <c r="M116" s="560">
        <v>8.6593999999999998</v>
      </c>
      <c r="N116" s="560">
        <v>9.7545999999999999</v>
      </c>
      <c r="O116" s="560">
        <v>17.403099999999998</v>
      </c>
      <c r="P116" s="560"/>
      <c r="Q116" s="564">
        <v>45141</v>
      </c>
      <c r="R116" s="4">
        <v>446.33</v>
      </c>
      <c r="S116" s="4">
        <v>15561.42</v>
      </c>
      <c r="T116" s="4">
        <v>1103.4000000000001</v>
      </c>
      <c r="U116" s="4">
        <v>1.3296294089609151</v>
      </c>
      <c r="V116" s="4">
        <v>1.3805682347461574</v>
      </c>
      <c r="W116" s="4" t="e">
        <v>#DIV/0!</v>
      </c>
      <c r="Y116" s="560">
        <v>446.33</v>
      </c>
      <c r="Z116" s="4">
        <v>128.36000000000001</v>
      </c>
      <c r="AA116" s="4">
        <v>281.45</v>
      </c>
      <c r="AB116" s="4">
        <v>14.05</v>
      </c>
      <c r="AC116" s="4">
        <v>63.33</v>
      </c>
      <c r="AD116" s="4">
        <v>181.34</v>
      </c>
      <c r="AF116" s="4">
        <v>1.3296294089609151</v>
      </c>
      <c r="AG116" s="4">
        <v>1.206390977443609</v>
      </c>
      <c r="AH116" s="4">
        <v>1.574017113136849</v>
      </c>
      <c r="AI116" s="4">
        <v>1.1640430820215411</v>
      </c>
      <c r="AJ116" s="4">
        <v>1.9686042897109106</v>
      </c>
      <c r="AK116" s="4">
        <v>1.3580468808507451</v>
      </c>
      <c r="AM116" s="562">
        <v>45806</v>
      </c>
      <c r="AN116" s="563">
        <v>526.33000000000004</v>
      </c>
      <c r="AO116" s="563">
        <v>1250532</v>
      </c>
      <c r="AP116" s="563">
        <v>271.41392999999999</v>
      </c>
      <c r="AQ116" s="563">
        <v>142853.29377690001</v>
      </c>
      <c r="AR116" s="563">
        <v>3.1480000000000001</v>
      </c>
    </row>
    <row r="117" spans="2:44" x14ac:dyDescent="0.25">
      <c r="B117" s="564">
        <v>45134</v>
      </c>
      <c r="C117" s="560">
        <v>8.5137</v>
      </c>
      <c r="D117" s="560">
        <v>6.0682999999999998</v>
      </c>
      <c r="E117" s="560">
        <v>10.767200000000001</v>
      </c>
      <c r="F117" s="560">
        <v>4.2770000000000001</v>
      </c>
      <c r="G117" s="560">
        <v>6.6182999999999996</v>
      </c>
      <c r="H117" s="560">
        <v>10.821300000000001</v>
      </c>
      <c r="I117" s="564">
        <v>45134</v>
      </c>
      <c r="J117" s="560">
        <v>14.408799999999999</v>
      </c>
      <c r="K117" s="560">
        <v>8.3604000000000003</v>
      </c>
      <c r="L117" s="560">
        <v>13.220800000000001</v>
      </c>
      <c r="M117" s="560">
        <v>9.4175000000000004</v>
      </c>
      <c r="N117" s="560">
        <v>8.7426999999999992</v>
      </c>
      <c r="O117" s="560">
        <v>18.364699999999999</v>
      </c>
      <c r="P117" s="560"/>
      <c r="Q117" s="564">
        <v>45134</v>
      </c>
      <c r="R117" s="4">
        <v>431.56</v>
      </c>
      <c r="S117" s="4">
        <v>15841.35</v>
      </c>
      <c r="T117" s="4">
        <v>1103.4000000000001</v>
      </c>
      <c r="U117" s="4">
        <v>1.2856291706387035</v>
      </c>
      <c r="V117" s="4">
        <v>1.4054028877503493</v>
      </c>
      <c r="W117" s="4" t="e">
        <v>#DIV/0!</v>
      </c>
      <c r="Y117" s="560">
        <v>431.56</v>
      </c>
      <c r="Z117" s="4">
        <v>132.54</v>
      </c>
      <c r="AA117" s="4">
        <v>258.3</v>
      </c>
      <c r="AB117" s="4">
        <v>15.28</v>
      </c>
      <c r="AC117" s="4">
        <v>56.76</v>
      </c>
      <c r="AD117" s="4">
        <v>191.36</v>
      </c>
      <c r="AF117" s="4">
        <v>1.2856291706387035</v>
      </c>
      <c r="AG117" s="4">
        <v>1.2456766917293232</v>
      </c>
      <c r="AH117" s="4">
        <v>1.4445500810916616</v>
      </c>
      <c r="AI117" s="4">
        <v>1.2659486329743164</v>
      </c>
      <c r="AJ117" s="4">
        <v>1.7643767485234689</v>
      </c>
      <c r="AK117" s="4">
        <v>1.4330861978581593</v>
      </c>
      <c r="AM117" s="562">
        <v>45805</v>
      </c>
      <c r="AN117" s="563">
        <v>529.83000000000004</v>
      </c>
      <c r="AO117" s="563">
        <v>1273371</v>
      </c>
      <c r="AP117" s="563">
        <v>271.41392999999999</v>
      </c>
      <c r="AQ117" s="563">
        <v>143803.2425319</v>
      </c>
      <c r="AR117" s="563">
        <v>3.169</v>
      </c>
    </row>
    <row r="118" spans="2:44" x14ac:dyDescent="0.25">
      <c r="B118" s="564">
        <v>45127</v>
      </c>
      <c r="C118" s="560">
        <v>8.7231000000000005</v>
      </c>
      <c r="D118" s="560">
        <v>6.3155000000000001</v>
      </c>
      <c r="E118" s="560">
        <v>10.880699999999999</v>
      </c>
      <c r="F118" s="560">
        <v>4.3457999999999997</v>
      </c>
      <c r="G118" s="560">
        <v>7.1573000000000002</v>
      </c>
      <c r="H118" s="560">
        <v>11.1525</v>
      </c>
      <c r="I118" s="564">
        <v>45127</v>
      </c>
      <c r="J118" s="560">
        <v>14.779</v>
      </c>
      <c r="K118" s="560">
        <v>8.7673000000000005</v>
      </c>
      <c r="L118" s="560">
        <v>13.3636</v>
      </c>
      <c r="M118" s="560">
        <v>9.5838999999999999</v>
      </c>
      <c r="N118" s="560">
        <v>9.5358999999999998</v>
      </c>
      <c r="O118" s="560">
        <v>18.988499999999998</v>
      </c>
      <c r="P118" s="560"/>
      <c r="Q118" s="564">
        <v>45127</v>
      </c>
      <c r="R118" s="4">
        <v>413.8</v>
      </c>
      <c r="S118" s="4">
        <v>15119.06</v>
      </c>
      <c r="T118" s="4">
        <v>1103.4000000000001</v>
      </c>
      <c r="U118" s="4">
        <v>1.2327216396568159</v>
      </c>
      <c r="V118" s="4">
        <v>1.341323219553308</v>
      </c>
      <c r="W118" s="4" t="e">
        <v>#DIV/0!</v>
      </c>
      <c r="Y118" s="560">
        <v>413.8</v>
      </c>
      <c r="Z118" s="4">
        <v>138.99</v>
      </c>
      <c r="AA118" s="4">
        <v>261.08999999999997</v>
      </c>
      <c r="AB118" s="4">
        <v>15.55</v>
      </c>
      <c r="AC118" s="4">
        <v>61.91</v>
      </c>
      <c r="AD118" s="4">
        <v>197.86</v>
      </c>
      <c r="AF118" s="4">
        <v>1.2327216396568159</v>
      </c>
      <c r="AG118" s="4">
        <v>1.3062969924812031</v>
      </c>
      <c r="AH118" s="4">
        <v>1.4601532352776689</v>
      </c>
      <c r="AI118" s="4">
        <v>1.2883181441590721</v>
      </c>
      <c r="AJ118" s="4">
        <v>1.9244637861361515</v>
      </c>
      <c r="AK118" s="4">
        <v>1.4817643975136674</v>
      </c>
      <c r="AM118" s="562">
        <v>45804</v>
      </c>
      <c r="AN118" s="563">
        <v>531.48</v>
      </c>
      <c r="AO118" s="563">
        <v>2322406</v>
      </c>
      <c r="AP118" s="563">
        <v>271.41392999999999</v>
      </c>
      <c r="AQ118" s="563">
        <v>144251.07551640001</v>
      </c>
      <c r="AR118" s="563">
        <v>3.1787999999999998</v>
      </c>
    </row>
    <row r="119" spans="2:44" x14ac:dyDescent="0.25">
      <c r="B119" s="564">
        <v>45120</v>
      </c>
      <c r="C119" s="560">
        <v>8.1509</v>
      </c>
      <c r="D119" s="560">
        <v>6.1614000000000004</v>
      </c>
      <c r="E119" s="560">
        <v>10.667999999999999</v>
      </c>
      <c r="F119" s="560">
        <v>4.1980000000000004</v>
      </c>
      <c r="G119" s="560">
        <v>7.3017000000000003</v>
      </c>
      <c r="H119" s="560">
        <v>10.8315</v>
      </c>
      <c r="I119" s="564">
        <v>45120</v>
      </c>
      <c r="J119" s="560">
        <v>13.767799999999999</v>
      </c>
      <c r="K119" s="560">
        <v>8.5137</v>
      </c>
      <c r="L119" s="560">
        <v>13.0959</v>
      </c>
      <c r="M119" s="560">
        <v>9.2263999999999999</v>
      </c>
      <c r="N119" s="560">
        <v>9.7484999999999999</v>
      </c>
      <c r="O119" s="560">
        <v>18.383900000000001</v>
      </c>
      <c r="P119" s="560"/>
      <c r="Q119" s="564">
        <v>45120</v>
      </c>
      <c r="R119" s="4">
        <v>409.51</v>
      </c>
      <c r="S119" s="4">
        <v>14945.91</v>
      </c>
      <c r="T119" s="4">
        <v>1103.4000000000001</v>
      </c>
      <c r="U119" s="4">
        <v>1.2199416110581505</v>
      </c>
      <c r="V119" s="4">
        <v>1.3259618071727992</v>
      </c>
      <c r="W119" s="4" t="e">
        <v>#DIV/0!</v>
      </c>
      <c r="Y119" s="560">
        <v>409.51</v>
      </c>
      <c r="Z119" s="4">
        <v>134.97</v>
      </c>
      <c r="AA119" s="4">
        <v>255.86</v>
      </c>
      <c r="AB119" s="4">
        <v>14.97</v>
      </c>
      <c r="AC119" s="4">
        <v>63.29</v>
      </c>
      <c r="AD119" s="4">
        <v>191.56</v>
      </c>
      <c r="AF119" s="4">
        <v>1.2199416110581505</v>
      </c>
      <c r="AG119" s="4">
        <v>1.2685150375939849</v>
      </c>
      <c r="AH119" s="4">
        <v>1.4309043118393827</v>
      </c>
      <c r="AI119" s="4">
        <v>1.2402651201325601</v>
      </c>
      <c r="AJ119" s="4">
        <v>1.967360895244016</v>
      </c>
      <c r="AK119" s="4">
        <v>1.4345839886167902</v>
      </c>
      <c r="AM119" s="562">
        <v>45803</v>
      </c>
      <c r="AN119" s="563">
        <v>531.48</v>
      </c>
      <c r="AO119" s="563">
        <v>2322406</v>
      </c>
      <c r="AP119" s="563">
        <v>271.41392999999999</v>
      </c>
      <c r="AQ119" s="563">
        <v>144251.07551640001</v>
      </c>
      <c r="AR119" s="563">
        <v>3.1787999999999998</v>
      </c>
    </row>
    <row r="120" spans="2:44" x14ac:dyDescent="0.25">
      <c r="B120" s="564">
        <v>45113</v>
      </c>
      <c r="C120" s="560">
        <v>7.9916</v>
      </c>
      <c r="D120" s="560">
        <v>5.9432999999999998</v>
      </c>
      <c r="E120" s="560">
        <v>10.0465</v>
      </c>
      <c r="F120" s="560">
        <v>3.9763000000000002</v>
      </c>
      <c r="G120" s="560">
        <v>6.702</v>
      </c>
      <c r="H120" s="560">
        <v>10.178800000000001</v>
      </c>
      <c r="I120" s="564">
        <v>45113</v>
      </c>
      <c r="J120" s="560">
        <v>13.4861</v>
      </c>
      <c r="K120" s="560">
        <v>8.1547999999999998</v>
      </c>
      <c r="L120" s="560">
        <v>12.313800000000001</v>
      </c>
      <c r="M120" s="560">
        <v>8.6902000000000008</v>
      </c>
      <c r="N120" s="560">
        <v>8.8658999999999999</v>
      </c>
      <c r="O120" s="560">
        <v>17.154499999999999</v>
      </c>
      <c r="P120" s="560"/>
      <c r="Q120" s="564">
        <v>45113</v>
      </c>
      <c r="R120" s="4">
        <v>409.51</v>
      </c>
      <c r="S120" s="4">
        <v>14945.91</v>
      </c>
      <c r="T120" s="4">
        <v>1103.4000000000001</v>
      </c>
      <c r="U120" s="4">
        <v>1.2199416110581505</v>
      </c>
      <c r="V120" s="4">
        <v>1.3259618071727992</v>
      </c>
      <c r="W120" s="4" t="e">
        <v>#DIV/0!</v>
      </c>
      <c r="Y120" s="560">
        <v>409.51</v>
      </c>
      <c r="Z120" s="4">
        <v>129.28</v>
      </c>
      <c r="AA120" s="4">
        <v>240.58</v>
      </c>
      <c r="AB120" s="4">
        <v>14.1</v>
      </c>
      <c r="AC120" s="4">
        <v>57.56</v>
      </c>
      <c r="AD120" s="4">
        <v>178.75</v>
      </c>
      <c r="AF120" s="4">
        <v>1.2199416110581505</v>
      </c>
      <c r="AG120" s="4">
        <v>1.2150375939849622</v>
      </c>
      <c r="AH120" s="4">
        <v>1.3454504781611767</v>
      </c>
      <c r="AI120" s="4">
        <v>1.1681855840927919</v>
      </c>
      <c r="AJ120" s="4">
        <v>1.7892446378613616</v>
      </c>
      <c r="AK120" s="4">
        <v>1.3386504905264733</v>
      </c>
      <c r="AM120" s="562">
        <v>45802</v>
      </c>
      <c r="AN120" s="563">
        <v>531.48</v>
      </c>
      <c r="AO120" s="563">
        <v>2322406</v>
      </c>
      <c r="AP120" s="563">
        <v>271.41392999999999</v>
      </c>
      <c r="AQ120" s="563">
        <v>144251.07551640001</v>
      </c>
      <c r="AR120" s="563">
        <v>3.1787999999999998</v>
      </c>
    </row>
    <row r="121" spans="2:44" x14ac:dyDescent="0.25">
      <c r="B121" s="564">
        <v>45106</v>
      </c>
      <c r="C121" s="560">
        <v>8.0002999999999993</v>
      </c>
      <c r="D121" s="560">
        <v>6.5396000000000001</v>
      </c>
      <c r="E121" s="560">
        <v>11.797800000000001</v>
      </c>
      <c r="F121" s="560">
        <v>4.2889999999999997</v>
      </c>
      <c r="G121" s="560">
        <v>8.4099000000000004</v>
      </c>
      <c r="H121" s="560">
        <v>11.158200000000001</v>
      </c>
      <c r="I121" s="564">
        <v>45106</v>
      </c>
      <c r="J121" s="560">
        <v>13.5015</v>
      </c>
      <c r="K121" s="560">
        <v>9.5510000000000002</v>
      </c>
      <c r="L121" s="560">
        <v>14.309699999999999</v>
      </c>
      <c r="M121" s="560">
        <v>9.4177</v>
      </c>
      <c r="N121" s="560">
        <v>11.3879</v>
      </c>
      <c r="O121" s="560">
        <v>18.6616</v>
      </c>
      <c r="P121" s="560"/>
      <c r="Q121" s="564">
        <v>45106</v>
      </c>
      <c r="R121" s="4">
        <v>407.98</v>
      </c>
      <c r="S121" s="4">
        <v>15070.15</v>
      </c>
      <c r="T121" s="4">
        <v>1103.4000000000001</v>
      </c>
      <c r="U121" s="4">
        <v>1.2153836987607245</v>
      </c>
      <c r="V121" s="4">
        <v>1.3369840530529864</v>
      </c>
      <c r="W121" s="4" t="e">
        <v>#DIV/0!</v>
      </c>
      <c r="Y121" s="560">
        <v>407.98</v>
      </c>
      <c r="Z121" s="4">
        <v>129.25</v>
      </c>
      <c r="AA121" s="4">
        <v>244.24</v>
      </c>
      <c r="AB121" s="4">
        <v>14.13</v>
      </c>
      <c r="AC121" s="4">
        <v>59.37</v>
      </c>
      <c r="AD121" s="4">
        <v>182.51</v>
      </c>
      <c r="AF121" s="4">
        <v>1.2153836987607245</v>
      </c>
      <c r="AG121" s="4">
        <v>1.2147556390977443</v>
      </c>
      <c r="AH121" s="4">
        <v>1.3659191320395951</v>
      </c>
      <c r="AI121" s="4">
        <v>1.1706710853355426</v>
      </c>
      <c r="AJ121" s="4">
        <v>1.8455082374883429</v>
      </c>
      <c r="AK121" s="4">
        <v>1.3668089567887365</v>
      </c>
      <c r="AM121" s="562">
        <v>45801</v>
      </c>
      <c r="AN121" s="563">
        <v>516.32000000000005</v>
      </c>
      <c r="AO121" s="563">
        <v>3211792</v>
      </c>
      <c r="AP121" s="563">
        <v>271.41392999999999</v>
      </c>
      <c r="AQ121" s="563">
        <v>140136.44033760001</v>
      </c>
      <c r="AR121" s="563">
        <v>3.0882000000000001</v>
      </c>
    </row>
    <row r="122" spans="2:44" x14ac:dyDescent="0.25">
      <c r="B122" s="564">
        <v>45099</v>
      </c>
      <c r="C122" s="560">
        <v>8.2676999999999996</v>
      </c>
      <c r="D122" s="560">
        <v>6.7314999999999996</v>
      </c>
      <c r="E122" s="560">
        <v>11.473800000000001</v>
      </c>
      <c r="F122" s="560">
        <v>4.3563999999999998</v>
      </c>
      <c r="G122" s="560">
        <v>8.1014999999999997</v>
      </c>
      <c r="H122" s="560">
        <v>11.184799999999999</v>
      </c>
      <c r="I122" s="564">
        <v>45099</v>
      </c>
      <c r="J122" s="560">
        <v>13.9742</v>
      </c>
      <c r="K122" s="560">
        <v>9.8762000000000008</v>
      </c>
      <c r="L122" s="560">
        <v>13.9055</v>
      </c>
      <c r="M122" s="560">
        <v>9.5844000000000005</v>
      </c>
      <c r="N122" s="560">
        <v>10.916</v>
      </c>
      <c r="O122" s="560">
        <v>18.7117</v>
      </c>
      <c r="P122" s="560"/>
      <c r="Q122" s="564">
        <v>45099</v>
      </c>
      <c r="R122" s="4">
        <v>398.24</v>
      </c>
      <c r="S122" s="4">
        <v>14900.85</v>
      </c>
      <c r="T122" s="4">
        <v>1103.4000000000001</v>
      </c>
      <c r="U122" s="4">
        <v>1.1863679694947569</v>
      </c>
      <c r="V122" s="4">
        <v>1.3219642025417526</v>
      </c>
      <c r="W122" s="4" t="e">
        <v>#DIV/0!</v>
      </c>
      <c r="Y122" s="560">
        <v>398.24</v>
      </c>
      <c r="Z122" s="4">
        <v>133.65</v>
      </c>
      <c r="AA122" s="4">
        <v>237.34</v>
      </c>
      <c r="AB122" s="4">
        <v>14.38</v>
      </c>
      <c r="AC122" s="4">
        <v>56.91</v>
      </c>
      <c r="AD122" s="4">
        <v>183</v>
      </c>
      <c r="AF122" s="4">
        <v>1.1863679694947569</v>
      </c>
      <c r="AG122" s="4">
        <v>1.2561090225563909</v>
      </c>
      <c r="AH122" s="4">
        <v>1.3273306862032326</v>
      </c>
      <c r="AI122" s="4">
        <v>1.191383595691798</v>
      </c>
      <c r="AJ122" s="4">
        <v>1.7690394777743237</v>
      </c>
      <c r="AK122" s="4">
        <v>1.3704785441473826</v>
      </c>
      <c r="AM122" s="562">
        <v>45800</v>
      </c>
      <c r="AN122" s="563">
        <v>497.5</v>
      </c>
      <c r="AO122" s="563">
        <v>1601205</v>
      </c>
      <c r="AP122" s="563">
        <v>271.41392999999999</v>
      </c>
      <c r="AQ122" s="563">
        <v>135028.43017499999</v>
      </c>
      <c r="AR122" s="563">
        <v>2.9756</v>
      </c>
    </row>
    <row r="123" spans="2:44" x14ac:dyDescent="0.25">
      <c r="B123" s="564">
        <v>45092</v>
      </c>
      <c r="C123" s="560">
        <v>8.0932999999999993</v>
      </c>
      <c r="D123" s="560">
        <v>6.6561000000000003</v>
      </c>
      <c r="E123" s="560">
        <v>11.9589</v>
      </c>
      <c r="F123" s="560">
        <v>4.4048999999999996</v>
      </c>
      <c r="G123" s="560">
        <v>8.2444000000000006</v>
      </c>
      <c r="H123" s="560">
        <v>11.222200000000001</v>
      </c>
      <c r="I123" s="564">
        <v>45092</v>
      </c>
      <c r="J123" s="560">
        <v>13.665900000000001</v>
      </c>
      <c r="K123" s="560">
        <v>9.7483000000000004</v>
      </c>
      <c r="L123" s="560">
        <v>14.5107</v>
      </c>
      <c r="M123" s="560">
        <v>9.7042999999999999</v>
      </c>
      <c r="N123" s="560">
        <v>11.1347</v>
      </c>
      <c r="O123" s="560">
        <v>18.7822</v>
      </c>
      <c r="P123" s="560"/>
      <c r="Q123" s="564">
        <v>45092</v>
      </c>
      <c r="R123" s="4">
        <v>373.69</v>
      </c>
      <c r="S123" s="4">
        <v>14558.09</v>
      </c>
      <c r="T123" s="4">
        <v>1103.4000000000001</v>
      </c>
      <c r="U123" s="4">
        <v>1.1132328408007626</v>
      </c>
      <c r="V123" s="4">
        <v>1.2915554372657307</v>
      </c>
      <c r="W123" s="4" t="e">
        <v>#DIV/0!</v>
      </c>
      <c r="Y123" s="560">
        <v>373.69</v>
      </c>
      <c r="Z123" s="4">
        <v>131.91999999999999</v>
      </c>
      <c r="AA123" s="4">
        <v>247.67</v>
      </c>
      <c r="AB123" s="4">
        <v>14.56</v>
      </c>
      <c r="AC123" s="4">
        <v>58.05</v>
      </c>
      <c r="AD123" s="4">
        <v>183.69</v>
      </c>
      <c r="AF123" s="4">
        <v>1.1132328408007626</v>
      </c>
      <c r="AG123" s="4">
        <v>1.2398496240601502</v>
      </c>
      <c r="AH123" s="4">
        <v>1.3851015043901347</v>
      </c>
      <c r="AI123" s="4">
        <v>1.2062966031483016</v>
      </c>
      <c r="AJ123" s="4">
        <v>1.8044762200808204</v>
      </c>
      <c r="AK123" s="4">
        <v>1.3756459222646595</v>
      </c>
      <c r="AM123" s="562">
        <v>45799</v>
      </c>
      <c r="AN123" s="563">
        <v>498.57</v>
      </c>
      <c r="AO123" s="563">
        <v>1500145</v>
      </c>
      <c r="AP123" s="563">
        <v>271.41392999999999</v>
      </c>
      <c r="AQ123" s="563">
        <v>135318.84308009999</v>
      </c>
      <c r="AR123" s="563">
        <v>2.9820000000000002</v>
      </c>
    </row>
    <row r="124" spans="2:44" x14ac:dyDescent="0.25">
      <c r="B124" s="564">
        <v>45085</v>
      </c>
      <c r="C124" s="560">
        <v>7.6036000000000001</v>
      </c>
      <c r="D124" s="560">
        <v>6.2569999999999997</v>
      </c>
      <c r="E124" s="560">
        <v>11.338100000000001</v>
      </c>
      <c r="F124" s="560">
        <v>4.2161999999999997</v>
      </c>
      <c r="G124" s="560">
        <v>7.9461000000000004</v>
      </c>
      <c r="H124" s="560">
        <v>11.214600000000001</v>
      </c>
      <c r="I124" s="564">
        <v>45085</v>
      </c>
      <c r="J124" s="560">
        <v>12.8003</v>
      </c>
      <c r="K124" s="560">
        <v>9.0722000000000005</v>
      </c>
      <c r="L124" s="560">
        <v>13.7361</v>
      </c>
      <c r="M124" s="560">
        <v>9.2378</v>
      </c>
      <c r="N124" s="560">
        <v>10.6782</v>
      </c>
      <c r="O124" s="560">
        <v>18.767900000000001</v>
      </c>
      <c r="P124" s="560"/>
      <c r="Q124" s="564">
        <v>45085</v>
      </c>
      <c r="R124" s="4">
        <v>350.63</v>
      </c>
      <c r="S124" s="4">
        <v>14354.99</v>
      </c>
      <c r="T124" s="4">
        <v>1103.4000000000001</v>
      </c>
      <c r="U124" s="4">
        <v>1.0445364632983793</v>
      </c>
      <c r="V124" s="4">
        <v>1.2735369396943685</v>
      </c>
      <c r="W124" s="4" t="e">
        <v>#DIV/0!</v>
      </c>
      <c r="Y124" s="560">
        <v>350.63</v>
      </c>
      <c r="Z124" s="4">
        <v>122.77</v>
      </c>
      <c r="AA124" s="4">
        <v>234.45</v>
      </c>
      <c r="AB124" s="4">
        <v>13.86</v>
      </c>
      <c r="AC124" s="4">
        <v>55.67</v>
      </c>
      <c r="AD124" s="4">
        <v>183.55</v>
      </c>
      <c r="AF124" s="4">
        <v>1.0445364632983793</v>
      </c>
      <c r="AG124" s="4">
        <v>1.1538533834586464</v>
      </c>
      <c r="AH124" s="4">
        <v>1.3111682791790167</v>
      </c>
      <c r="AI124" s="4">
        <v>1.1483015741507869</v>
      </c>
      <c r="AJ124" s="4">
        <v>1.7304942493005906</v>
      </c>
      <c r="AK124" s="4">
        <v>1.374597468733618</v>
      </c>
      <c r="AM124" s="562">
        <v>45798</v>
      </c>
      <c r="AN124" s="563">
        <v>495.62</v>
      </c>
      <c r="AO124" s="563">
        <v>1597239</v>
      </c>
      <c r="AP124" s="563">
        <v>271.41392999999999</v>
      </c>
      <c r="AQ124" s="563">
        <v>134518.17198660001</v>
      </c>
      <c r="AR124" s="563">
        <v>2.9643999999999999</v>
      </c>
    </row>
    <row r="125" spans="2:44" x14ac:dyDescent="0.25">
      <c r="B125" s="564">
        <v>45078</v>
      </c>
      <c r="C125" s="560">
        <v>7.0671999999999997</v>
      </c>
      <c r="D125" s="560">
        <v>5.7704000000000004</v>
      </c>
      <c r="E125" s="560">
        <v>10.1462</v>
      </c>
      <c r="F125" s="560">
        <v>4.0221</v>
      </c>
      <c r="G125" s="560">
        <v>6.9455999999999998</v>
      </c>
      <c r="H125" s="560">
        <v>10.337400000000001</v>
      </c>
      <c r="I125" s="564">
        <v>45078</v>
      </c>
      <c r="J125" s="560">
        <v>11.8523</v>
      </c>
      <c r="K125" s="560">
        <v>8.2475000000000005</v>
      </c>
      <c r="L125" s="560">
        <v>12.2492</v>
      </c>
      <c r="M125" s="560">
        <v>8.7578999999999994</v>
      </c>
      <c r="N125" s="560">
        <v>9.1475000000000009</v>
      </c>
      <c r="O125" s="560">
        <v>17.113499999999998</v>
      </c>
      <c r="P125" s="560"/>
      <c r="Q125" s="564">
        <v>45078</v>
      </c>
      <c r="R125" s="4">
        <v>360.48</v>
      </c>
      <c r="S125" s="4">
        <v>13672.54</v>
      </c>
      <c r="T125" s="4">
        <v>1103.4000000000001</v>
      </c>
      <c r="U125" s="4">
        <v>1.0738798856053384</v>
      </c>
      <c r="V125" s="4">
        <v>1.2129917714640583</v>
      </c>
      <c r="W125" s="4" t="e">
        <v>#DIV/0!</v>
      </c>
      <c r="Y125" s="560">
        <v>360.48</v>
      </c>
      <c r="Z125" s="4">
        <v>111.61</v>
      </c>
      <c r="AA125" s="4">
        <v>209.07</v>
      </c>
      <c r="AB125" s="4">
        <v>13.14</v>
      </c>
      <c r="AC125" s="4">
        <v>47.69</v>
      </c>
      <c r="AD125" s="4">
        <v>167.37</v>
      </c>
      <c r="AF125" s="4">
        <v>1.0738798856053384</v>
      </c>
      <c r="AG125" s="4">
        <v>1.0489661654135338</v>
      </c>
      <c r="AH125" s="4">
        <v>1.1692299088417872</v>
      </c>
      <c r="AI125" s="4">
        <v>1.0886495443247721</v>
      </c>
      <c r="AJ125" s="4">
        <v>1.4824370531551132</v>
      </c>
      <c r="AK125" s="4">
        <v>1.2534261963603686</v>
      </c>
      <c r="AM125" s="562">
        <v>45797</v>
      </c>
      <c r="AN125" s="563">
        <v>492.6</v>
      </c>
      <c r="AO125" s="563">
        <v>653569</v>
      </c>
      <c r="AP125" s="563">
        <v>271.41392999999999</v>
      </c>
      <c r="AQ125" s="563">
        <v>133698.50191799999</v>
      </c>
      <c r="AR125" s="563">
        <v>2.9462999999999999</v>
      </c>
    </row>
    <row r="126" spans="2:44" x14ac:dyDescent="0.25">
      <c r="B126" s="564">
        <v>45071</v>
      </c>
      <c r="C126" s="560">
        <v>7.1832000000000003</v>
      </c>
      <c r="D126" s="560">
        <v>5.8571999999999997</v>
      </c>
      <c r="E126" s="560">
        <v>10.1889</v>
      </c>
      <c r="F126" s="560">
        <v>4.0651999999999999</v>
      </c>
      <c r="G126" s="560">
        <v>6.9756999999999998</v>
      </c>
      <c r="H126" s="560">
        <v>10.681100000000001</v>
      </c>
      <c r="I126" s="564">
        <v>45071</v>
      </c>
      <c r="J126" s="560">
        <v>11.9299</v>
      </c>
      <c r="K126" s="560">
        <v>8.3946000000000005</v>
      </c>
      <c r="L126" s="560">
        <v>12.3025</v>
      </c>
      <c r="M126" s="560">
        <v>8.8644999999999996</v>
      </c>
      <c r="N126" s="560">
        <v>9.1935000000000002</v>
      </c>
      <c r="O126" s="560">
        <v>17.761800000000001</v>
      </c>
      <c r="P126" s="560"/>
      <c r="Q126" s="564">
        <v>45071</v>
      </c>
      <c r="R126" s="4">
        <v>362.68</v>
      </c>
      <c r="S126" s="4">
        <v>13426.01</v>
      </c>
      <c r="T126" s="4">
        <v>1103.4000000000001</v>
      </c>
      <c r="U126" s="4">
        <v>1.0804337464251668</v>
      </c>
      <c r="V126" s="4">
        <v>1.1911202785725377</v>
      </c>
      <c r="W126" s="4" t="e">
        <v>#DIV/0!</v>
      </c>
      <c r="Y126" s="560">
        <v>362.68</v>
      </c>
      <c r="Z126" s="4">
        <v>113.6</v>
      </c>
      <c r="AA126" s="4">
        <v>209.98</v>
      </c>
      <c r="AB126" s="4">
        <v>13.3</v>
      </c>
      <c r="AC126" s="4">
        <v>47.93</v>
      </c>
      <c r="AD126" s="4">
        <v>173.71</v>
      </c>
      <c r="AF126" s="4">
        <v>1.0804337464251668</v>
      </c>
      <c r="AG126" s="4">
        <v>1.0676691729323307</v>
      </c>
      <c r="AH126" s="4">
        <v>1.1743191096694816</v>
      </c>
      <c r="AI126" s="4">
        <v>1.1019055509527755</v>
      </c>
      <c r="AJ126" s="4">
        <v>1.4898974199564812</v>
      </c>
      <c r="AK126" s="4">
        <v>1.3009061634089718</v>
      </c>
      <c r="AM126" s="562">
        <v>45796</v>
      </c>
      <c r="AN126" s="563">
        <v>492.6</v>
      </c>
      <c r="AO126" s="563">
        <v>653569</v>
      </c>
      <c r="AP126" s="563">
        <v>271.41392999999999</v>
      </c>
      <c r="AQ126" s="563">
        <v>133698.50191799999</v>
      </c>
      <c r="AR126" s="563">
        <v>2.9462999999999999</v>
      </c>
    </row>
    <row r="127" spans="2:44" x14ac:dyDescent="0.25">
      <c r="B127" s="564">
        <v>45064</v>
      </c>
      <c r="C127" s="560">
        <v>7.4837999999999996</v>
      </c>
      <c r="D127" s="560">
        <v>5.9701000000000004</v>
      </c>
      <c r="E127" s="560">
        <v>10.4115</v>
      </c>
      <c r="F127" s="560">
        <v>4.2565999999999997</v>
      </c>
      <c r="G127" s="560">
        <v>7.0735000000000001</v>
      </c>
      <c r="H127" s="560">
        <v>11.030799999999999</v>
      </c>
      <c r="I127" s="564">
        <v>45064</v>
      </c>
      <c r="J127" s="560">
        <v>12.4557</v>
      </c>
      <c r="K127" s="560">
        <v>8.5860000000000003</v>
      </c>
      <c r="L127" s="560">
        <v>12.5802</v>
      </c>
      <c r="M127" s="560">
        <v>9.3376999999999999</v>
      </c>
      <c r="N127" s="560">
        <v>9.3431999999999995</v>
      </c>
      <c r="O127" s="560">
        <v>18.421299999999999</v>
      </c>
      <c r="P127" s="560"/>
      <c r="Q127" s="564">
        <v>45064</v>
      </c>
      <c r="R127" s="4">
        <v>381.44</v>
      </c>
      <c r="S127" s="4">
        <v>13201.11</v>
      </c>
      <c r="T127" s="4">
        <v>1103.4000000000001</v>
      </c>
      <c r="U127" s="4">
        <v>1.1363203050524309</v>
      </c>
      <c r="V127" s="4">
        <v>1.1711677423647615</v>
      </c>
      <c r="W127" s="4" t="e">
        <v>#DIV/0!</v>
      </c>
      <c r="Y127" s="560">
        <v>381.44</v>
      </c>
      <c r="Z127" s="4">
        <v>116.19</v>
      </c>
      <c r="AA127" s="4">
        <v>214.72</v>
      </c>
      <c r="AB127" s="4">
        <v>14.01</v>
      </c>
      <c r="AC127" s="4">
        <v>48.71</v>
      </c>
      <c r="AD127" s="4">
        <v>180.16</v>
      </c>
      <c r="AF127" s="4">
        <v>1.1363203050524309</v>
      </c>
      <c r="AG127" s="4">
        <v>1.0920112781954887</v>
      </c>
      <c r="AH127" s="4">
        <v>1.200827694200548</v>
      </c>
      <c r="AI127" s="4">
        <v>1.16072908036454</v>
      </c>
      <c r="AJ127" s="4">
        <v>1.5141436120609262</v>
      </c>
      <c r="AK127" s="4">
        <v>1.349209915374822</v>
      </c>
      <c r="AM127" s="562">
        <v>45795</v>
      </c>
      <c r="AN127" s="563">
        <v>492.6</v>
      </c>
      <c r="AO127" s="563">
        <v>653569</v>
      </c>
      <c r="AP127" s="563">
        <v>271.41392999999999</v>
      </c>
      <c r="AQ127" s="563">
        <v>133698.50191799999</v>
      </c>
      <c r="AR127" s="563">
        <v>2.9462999999999999</v>
      </c>
    </row>
    <row r="128" spans="2:44" x14ac:dyDescent="0.25">
      <c r="B128" s="564">
        <v>45057</v>
      </c>
      <c r="C128" s="560">
        <v>7.5274999999999999</v>
      </c>
      <c r="D128" s="560">
        <v>6.2897999999999996</v>
      </c>
      <c r="E128" s="560">
        <v>10.1913</v>
      </c>
      <c r="F128" s="560">
        <v>4.2107999999999999</v>
      </c>
      <c r="G128" s="560">
        <v>6.8452999999999999</v>
      </c>
      <c r="H128" s="560">
        <v>10.911</v>
      </c>
      <c r="I128" s="564">
        <v>45057</v>
      </c>
      <c r="J128" s="560">
        <v>12.532</v>
      </c>
      <c r="K128" s="560">
        <v>9.1275999999999993</v>
      </c>
      <c r="L128" s="560">
        <v>12.305400000000001</v>
      </c>
      <c r="M128" s="560">
        <v>9.2243999999999993</v>
      </c>
      <c r="N128" s="560">
        <v>8.9940999999999995</v>
      </c>
      <c r="O128" s="560">
        <v>18.1953</v>
      </c>
      <c r="P128" s="560"/>
      <c r="Q128" s="564">
        <v>45057</v>
      </c>
      <c r="R128" s="4">
        <v>383.8</v>
      </c>
      <c r="S128" s="4">
        <v>13113.66</v>
      </c>
      <c r="T128" s="4">
        <v>1103.4000000000001</v>
      </c>
      <c r="U128" s="4">
        <v>1.1433508102955197</v>
      </c>
      <c r="V128" s="4">
        <v>1.1634094084769446</v>
      </c>
      <c r="W128" s="4" t="e">
        <v>#DIV/0!</v>
      </c>
      <c r="Y128" s="560">
        <v>383.8</v>
      </c>
      <c r="Z128" s="4">
        <v>123.52</v>
      </c>
      <c r="AA128" s="4">
        <v>210.03</v>
      </c>
      <c r="AB128" s="4">
        <v>13.84</v>
      </c>
      <c r="AC128" s="4">
        <v>46.89</v>
      </c>
      <c r="AD128" s="4">
        <v>177.95</v>
      </c>
      <c r="AF128" s="4">
        <v>1.1433508102955197</v>
      </c>
      <c r="AG128" s="4">
        <v>1.1609022556390975</v>
      </c>
      <c r="AH128" s="4">
        <v>1.1745987360885857</v>
      </c>
      <c r="AI128" s="4">
        <v>1.1466445733222865</v>
      </c>
      <c r="AJ128" s="4">
        <v>1.457569163817221</v>
      </c>
      <c r="AK128" s="4">
        <v>1.3326593274919494</v>
      </c>
      <c r="AM128" s="562">
        <v>45794</v>
      </c>
      <c r="AN128" s="563">
        <v>489.99</v>
      </c>
      <c r="AO128" s="563">
        <v>1568789</v>
      </c>
      <c r="AP128" s="563">
        <v>271.41392999999999</v>
      </c>
      <c r="AQ128" s="563">
        <v>132990.1115607</v>
      </c>
      <c r="AR128" s="563">
        <v>2.9306999999999999</v>
      </c>
    </row>
    <row r="129" spans="2:44" x14ac:dyDescent="0.25">
      <c r="B129" s="564">
        <v>45050</v>
      </c>
      <c r="C129" s="560">
        <v>7.5429000000000004</v>
      </c>
      <c r="D129" s="560">
        <v>6.2305000000000001</v>
      </c>
      <c r="E129" s="560">
        <v>10.207700000000001</v>
      </c>
      <c r="F129" s="560">
        <v>4.1665999999999999</v>
      </c>
      <c r="G129" s="560">
        <v>6.7061000000000002</v>
      </c>
      <c r="H129" s="560">
        <v>10.7049</v>
      </c>
      <c r="I129" s="564">
        <v>45050</v>
      </c>
      <c r="J129" s="560">
        <v>12.5589</v>
      </c>
      <c r="K129" s="560">
        <v>9.0292999999999992</v>
      </c>
      <c r="L129" s="560">
        <v>12.325900000000001</v>
      </c>
      <c r="M129" s="560">
        <v>9.0845000000000002</v>
      </c>
      <c r="N129" s="560">
        <v>8.7811000000000003</v>
      </c>
      <c r="O129" s="560">
        <v>17.806699999999999</v>
      </c>
      <c r="P129" s="560"/>
      <c r="Q129" s="564">
        <v>45050</v>
      </c>
      <c r="R129" s="4">
        <v>379.47</v>
      </c>
      <c r="S129" s="4">
        <v>12725.11</v>
      </c>
      <c r="T129" s="4">
        <v>1103.4000000000001</v>
      </c>
      <c r="U129" s="4">
        <v>1.1304516205910391</v>
      </c>
      <c r="V129" s="4">
        <v>1.1289382748907668</v>
      </c>
      <c r="W129" s="4" t="e">
        <v>#DIV/0!</v>
      </c>
      <c r="Y129" s="560">
        <v>379.47</v>
      </c>
      <c r="Z129" s="4">
        <v>122.19</v>
      </c>
      <c r="AA129" s="4">
        <v>210.38</v>
      </c>
      <c r="AB129" s="4">
        <v>13.63</v>
      </c>
      <c r="AC129" s="4">
        <v>45.78</v>
      </c>
      <c r="AD129" s="4">
        <v>174.15</v>
      </c>
      <c r="AF129" s="4">
        <v>1.1304516205910391</v>
      </c>
      <c r="AG129" s="4">
        <v>1.1484022556390976</v>
      </c>
      <c r="AH129" s="4">
        <v>1.1765561210223141</v>
      </c>
      <c r="AI129" s="4">
        <v>1.1292460646230325</v>
      </c>
      <c r="AJ129" s="4">
        <v>1.4230649673608953</v>
      </c>
      <c r="AK129" s="4">
        <v>1.30420130307796</v>
      </c>
      <c r="AM129" s="562">
        <v>45793</v>
      </c>
      <c r="AN129" s="563">
        <v>472.4</v>
      </c>
      <c r="AO129" s="563">
        <v>1011256</v>
      </c>
      <c r="AP129" s="563">
        <v>271.41392999999999</v>
      </c>
      <c r="AQ129" s="563">
        <v>128215.94053199999</v>
      </c>
      <c r="AR129" s="563">
        <v>2.8254999999999999</v>
      </c>
    </row>
    <row r="130" spans="2:44" x14ac:dyDescent="0.25">
      <c r="B130" s="564">
        <v>45043</v>
      </c>
      <c r="C130" s="560">
        <v>8.5312000000000001</v>
      </c>
      <c r="D130" s="560">
        <v>6.2653999999999996</v>
      </c>
      <c r="E130" s="560">
        <v>10.412599999999999</v>
      </c>
      <c r="F130" s="560">
        <v>4.2586000000000004</v>
      </c>
      <c r="G130" s="560">
        <v>6.4661999999999997</v>
      </c>
      <c r="H130" s="560">
        <v>10.933199999999999</v>
      </c>
      <c r="I130" s="564">
        <v>45043</v>
      </c>
      <c r="J130" s="560">
        <v>13.9672</v>
      </c>
      <c r="K130" s="560">
        <v>9.0884999999999998</v>
      </c>
      <c r="L130" s="560">
        <v>12.5573</v>
      </c>
      <c r="M130" s="560">
        <v>9.3110999999999997</v>
      </c>
      <c r="N130" s="560">
        <v>8.3764000000000003</v>
      </c>
      <c r="O130" s="560">
        <v>18.2822</v>
      </c>
      <c r="P130" s="560"/>
      <c r="Q130" s="564">
        <v>45043</v>
      </c>
      <c r="R130" s="4">
        <v>396.69</v>
      </c>
      <c r="S130" s="4">
        <v>13091.79</v>
      </c>
      <c r="T130" s="4">
        <v>1103.4000000000001</v>
      </c>
      <c r="U130" s="4">
        <v>1.1817504766444231</v>
      </c>
      <c r="V130" s="4">
        <v>1.1614691596247255</v>
      </c>
      <c r="W130" s="4" t="e">
        <v>#DIV/0!</v>
      </c>
      <c r="Y130" s="560">
        <v>396.69</v>
      </c>
      <c r="Z130" s="4">
        <v>122.99</v>
      </c>
      <c r="AA130" s="4">
        <v>214.33</v>
      </c>
      <c r="AB130" s="4">
        <v>13.97</v>
      </c>
      <c r="AC130" s="4">
        <v>43.67</v>
      </c>
      <c r="AD130" s="4">
        <v>178.8</v>
      </c>
      <c r="AF130" s="4">
        <v>1.1817504766444231</v>
      </c>
      <c r="AG130" s="4">
        <v>1.1559210526315788</v>
      </c>
      <c r="AH130" s="4">
        <v>1.1986466081315363</v>
      </c>
      <c r="AI130" s="4">
        <v>1.1574150787075395</v>
      </c>
      <c r="AJ130" s="4">
        <v>1.357475909232204</v>
      </c>
      <c r="AK130" s="4">
        <v>1.3390249382161312</v>
      </c>
      <c r="AM130" s="562">
        <v>45792</v>
      </c>
      <c r="AN130" s="563">
        <v>475.3</v>
      </c>
      <c r="AO130" s="563">
        <v>887768</v>
      </c>
      <c r="AP130" s="563">
        <v>271.41392999999999</v>
      </c>
      <c r="AQ130" s="563">
        <v>129003.040929</v>
      </c>
      <c r="AR130" s="563">
        <v>2.8428</v>
      </c>
    </row>
    <row r="131" spans="2:44" x14ac:dyDescent="0.25">
      <c r="B131" s="564">
        <v>45036</v>
      </c>
      <c r="C131" s="560">
        <v>8.9321000000000002</v>
      </c>
      <c r="D131" s="560">
        <v>6.3987999999999996</v>
      </c>
      <c r="E131" s="560">
        <v>10.786099999999999</v>
      </c>
      <c r="F131" s="560">
        <v>4.4290000000000003</v>
      </c>
      <c r="G131" s="560">
        <v>6.6752000000000002</v>
      </c>
      <c r="H131" s="560">
        <v>11.044600000000001</v>
      </c>
      <c r="I131" s="564">
        <v>45036</v>
      </c>
      <c r="J131" s="560">
        <v>14.6625</v>
      </c>
      <c r="K131" s="560">
        <v>9.3146000000000004</v>
      </c>
      <c r="L131" s="560">
        <v>13.022500000000001</v>
      </c>
      <c r="M131" s="560">
        <v>9.7309999999999999</v>
      </c>
      <c r="N131" s="560">
        <v>8.6948000000000008</v>
      </c>
      <c r="O131" s="560">
        <v>18.492799999999999</v>
      </c>
      <c r="P131" s="560"/>
      <c r="Q131" s="564">
        <v>45036</v>
      </c>
      <c r="R131" s="4">
        <v>380.83</v>
      </c>
      <c r="S131" s="4">
        <v>12964.16</v>
      </c>
      <c r="T131" s="4">
        <v>1103.4000000000001</v>
      </c>
      <c r="U131" s="4">
        <v>1.1345030981887512</v>
      </c>
      <c r="V131" s="4">
        <v>1.150146161864839</v>
      </c>
      <c r="W131" s="4" t="e">
        <v>#DIV/0!</v>
      </c>
      <c r="Y131" s="560">
        <v>380.83</v>
      </c>
      <c r="Z131" s="4">
        <v>126.05</v>
      </c>
      <c r="AA131" s="4">
        <v>222.27</v>
      </c>
      <c r="AB131" s="4">
        <v>14.6</v>
      </c>
      <c r="AC131" s="4">
        <v>45.33</v>
      </c>
      <c r="AD131" s="4">
        <v>180.86</v>
      </c>
      <c r="AF131" s="4">
        <v>1.1345030981887512</v>
      </c>
      <c r="AG131" s="4">
        <v>1.1846804511278195</v>
      </c>
      <c r="AH131" s="4">
        <v>1.2430512834852638</v>
      </c>
      <c r="AI131" s="4">
        <v>1.2096106048053024</v>
      </c>
      <c r="AJ131" s="4">
        <v>1.4090767796083306</v>
      </c>
      <c r="AK131" s="4">
        <v>1.3544521830300309</v>
      </c>
      <c r="AM131" s="562">
        <v>45791</v>
      </c>
      <c r="AN131" s="563">
        <v>481.34</v>
      </c>
      <c r="AO131" s="563">
        <v>805233</v>
      </c>
      <c r="AP131" s="563">
        <v>271.41392999999999</v>
      </c>
      <c r="AQ131" s="563">
        <v>130642.38106619999</v>
      </c>
      <c r="AR131" s="563">
        <v>2.8788999999999998</v>
      </c>
    </row>
    <row r="132" spans="2:44" x14ac:dyDescent="0.25">
      <c r="B132" s="564">
        <v>45029</v>
      </c>
      <c r="C132" s="560">
        <v>8.8103999999999996</v>
      </c>
      <c r="D132" s="560">
        <v>6.3655999999999997</v>
      </c>
      <c r="E132" s="560">
        <v>10.757899999999999</v>
      </c>
      <c r="F132" s="560">
        <v>4.4398999999999997</v>
      </c>
      <c r="G132" s="560">
        <v>6.5707000000000004</v>
      </c>
      <c r="H132" s="560">
        <v>10.815799999999999</v>
      </c>
      <c r="I132" s="564">
        <v>45029</v>
      </c>
      <c r="J132" s="560">
        <v>14.4514</v>
      </c>
      <c r="K132" s="560">
        <v>9.2584</v>
      </c>
      <c r="L132" s="560">
        <v>12.987399999999999</v>
      </c>
      <c r="M132" s="560">
        <v>9.7576000000000001</v>
      </c>
      <c r="N132" s="560">
        <v>8.5356000000000005</v>
      </c>
      <c r="O132" s="560">
        <v>18.060300000000002</v>
      </c>
      <c r="P132" s="560"/>
      <c r="Q132" s="564">
        <v>45029</v>
      </c>
      <c r="R132" s="4">
        <v>397.66</v>
      </c>
      <c r="S132" s="4">
        <v>13100.07</v>
      </c>
      <c r="T132" s="4">
        <v>1103.4000000000001</v>
      </c>
      <c r="U132" s="4">
        <v>1.1846401334604386</v>
      </c>
      <c r="V132" s="4">
        <v>1.1622037394370883</v>
      </c>
      <c r="W132" s="4" t="e">
        <v>#DIV/0!</v>
      </c>
      <c r="Y132" s="560">
        <v>397.66</v>
      </c>
      <c r="Z132" s="4">
        <v>125.29</v>
      </c>
      <c r="AA132" s="4">
        <v>221.67</v>
      </c>
      <c r="AB132" s="4">
        <v>14.64</v>
      </c>
      <c r="AC132" s="4">
        <v>44.5</v>
      </c>
      <c r="AD132" s="4">
        <v>176.63</v>
      </c>
      <c r="AF132" s="4">
        <v>1.1846401334604386</v>
      </c>
      <c r="AG132" s="4">
        <v>1.1775375939849624</v>
      </c>
      <c r="AH132" s="4">
        <v>1.2396957664560146</v>
      </c>
      <c r="AI132" s="4">
        <v>1.2129246064623032</v>
      </c>
      <c r="AJ132" s="4">
        <v>1.3832763444202674</v>
      </c>
      <c r="AK132" s="4">
        <v>1.3227739084849846</v>
      </c>
      <c r="AM132" s="562">
        <v>45790</v>
      </c>
      <c r="AN132" s="563">
        <v>481.67</v>
      </c>
      <c r="AO132" s="563">
        <v>1108818</v>
      </c>
      <c r="AP132" s="563">
        <v>271.41392999999999</v>
      </c>
      <c r="AQ132" s="563">
        <v>130731.9476631</v>
      </c>
      <c r="AR132" s="563">
        <v>2.8809</v>
      </c>
    </row>
    <row r="133" spans="2:44" x14ac:dyDescent="0.25">
      <c r="B133" s="564">
        <v>45022</v>
      </c>
      <c r="C133" s="560">
        <v>8.4835999999999991</v>
      </c>
      <c r="D133" s="560">
        <v>6.0869999999999997</v>
      </c>
      <c r="E133" s="560">
        <v>10.1698</v>
      </c>
      <c r="F133" s="560">
        <v>4.2289000000000003</v>
      </c>
      <c r="G133" s="560">
        <v>6.2949000000000002</v>
      </c>
      <c r="H133" s="560">
        <v>10.3248</v>
      </c>
      <c r="I133" s="564">
        <v>45022</v>
      </c>
      <c r="J133" s="560">
        <v>13.884600000000001</v>
      </c>
      <c r="K133" s="560">
        <v>8.7861999999999991</v>
      </c>
      <c r="L133" s="560">
        <v>12.255000000000001</v>
      </c>
      <c r="M133" s="560">
        <v>9.2378</v>
      </c>
      <c r="N133" s="560">
        <v>8.1156000000000006</v>
      </c>
      <c r="O133" s="560">
        <v>17.131900000000002</v>
      </c>
      <c r="P133" s="560"/>
      <c r="Q133" s="564">
        <v>45022</v>
      </c>
      <c r="R133" s="4">
        <v>395.35</v>
      </c>
      <c r="S133" s="4">
        <v>12610.57</v>
      </c>
      <c r="T133" s="4">
        <v>1103.4000000000001</v>
      </c>
      <c r="U133" s="4">
        <v>1.1777585795996188</v>
      </c>
      <c r="V133" s="4">
        <v>1.1187765874864151</v>
      </c>
      <c r="W133" s="4" t="e">
        <v>#DIV/0!</v>
      </c>
      <c r="Y133" s="560">
        <v>395.35</v>
      </c>
      <c r="Z133" s="4">
        <v>118.9</v>
      </c>
      <c r="AA133" s="4">
        <v>209.17</v>
      </c>
      <c r="AB133" s="4">
        <v>13.86</v>
      </c>
      <c r="AC133" s="4">
        <v>42.31</v>
      </c>
      <c r="AD133" s="4">
        <v>167.55</v>
      </c>
      <c r="AF133" s="4">
        <v>1.1777585795996188</v>
      </c>
      <c r="AG133" s="4">
        <v>1.1174812030075187</v>
      </c>
      <c r="AH133" s="4">
        <v>1.1697891616799954</v>
      </c>
      <c r="AI133" s="4">
        <v>1.1483015741507869</v>
      </c>
      <c r="AJ133" s="4">
        <v>1.3152004973577867</v>
      </c>
      <c r="AK133" s="4">
        <v>1.2547742080431366</v>
      </c>
      <c r="AM133" s="562">
        <v>45789</v>
      </c>
      <c r="AN133" s="563">
        <v>481.67</v>
      </c>
      <c r="AO133" s="563">
        <v>1108818</v>
      </c>
      <c r="AP133" s="563">
        <v>271.41392999999999</v>
      </c>
      <c r="AQ133" s="563">
        <v>130731.9476631</v>
      </c>
      <c r="AR133" s="563">
        <v>2.8809</v>
      </c>
    </row>
    <row r="134" spans="2:44" x14ac:dyDescent="0.25">
      <c r="B134" s="564">
        <v>45015</v>
      </c>
      <c r="C134" s="560">
        <v>9.2210000000000001</v>
      </c>
      <c r="D134" s="560">
        <v>7.0404999999999998</v>
      </c>
      <c r="E134" s="560">
        <v>11.9039</v>
      </c>
      <c r="F134" s="560">
        <v>4.6025999999999998</v>
      </c>
      <c r="G134" s="560">
        <v>8.0421999999999993</v>
      </c>
      <c r="H134" s="560">
        <v>12.120100000000001</v>
      </c>
      <c r="I134" s="564">
        <v>45015</v>
      </c>
      <c r="J134" s="560">
        <v>15.163600000000001</v>
      </c>
      <c r="K134" s="560">
        <v>10.714399999999999</v>
      </c>
      <c r="L134" s="560">
        <v>15.844099999999999</v>
      </c>
      <c r="M134" s="560">
        <v>10.8177</v>
      </c>
      <c r="N134" s="560">
        <v>10.8787</v>
      </c>
      <c r="O134" s="560">
        <v>21.170999999999999</v>
      </c>
      <c r="P134" s="560"/>
      <c r="Q134" s="564">
        <v>45015</v>
      </c>
      <c r="R134" s="4">
        <v>402.59</v>
      </c>
      <c r="S134" s="4">
        <v>12741.44</v>
      </c>
      <c r="T134" s="4">
        <v>1103.4000000000001</v>
      </c>
      <c r="U134" s="4">
        <v>1.1993267397521448</v>
      </c>
      <c r="V134" s="4">
        <v>1.1303870295207044</v>
      </c>
      <c r="W134" s="4" t="e">
        <v>#DIV/0!</v>
      </c>
      <c r="Y134" s="560">
        <v>402.59</v>
      </c>
      <c r="Z134" s="4">
        <v>133.1</v>
      </c>
      <c r="AA134" s="4">
        <v>224.54</v>
      </c>
      <c r="AB134" s="4">
        <v>15.26</v>
      </c>
      <c r="AC134" s="4">
        <v>47.36</v>
      </c>
      <c r="AD134" s="4">
        <v>180.8</v>
      </c>
      <c r="AF134" s="4">
        <v>1.1993267397521448</v>
      </c>
      <c r="AG134" s="4">
        <v>1.25093984962406</v>
      </c>
      <c r="AH134" s="4">
        <v>1.2557463229125887</v>
      </c>
      <c r="AI134" s="4">
        <v>1.264291632145816</v>
      </c>
      <c r="AJ134" s="4">
        <v>1.4721790488032327</v>
      </c>
      <c r="AK134" s="4">
        <v>1.3540028458024416</v>
      </c>
      <c r="AM134" s="562">
        <v>45788</v>
      </c>
      <c r="AN134" s="563">
        <v>481.67</v>
      </c>
      <c r="AO134" s="563">
        <v>1108818</v>
      </c>
      <c r="AP134" s="563">
        <v>271.41392999999999</v>
      </c>
      <c r="AQ134" s="563">
        <v>130731.9476631</v>
      </c>
      <c r="AR134" s="563">
        <v>2.8809</v>
      </c>
    </row>
    <row r="135" spans="2:44" x14ac:dyDescent="0.25">
      <c r="B135" s="564">
        <v>45008</v>
      </c>
      <c r="C135" s="560">
        <v>8.9642999999999997</v>
      </c>
      <c r="D135" s="560">
        <v>6.6757999999999997</v>
      </c>
      <c r="E135" s="560">
        <v>11.643800000000001</v>
      </c>
      <c r="F135" s="560">
        <v>4.4055999999999997</v>
      </c>
      <c r="G135" s="560">
        <v>7.9337999999999997</v>
      </c>
      <c r="H135" s="560">
        <v>11.9063</v>
      </c>
      <c r="I135" s="564">
        <v>45008</v>
      </c>
      <c r="J135" s="560">
        <v>14.718500000000001</v>
      </c>
      <c r="K135" s="560">
        <v>10.112299999999999</v>
      </c>
      <c r="L135" s="560">
        <v>15.484299999999999</v>
      </c>
      <c r="M135" s="560">
        <v>10.3285</v>
      </c>
      <c r="N135" s="560">
        <v>10.7065</v>
      </c>
      <c r="O135" s="560">
        <v>20.750599999999999</v>
      </c>
      <c r="P135" s="560"/>
      <c r="Q135" s="564">
        <v>45008</v>
      </c>
      <c r="R135" s="4">
        <v>402.45</v>
      </c>
      <c r="S135" s="4">
        <v>12199.79</v>
      </c>
      <c r="T135" s="4">
        <v>1103.4000000000001</v>
      </c>
      <c r="U135" s="4">
        <v>1.1989096758817921</v>
      </c>
      <c r="V135" s="4">
        <v>1.0823332667953069</v>
      </c>
      <c r="W135" s="4" t="e">
        <v>#DIV/0!</v>
      </c>
      <c r="Y135" s="560">
        <v>402.45</v>
      </c>
      <c r="Z135" s="4">
        <v>125.62</v>
      </c>
      <c r="AA135" s="4">
        <v>219.44</v>
      </c>
      <c r="AB135" s="4">
        <v>14.57</v>
      </c>
      <c r="AC135" s="4">
        <v>46.61</v>
      </c>
      <c r="AD135" s="4">
        <v>177.21</v>
      </c>
      <c r="AF135" s="4">
        <v>1.1989096758817921</v>
      </c>
      <c r="AG135" s="4">
        <v>1.1806390977443608</v>
      </c>
      <c r="AH135" s="4">
        <v>1.2272244281639728</v>
      </c>
      <c r="AI135" s="4">
        <v>1.2071251035625519</v>
      </c>
      <c r="AJ135" s="4">
        <v>1.4488654025489585</v>
      </c>
      <c r="AK135" s="4">
        <v>1.3271175016850147</v>
      </c>
      <c r="AM135" s="562">
        <v>45787</v>
      </c>
      <c r="AN135" s="563">
        <v>480.02</v>
      </c>
      <c r="AO135" s="563">
        <v>1855489</v>
      </c>
      <c r="AP135" s="563">
        <v>271.41392999999999</v>
      </c>
      <c r="AQ135" s="563">
        <v>130284.11467859999</v>
      </c>
      <c r="AR135" s="563">
        <v>2.871</v>
      </c>
    </row>
    <row r="136" spans="2:44" x14ac:dyDescent="0.25">
      <c r="B136" s="564">
        <v>45001</v>
      </c>
      <c r="C136" s="560">
        <v>8.9482999999999997</v>
      </c>
      <c r="D136" s="560">
        <v>6.5076000000000001</v>
      </c>
      <c r="E136" s="560">
        <v>11.6065</v>
      </c>
      <c r="F136" s="560">
        <v>4.3113999999999999</v>
      </c>
      <c r="G136" s="560">
        <v>8.3773999999999997</v>
      </c>
      <c r="H136" s="560">
        <v>11.851599999999999</v>
      </c>
      <c r="I136" s="564">
        <v>45001</v>
      </c>
      <c r="J136" s="560">
        <v>14.6907</v>
      </c>
      <c r="K136" s="560">
        <v>9.8346</v>
      </c>
      <c r="L136" s="560">
        <v>15.4328</v>
      </c>
      <c r="M136" s="560">
        <v>10.0946</v>
      </c>
      <c r="N136" s="560">
        <v>11.4117</v>
      </c>
      <c r="O136" s="560">
        <v>20.642900000000001</v>
      </c>
      <c r="P136" s="560"/>
      <c r="Q136" s="564">
        <v>45001</v>
      </c>
      <c r="R136" s="4">
        <v>418.15</v>
      </c>
      <c r="S136" s="4">
        <v>12152.17</v>
      </c>
      <c r="T136" s="4">
        <v>1103.4000000000001</v>
      </c>
      <c r="U136" s="4">
        <v>1.2456804099142038</v>
      </c>
      <c r="V136" s="4">
        <v>1.0781085457005346</v>
      </c>
      <c r="W136" s="4" t="e">
        <v>#DIV/0!</v>
      </c>
      <c r="Y136" s="560">
        <v>418.15</v>
      </c>
      <c r="Z136" s="4">
        <v>122.17</v>
      </c>
      <c r="AA136" s="4">
        <v>218.71</v>
      </c>
      <c r="AB136" s="4">
        <v>14.24</v>
      </c>
      <c r="AC136" s="4">
        <v>49.68</v>
      </c>
      <c r="AD136" s="4">
        <v>176.29</v>
      </c>
      <c r="AF136" s="4">
        <v>1.2456804099142038</v>
      </c>
      <c r="AG136" s="4">
        <v>1.1482142857142856</v>
      </c>
      <c r="AH136" s="4">
        <v>1.2231418824450535</v>
      </c>
      <c r="AI136" s="4">
        <v>1.179784589892295</v>
      </c>
      <c r="AJ136" s="4">
        <v>1.5442959278831208</v>
      </c>
      <c r="AK136" s="4">
        <v>1.3202276641953119</v>
      </c>
      <c r="AM136" s="562">
        <v>45786</v>
      </c>
      <c r="AN136" s="563">
        <v>463.56</v>
      </c>
      <c r="AO136" s="563">
        <v>1326139</v>
      </c>
      <c r="AP136" s="563">
        <v>271.41392999999999</v>
      </c>
      <c r="AQ136" s="563">
        <v>125816.6413908</v>
      </c>
      <c r="AR136" s="563">
        <v>2.7726000000000002</v>
      </c>
    </row>
    <row r="137" spans="2:44" x14ac:dyDescent="0.25">
      <c r="B137" s="564">
        <v>44994</v>
      </c>
      <c r="C137" s="560">
        <v>9.6046999999999993</v>
      </c>
      <c r="D137" s="560">
        <v>7.2458</v>
      </c>
      <c r="E137" s="560">
        <v>12.741400000000001</v>
      </c>
      <c r="F137" s="560">
        <v>4.8596000000000004</v>
      </c>
      <c r="G137" s="560">
        <v>9.5215999999999994</v>
      </c>
      <c r="H137" s="560">
        <v>11.967700000000001</v>
      </c>
      <c r="I137" s="564">
        <v>44994</v>
      </c>
      <c r="J137" s="560">
        <v>15.8292</v>
      </c>
      <c r="K137" s="560">
        <v>11.0533</v>
      </c>
      <c r="L137" s="560">
        <v>17.002800000000001</v>
      </c>
      <c r="M137" s="560">
        <v>11.4557</v>
      </c>
      <c r="N137" s="560">
        <v>13.2309</v>
      </c>
      <c r="O137" s="560">
        <v>20.871200000000002</v>
      </c>
      <c r="P137" s="560"/>
      <c r="Q137" s="564">
        <v>44994</v>
      </c>
      <c r="R137" s="4">
        <v>419.24</v>
      </c>
      <c r="S137" s="4">
        <v>12042.12</v>
      </c>
      <c r="T137" s="4">
        <v>1103.4000000000001</v>
      </c>
      <c r="U137" s="4">
        <v>1.2489275500476644</v>
      </c>
      <c r="V137" s="4">
        <v>1.0683451992813895</v>
      </c>
      <c r="W137" s="4" t="e">
        <v>#DIV/0!</v>
      </c>
      <c r="Y137" s="560">
        <v>419.24</v>
      </c>
      <c r="Z137" s="4">
        <v>137.31</v>
      </c>
      <c r="AA137" s="4">
        <v>240.96</v>
      </c>
      <c r="AB137" s="4">
        <v>16.16</v>
      </c>
      <c r="AC137" s="4">
        <v>57.6</v>
      </c>
      <c r="AD137" s="4">
        <v>178.24</v>
      </c>
      <c r="AF137" s="4">
        <v>1.2489275500476644</v>
      </c>
      <c r="AG137" s="4">
        <v>1.2905075187969923</v>
      </c>
      <c r="AH137" s="4">
        <v>1.3475756389463678</v>
      </c>
      <c r="AI137" s="4">
        <v>1.3388566694283346</v>
      </c>
      <c r="AJ137" s="4">
        <v>1.7904880323282562</v>
      </c>
      <c r="AK137" s="4">
        <v>1.3348311240919644</v>
      </c>
      <c r="AM137" s="562">
        <v>45785</v>
      </c>
      <c r="AN137" s="563">
        <v>460.64</v>
      </c>
      <c r="AO137" s="563">
        <v>799645</v>
      </c>
      <c r="AP137" s="563">
        <v>271.41392999999999</v>
      </c>
      <c r="AQ137" s="563">
        <v>125024.1127152</v>
      </c>
      <c r="AR137" s="563">
        <v>2.7551000000000001</v>
      </c>
    </row>
    <row r="138" spans="2:44" x14ac:dyDescent="0.25">
      <c r="B138" s="564">
        <v>44987</v>
      </c>
      <c r="C138" s="560">
        <v>9.6029999999999998</v>
      </c>
      <c r="D138" s="560">
        <v>7.5106000000000002</v>
      </c>
      <c r="E138" s="560">
        <v>13.313700000000001</v>
      </c>
      <c r="F138" s="560">
        <v>5.0166000000000004</v>
      </c>
      <c r="G138" s="560">
        <v>9.8553999999999995</v>
      </c>
      <c r="H138" s="560">
        <v>12.413</v>
      </c>
      <c r="I138" s="564">
        <v>44987</v>
      </c>
      <c r="J138" s="560">
        <v>15.8262</v>
      </c>
      <c r="K138" s="560">
        <v>11.490399999999999</v>
      </c>
      <c r="L138" s="560">
        <v>17.794499999999999</v>
      </c>
      <c r="M138" s="560">
        <v>11.845599999999999</v>
      </c>
      <c r="N138" s="560">
        <v>13.7615</v>
      </c>
      <c r="O138" s="560">
        <v>21.7471</v>
      </c>
      <c r="P138" s="560"/>
      <c r="Q138" s="564">
        <v>44987</v>
      </c>
      <c r="R138" s="4">
        <v>427.17</v>
      </c>
      <c r="S138" s="4">
        <v>12060.3</v>
      </c>
      <c r="T138" s="4">
        <v>1091.2</v>
      </c>
      <c r="U138" s="4">
        <v>1.2725512392755005</v>
      </c>
      <c r="V138" s="4">
        <v>1.0699580810433162</v>
      </c>
      <c r="W138" s="4" t="e">
        <v>#DIV/0!</v>
      </c>
      <c r="Y138" s="560">
        <v>427.17</v>
      </c>
      <c r="Z138" s="4">
        <v>142.74</v>
      </c>
      <c r="AA138" s="4">
        <v>252.18</v>
      </c>
      <c r="AB138" s="4">
        <v>16.71</v>
      </c>
      <c r="AC138" s="4">
        <v>59.91</v>
      </c>
      <c r="AD138" s="4">
        <v>185.72</v>
      </c>
      <c r="AF138" s="4">
        <v>1.2725512392755005</v>
      </c>
      <c r="AG138" s="4">
        <v>1.3415413533834586</v>
      </c>
      <c r="AH138" s="4">
        <v>1.4103238073933226</v>
      </c>
      <c r="AI138" s="4">
        <v>1.3844241922120961</v>
      </c>
      <c r="AJ138" s="4">
        <v>1.8622940627914204</v>
      </c>
      <c r="AK138" s="4">
        <v>1.3908484984647644</v>
      </c>
      <c r="AM138" s="562">
        <v>45784</v>
      </c>
      <c r="AN138" s="563">
        <v>460.2</v>
      </c>
      <c r="AO138" s="563">
        <v>755088</v>
      </c>
      <c r="AP138" s="563">
        <v>271.41392999999999</v>
      </c>
      <c r="AQ138" s="563">
        <v>124904.690586</v>
      </c>
      <c r="AR138" s="563">
        <v>2.7524999999999999</v>
      </c>
    </row>
    <row r="139" spans="2:44" x14ac:dyDescent="0.25">
      <c r="B139" s="564">
        <v>44980</v>
      </c>
      <c r="C139" s="560">
        <v>9.6832999999999991</v>
      </c>
      <c r="D139" s="560">
        <v>7.4398999999999997</v>
      </c>
      <c r="E139" s="560">
        <v>12.587899999999999</v>
      </c>
      <c r="F139" s="560">
        <v>5.0488999999999997</v>
      </c>
      <c r="G139" s="560">
        <v>9.5187000000000008</v>
      </c>
      <c r="H139" s="560">
        <v>10.996600000000001</v>
      </c>
      <c r="I139" s="564">
        <v>44980</v>
      </c>
      <c r="J139" s="560">
        <v>15.9655</v>
      </c>
      <c r="K139" s="560">
        <v>11.4115</v>
      </c>
      <c r="L139" s="560">
        <v>16.790400000000002</v>
      </c>
      <c r="M139" s="560">
        <v>11.923500000000001</v>
      </c>
      <c r="N139" s="560">
        <v>13.2263</v>
      </c>
      <c r="O139" s="560">
        <v>18.961400000000001</v>
      </c>
      <c r="P139" s="560"/>
      <c r="Q139" s="564">
        <v>44980</v>
      </c>
      <c r="R139" s="4">
        <v>409.31</v>
      </c>
      <c r="S139" s="4">
        <v>12590.89</v>
      </c>
      <c r="T139" s="4">
        <v>1091.2</v>
      </c>
      <c r="U139" s="4">
        <v>1.2193458055290753</v>
      </c>
      <c r="V139" s="4">
        <v>1.117030629671524</v>
      </c>
      <c r="W139" s="4" t="e">
        <v>#DIV/0!</v>
      </c>
      <c r="Y139" s="560">
        <v>409.31</v>
      </c>
      <c r="Z139" s="4">
        <v>141.76</v>
      </c>
      <c r="AA139" s="4">
        <v>237.95</v>
      </c>
      <c r="AB139" s="4">
        <v>16.82</v>
      </c>
      <c r="AC139" s="4">
        <v>57.58</v>
      </c>
      <c r="AD139" s="4">
        <v>161.93</v>
      </c>
      <c r="AF139" s="4">
        <v>1.2193458055290753</v>
      </c>
      <c r="AG139" s="4">
        <v>1.332330827067669</v>
      </c>
      <c r="AH139" s="4">
        <v>1.3307421285163021</v>
      </c>
      <c r="AI139" s="4">
        <v>1.3935376967688484</v>
      </c>
      <c r="AJ139" s="4">
        <v>1.7898663350948087</v>
      </c>
      <c r="AK139" s="4">
        <v>1.2126862877256048</v>
      </c>
      <c r="AM139" s="562">
        <v>45783</v>
      </c>
      <c r="AN139" s="563">
        <v>459.3</v>
      </c>
      <c r="AO139" s="563">
        <v>983363</v>
      </c>
      <c r="AP139" s="563">
        <v>271.41392999999999</v>
      </c>
      <c r="AQ139" s="563">
        <v>124660.418049</v>
      </c>
      <c r="AR139" s="563">
        <v>2.6223000000000001</v>
      </c>
    </row>
    <row r="140" spans="2:44" x14ac:dyDescent="0.25">
      <c r="B140" s="564">
        <v>44973</v>
      </c>
      <c r="C140" s="560">
        <v>9.2294999999999998</v>
      </c>
      <c r="D140" s="560">
        <v>7.125</v>
      </c>
      <c r="E140" s="560">
        <v>13.025</v>
      </c>
      <c r="F140" s="560">
        <v>4.9032</v>
      </c>
      <c r="G140" s="560">
        <v>9.2340999999999998</v>
      </c>
      <c r="H140" s="560">
        <v>10.8102</v>
      </c>
      <c r="I140" s="564">
        <v>44973</v>
      </c>
      <c r="J140" s="560">
        <v>15.1358</v>
      </c>
      <c r="K140" s="560">
        <v>10.889900000000001</v>
      </c>
      <c r="L140" s="560">
        <v>17.395099999999999</v>
      </c>
      <c r="M140" s="560">
        <v>11.561999999999999</v>
      </c>
      <c r="N140" s="560">
        <v>12.7738</v>
      </c>
      <c r="O140" s="560">
        <v>18.603000000000002</v>
      </c>
      <c r="P140" s="560"/>
      <c r="Q140" s="564">
        <v>44973</v>
      </c>
      <c r="R140" s="4">
        <v>409.52</v>
      </c>
      <c r="S140" s="4">
        <v>12728.27</v>
      </c>
      <c r="T140" s="4">
        <v>1091.2</v>
      </c>
      <c r="U140" s="4">
        <v>1.2199714013346044</v>
      </c>
      <c r="V140" s="4">
        <v>1.1292186217756781</v>
      </c>
      <c r="W140" s="4" t="e">
        <v>#DIV/0!</v>
      </c>
      <c r="Y140" s="560">
        <v>409.52</v>
      </c>
      <c r="Z140" s="4">
        <v>135.28</v>
      </c>
      <c r="AA140" s="4">
        <v>246.52</v>
      </c>
      <c r="AB140" s="4">
        <v>16.309999999999999</v>
      </c>
      <c r="AC140" s="4">
        <v>55.61</v>
      </c>
      <c r="AD140" s="4">
        <v>158.87</v>
      </c>
      <c r="AF140" s="4">
        <v>1.2199714013346044</v>
      </c>
      <c r="AG140" s="4">
        <v>1.2714285714285714</v>
      </c>
      <c r="AH140" s="4">
        <v>1.378670096750741</v>
      </c>
      <c r="AI140" s="4">
        <v>1.3512841756420877</v>
      </c>
      <c r="AJ140" s="4">
        <v>1.7286291576002486</v>
      </c>
      <c r="AK140" s="4">
        <v>1.1897700891185501</v>
      </c>
      <c r="AM140" s="562">
        <v>45782</v>
      </c>
      <c r="AN140" s="563">
        <v>459.3</v>
      </c>
      <c r="AO140" s="563">
        <v>983363</v>
      </c>
      <c r="AP140" s="563">
        <v>271.41392999999999</v>
      </c>
      <c r="AQ140" s="563">
        <v>124660.418049</v>
      </c>
      <c r="AR140" s="563">
        <v>2.6223000000000001</v>
      </c>
    </row>
    <row r="141" spans="2:44" x14ac:dyDescent="0.25">
      <c r="B141" s="564">
        <v>44966</v>
      </c>
      <c r="C141" s="560">
        <v>9.3391999999999999</v>
      </c>
      <c r="D141" s="560">
        <v>7.0529999999999999</v>
      </c>
      <c r="E141" s="560">
        <v>13.111700000000001</v>
      </c>
      <c r="F141" s="560">
        <v>4.8147000000000002</v>
      </c>
      <c r="G141" s="560">
        <v>8.6359999999999992</v>
      </c>
      <c r="H141" s="560">
        <v>10.59</v>
      </c>
      <c r="I141" s="564">
        <v>44966</v>
      </c>
      <c r="J141" s="560">
        <v>15.3255</v>
      </c>
      <c r="K141" s="560">
        <v>10.770799999999999</v>
      </c>
      <c r="L141" s="560">
        <v>17.3782</v>
      </c>
      <c r="M141" s="560">
        <v>11.3423</v>
      </c>
      <c r="N141" s="560">
        <v>11.822800000000001</v>
      </c>
      <c r="O141" s="560">
        <v>18.169799999999999</v>
      </c>
      <c r="P141" s="560"/>
      <c r="Q141" s="564">
        <v>44966</v>
      </c>
      <c r="R141" s="4">
        <v>422.84</v>
      </c>
      <c r="S141" s="4">
        <v>12101.93</v>
      </c>
      <c r="T141" s="4">
        <v>1091.2</v>
      </c>
      <c r="U141" s="4">
        <v>1.2596520495710199</v>
      </c>
      <c r="V141" s="4">
        <v>1.0736513850999179</v>
      </c>
      <c r="W141" s="4" t="e">
        <v>#DIV/0!</v>
      </c>
      <c r="Y141" s="560">
        <v>422.84</v>
      </c>
      <c r="Z141" s="4">
        <v>133.80000000000001</v>
      </c>
      <c r="AA141" s="4">
        <v>246.28</v>
      </c>
      <c r="AB141" s="4">
        <v>16</v>
      </c>
      <c r="AC141" s="4">
        <v>51.47</v>
      </c>
      <c r="AD141" s="4">
        <v>155.16999999999999</v>
      </c>
      <c r="AF141" s="4">
        <v>1.2596520495710199</v>
      </c>
      <c r="AG141" s="4">
        <v>1.2575187969924813</v>
      </c>
      <c r="AH141" s="4">
        <v>1.3773278899390415</v>
      </c>
      <c r="AI141" s="4">
        <v>1.3256006628003314</v>
      </c>
      <c r="AJ141" s="4">
        <v>1.5999378302766551</v>
      </c>
      <c r="AK141" s="4">
        <v>1.1620609600838763</v>
      </c>
      <c r="AM141" s="562">
        <v>45781</v>
      </c>
      <c r="AN141" s="563">
        <v>459.3</v>
      </c>
      <c r="AO141" s="563">
        <v>983363</v>
      </c>
      <c r="AP141" s="563">
        <v>271.41392999999999</v>
      </c>
      <c r="AQ141" s="563">
        <v>124660.418049</v>
      </c>
      <c r="AR141" s="563">
        <v>2.6223000000000001</v>
      </c>
    </row>
    <row r="142" spans="2:44" x14ac:dyDescent="0.25">
      <c r="B142" s="564">
        <v>44959</v>
      </c>
      <c r="C142" s="560">
        <v>9.3074999999999992</v>
      </c>
      <c r="D142" s="560">
        <v>6.9509999999999996</v>
      </c>
      <c r="E142" s="560">
        <v>13.040699999999999</v>
      </c>
      <c r="F142" s="560">
        <v>4.9061000000000003</v>
      </c>
      <c r="G142" s="560">
        <v>8.7833000000000006</v>
      </c>
      <c r="H142" s="560">
        <v>10.8888</v>
      </c>
      <c r="I142" s="564">
        <v>44959</v>
      </c>
      <c r="J142" s="560">
        <v>15.2706</v>
      </c>
      <c r="K142" s="560">
        <v>10.601699999999999</v>
      </c>
      <c r="L142" s="560">
        <v>17.280799999999999</v>
      </c>
      <c r="M142" s="560">
        <v>11.569100000000001</v>
      </c>
      <c r="N142" s="560">
        <v>12.0571</v>
      </c>
      <c r="O142" s="560">
        <v>18.7576</v>
      </c>
      <c r="P142" s="560"/>
      <c r="Q142" s="564">
        <v>44959</v>
      </c>
      <c r="R142" s="4">
        <v>416.67</v>
      </c>
      <c r="S142" s="4">
        <v>11846.64</v>
      </c>
      <c r="T142" s="4">
        <v>0</v>
      </c>
      <c r="U142" s="4">
        <v>1.2412714489990466</v>
      </c>
      <c r="V142" s="4">
        <v>1.0510027280590857</v>
      </c>
      <c r="W142" s="4" t="e">
        <v>#DIV/0!</v>
      </c>
      <c r="Y142" s="560">
        <v>416.67</v>
      </c>
      <c r="Z142" s="4">
        <v>131.69999999999999</v>
      </c>
      <c r="AA142" s="4">
        <v>244.9</v>
      </c>
      <c r="AB142" s="4">
        <v>16.32</v>
      </c>
      <c r="AC142" s="4">
        <v>52.49</v>
      </c>
      <c r="AD142" s="4">
        <v>160.19</v>
      </c>
      <c r="AF142" s="4">
        <v>1.2412714489990466</v>
      </c>
      <c r="AG142" s="4">
        <v>1.2377819548872178</v>
      </c>
      <c r="AH142" s="4">
        <v>1.369610200771769</v>
      </c>
      <c r="AI142" s="4">
        <v>1.352112676056338</v>
      </c>
      <c r="AJ142" s="4">
        <v>1.6316443891824681</v>
      </c>
      <c r="AK142" s="4">
        <v>1.1996555081255149</v>
      </c>
      <c r="AM142" s="562">
        <v>45780</v>
      </c>
      <c r="AN142" s="563">
        <v>464.51</v>
      </c>
      <c r="AO142" s="563">
        <v>828436</v>
      </c>
      <c r="AP142" s="563">
        <v>271.41392999999999</v>
      </c>
      <c r="AQ142" s="563">
        <v>126074.48462429999</v>
      </c>
      <c r="AR142" s="563">
        <v>2.6520000000000001</v>
      </c>
    </row>
    <row r="143" spans="2:44" x14ac:dyDescent="0.25">
      <c r="B143" s="564">
        <v>44952</v>
      </c>
      <c r="C143" s="560">
        <v>10.790900000000001</v>
      </c>
      <c r="D143" s="560">
        <v>7.3091999999999997</v>
      </c>
      <c r="E143" s="560">
        <v>13.926</v>
      </c>
      <c r="F143" s="560">
        <v>5.2259000000000002</v>
      </c>
      <c r="G143" s="560">
        <v>8.3716000000000008</v>
      </c>
      <c r="H143" s="560">
        <v>10.528700000000001</v>
      </c>
      <c r="I143" s="564">
        <v>44952</v>
      </c>
      <c r="J143" s="560">
        <v>18.1373</v>
      </c>
      <c r="K143" s="560">
        <v>11.195</v>
      </c>
      <c r="L143" s="560">
        <v>18.495899999999999</v>
      </c>
      <c r="M143" s="560">
        <v>12.363099999999999</v>
      </c>
      <c r="N143" s="560">
        <v>11.4025</v>
      </c>
      <c r="O143" s="560">
        <v>18.049199999999999</v>
      </c>
      <c r="P143" s="560"/>
      <c r="Q143" s="564">
        <v>44952</v>
      </c>
      <c r="R143" s="4">
        <v>438.2</v>
      </c>
      <c r="S143" s="4">
        <v>11557.19</v>
      </c>
      <c r="T143" s="4">
        <v>0</v>
      </c>
      <c r="U143" s="4">
        <v>1.3054099142040037</v>
      </c>
      <c r="V143" s="4">
        <v>1.0253234857054141</v>
      </c>
      <c r="W143" s="4" t="e">
        <v>#DIV/0!</v>
      </c>
      <c r="Y143" s="560">
        <v>438.2</v>
      </c>
      <c r="Z143" s="4">
        <v>139.07</v>
      </c>
      <c r="AA143" s="4">
        <v>262.12</v>
      </c>
      <c r="AB143" s="4">
        <v>17.440000000000001</v>
      </c>
      <c r="AC143" s="4">
        <v>49.64</v>
      </c>
      <c r="AD143" s="4">
        <v>154.13999999999999</v>
      </c>
      <c r="AF143" s="4">
        <v>1.3054099142040037</v>
      </c>
      <c r="AG143" s="4">
        <v>1.307048872180451</v>
      </c>
      <c r="AH143" s="4">
        <v>1.4659135395112131</v>
      </c>
      <c r="AI143" s="4">
        <v>1.4449047224523612</v>
      </c>
      <c r="AJ143" s="4">
        <v>1.5430525334162262</v>
      </c>
      <c r="AK143" s="4">
        <v>1.1543473376769264</v>
      </c>
      <c r="AM143" s="562">
        <v>45779</v>
      </c>
      <c r="AN143" s="563">
        <v>456.44</v>
      </c>
      <c r="AO143" s="563">
        <v>1025538</v>
      </c>
      <c r="AP143" s="563">
        <v>271.41392999999999</v>
      </c>
      <c r="AQ143" s="563">
        <v>123884.17420919999</v>
      </c>
      <c r="AR143" s="563">
        <v>2.6059000000000001</v>
      </c>
    </row>
    <row r="144" spans="2:44" x14ac:dyDescent="0.25">
      <c r="B144" s="564">
        <v>44945</v>
      </c>
      <c r="C144" s="560">
        <v>10.481</v>
      </c>
      <c r="D144" s="560">
        <v>7.1303000000000001</v>
      </c>
      <c r="E144" s="560">
        <v>13.0844</v>
      </c>
      <c r="F144" s="560">
        <v>5.0289000000000001</v>
      </c>
      <c r="G144" s="560">
        <v>7.7733999999999996</v>
      </c>
      <c r="H144" s="560">
        <v>10.071</v>
      </c>
      <c r="I144" s="564">
        <v>44945</v>
      </c>
      <c r="J144" s="560">
        <v>17.594799999999999</v>
      </c>
      <c r="K144" s="560">
        <v>10.8988</v>
      </c>
      <c r="L144" s="560">
        <v>17.340800000000002</v>
      </c>
      <c r="M144" s="560">
        <v>11.873900000000001</v>
      </c>
      <c r="N144" s="560">
        <v>10.451499999999999</v>
      </c>
      <c r="O144" s="560">
        <v>17.148700000000002</v>
      </c>
      <c r="P144" s="560"/>
      <c r="Q144" s="564">
        <v>44945</v>
      </c>
      <c r="R144" s="4">
        <v>437.43</v>
      </c>
      <c r="S144" s="4">
        <v>11205.78</v>
      </c>
      <c r="T144" s="4">
        <v>0</v>
      </c>
      <c r="U144" s="4">
        <v>1.3031160629170639</v>
      </c>
      <c r="V144" s="4">
        <v>0.99414731519063149</v>
      </c>
      <c r="W144" s="4" t="e">
        <v>#DIV/0!</v>
      </c>
      <c r="Y144" s="560">
        <v>437.43</v>
      </c>
      <c r="Z144" s="4">
        <v>135.38999999999999</v>
      </c>
      <c r="AA144" s="4">
        <v>245.75</v>
      </c>
      <c r="AB144" s="4">
        <v>16.75</v>
      </c>
      <c r="AC144" s="4">
        <v>45.5</v>
      </c>
      <c r="AD144" s="4">
        <v>146.44999999999999</v>
      </c>
      <c r="AF144" s="4">
        <v>1.3031160629170639</v>
      </c>
      <c r="AG144" s="4">
        <v>1.2724624060150374</v>
      </c>
      <c r="AH144" s="4">
        <v>1.3743638498965383</v>
      </c>
      <c r="AI144" s="4">
        <v>1.3877381938690969</v>
      </c>
      <c r="AJ144" s="4">
        <v>1.4143612060926327</v>
      </c>
      <c r="AK144" s="4">
        <v>1.0967572830075638</v>
      </c>
      <c r="AM144" s="562">
        <v>45778</v>
      </c>
      <c r="AN144" s="563">
        <v>454.66</v>
      </c>
      <c r="AO144" s="563">
        <v>751642</v>
      </c>
      <c r="AP144" s="563">
        <v>271.41392999999999</v>
      </c>
      <c r="AQ144" s="563">
        <v>123401.05741380001</v>
      </c>
      <c r="AR144" s="563">
        <v>2.5958000000000001</v>
      </c>
    </row>
    <row r="145" spans="2:44" x14ac:dyDescent="0.25">
      <c r="B145" s="564">
        <v>44938</v>
      </c>
      <c r="C145" s="560">
        <v>11.1571</v>
      </c>
      <c r="D145" s="560">
        <v>7.4082999999999997</v>
      </c>
      <c r="E145" s="560">
        <v>13.563499999999999</v>
      </c>
      <c r="F145" s="560">
        <v>5.1660000000000004</v>
      </c>
      <c r="G145" s="560">
        <v>7.9497</v>
      </c>
      <c r="H145" s="560">
        <v>10.570399999999999</v>
      </c>
      <c r="I145" s="564">
        <v>44938</v>
      </c>
      <c r="J145" s="560">
        <v>18.778500000000001</v>
      </c>
      <c r="K145" s="560">
        <v>11.3592</v>
      </c>
      <c r="L145" s="560">
        <v>17.9984</v>
      </c>
      <c r="M145" s="560">
        <v>12.2142</v>
      </c>
      <c r="N145" s="560">
        <v>10.7317</v>
      </c>
      <c r="O145" s="560">
        <v>18.1311</v>
      </c>
      <c r="P145" s="560"/>
      <c r="Q145" s="564">
        <v>44938</v>
      </c>
      <c r="R145" s="4">
        <v>424.29</v>
      </c>
      <c r="S145" s="4">
        <v>10862.64</v>
      </c>
      <c r="T145" s="4">
        <v>0</v>
      </c>
      <c r="U145" s="4">
        <v>1.2639716396568161</v>
      </c>
      <c r="V145" s="4">
        <v>0.96370483731452516</v>
      </c>
      <c r="W145" s="4" t="e">
        <v>#DIV/0!</v>
      </c>
      <c r="Y145" s="560">
        <v>424.29</v>
      </c>
      <c r="Z145" s="4">
        <v>141.11000000000001</v>
      </c>
      <c r="AA145" s="4">
        <v>255.07</v>
      </c>
      <c r="AB145" s="4">
        <v>17.23</v>
      </c>
      <c r="AC145" s="4">
        <v>46.72</v>
      </c>
      <c r="AD145" s="4">
        <v>154.84</v>
      </c>
      <c r="AF145" s="4">
        <v>1.2639716396568161</v>
      </c>
      <c r="AG145" s="4">
        <v>1.3262218045112784</v>
      </c>
      <c r="AH145" s="4">
        <v>1.4264862144175381</v>
      </c>
      <c r="AI145" s="4">
        <v>1.4275062137531069</v>
      </c>
      <c r="AJ145" s="4">
        <v>1.4522847373329189</v>
      </c>
      <c r="AK145" s="4">
        <v>1.1595896053321351</v>
      </c>
      <c r="AM145" s="562">
        <v>45777</v>
      </c>
      <c r="AN145" s="563">
        <v>441.56</v>
      </c>
      <c r="AO145" s="563">
        <v>969275</v>
      </c>
      <c r="AP145" s="563">
        <v>271.41392999999999</v>
      </c>
      <c r="AQ145" s="563">
        <v>119845.5349308</v>
      </c>
      <c r="AR145" s="563">
        <v>2.5209999999999999</v>
      </c>
    </row>
    <row r="146" spans="2:44" x14ac:dyDescent="0.25">
      <c r="B146" s="564">
        <v>44931</v>
      </c>
      <c r="C146" s="560">
        <v>10.668900000000001</v>
      </c>
      <c r="D146" s="560">
        <v>7.0982000000000003</v>
      </c>
      <c r="E146" s="560">
        <v>12.8032</v>
      </c>
      <c r="F146" s="560">
        <v>4.8661000000000003</v>
      </c>
      <c r="G146" s="560">
        <v>7.3010000000000002</v>
      </c>
      <c r="H146" s="560">
        <v>9.7134</v>
      </c>
      <c r="I146" s="564">
        <v>44931</v>
      </c>
      <c r="J146" s="560">
        <v>17.858699999999999</v>
      </c>
      <c r="K146" s="560">
        <v>10.845599999999999</v>
      </c>
      <c r="L146" s="560">
        <v>16.954799999999999</v>
      </c>
      <c r="M146" s="560">
        <v>11.469900000000001</v>
      </c>
      <c r="N146" s="560">
        <v>9.7004000000000001</v>
      </c>
      <c r="O146" s="560">
        <v>16.445</v>
      </c>
      <c r="P146" s="560"/>
      <c r="Q146" s="564">
        <v>44931</v>
      </c>
      <c r="R146" s="4">
        <v>436.15</v>
      </c>
      <c r="S146" s="4">
        <v>10822.51</v>
      </c>
      <c r="T146" s="4">
        <v>0</v>
      </c>
      <c r="U146" s="4">
        <v>1.2993029075309819</v>
      </c>
      <c r="V146" s="4">
        <v>0.96014460931088785</v>
      </c>
      <c r="W146" s="4" t="e">
        <v>#DIV/0!</v>
      </c>
      <c r="Y146" s="560">
        <v>436.15</v>
      </c>
      <c r="Z146" s="4">
        <v>134.72999999999999</v>
      </c>
      <c r="AA146" s="4">
        <v>240.28</v>
      </c>
      <c r="AB146" s="4">
        <v>16.18</v>
      </c>
      <c r="AC146" s="4">
        <v>42.23</v>
      </c>
      <c r="AD146" s="4">
        <v>140.44</v>
      </c>
      <c r="AF146" s="4">
        <v>1.2993029075309819</v>
      </c>
      <c r="AG146" s="4">
        <v>1.2662593984962405</v>
      </c>
      <c r="AH146" s="4">
        <v>1.3437727196465521</v>
      </c>
      <c r="AI146" s="4">
        <v>1.340513670256835</v>
      </c>
      <c r="AJ146" s="4">
        <v>1.3127137084239973</v>
      </c>
      <c r="AK146" s="4">
        <v>1.0517486707107018</v>
      </c>
      <c r="AM146" s="562">
        <v>45776</v>
      </c>
      <c r="AN146" s="563">
        <v>452.07</v>
      </c>
      <c r="AO146" s="563">
        <v>1044874</v>
      </c>
      <c r="AP146" s="563">
        <v>271.41392999999999</v>
      </c>
      <c r="AQ146" s="563">
        <v>122698.09533509999</v>
      </c>
      <c r="AR146" s="563">
        <v>2.581</v>
      </c>
    </row>
    <row r="147" spans="2:44" x14ac:dyDescent="0.25">
      <c r="B147" s="564">
        <v>44924</v>
      </c>
      <c r="C147" s="560">
        <v>11.0122</v>
      </c>
      <c r="D147" s="560">
        <v>7.8132999999999999</v>
      </c>
      <c r="E147" s="560">
        <v>12.821300000000001</v>
      </c>
      <c r="F147" s="560">
        <v>5.4569000000000001</v>
      </c>
      <c r="G147" s="560">
        <v>8.4054000000000002</v>
      </c>
      <c r="H147" s="560">
        <v>10.959099999999999</v>
      </c>
      <c r="I147" s="564">
        <v>44924</v>
      </c>
      <c r="J147" s="560">
        <v>18.457699999999999</v>
      </c>
      <c r="K147" s="560">
        <v>12.554500000000001</v>
      </c>
      <c r="L147" s="560">
        <v>18.277000000000001</v>
      </c>
      <c r="M147" s="560">
        <v>11.532</v>
      </c>
      <c r="N147" s="560">
        <v>11.179</v>
      </c>
      <c r="O147" s="560">
        <v>18.5596</v>
      </c>
      <c r="P147" s="560"/>
      <c r="Q147" s="564">
        <v>44924</v>
      </c>
      <c r="R147" s="4">
        <v>435.36</v>
      </c>
      <c r="S147" s="4">
        <v>11072.42</v>
      </c>
      <c r="T147" s="4">
        <v>0</v>
      </c>
      <c r="U147" s="4">
        <v>1.2969494756911344</v>
      </c>
      <c r="V147" s="4">
        <v>0.98231596690842149</v>
      </c>
      <c r="W147" s="4" t="e">
        <v>#DIV/0!</v>
      </c>
      <c r="Y147" s="560">
        <v>435.36</v>
      </c>
      <c r="Z147" s="4">
        <v>138.65</v>
      </c>
      <c r="AA147" s="4">
        <v>240.2</v>
      </c>
      <c r="AB147" s="4">
        <v>16.21</v>
      </c>
      <c r="AC147" s="4">
        <v>43.04</v>
      </c>
      <c r="AD147" s="4">
        <v>143.28</v>
      </c>
      <c r="AF147" s="4">
        <v>1.2969494756911344</v>
      </c>
      <c r="AG147" s="4">
        <v>1.3031015037593985</v>
      </c>
      <c r="AH147" s="4">
        <v>1.3433253173759856</v>
      </c>
      <c r="AI147" s="4">
        <v>1.3429991714995857</v>
      </c>
      <c r="AJ147" s="4">
        <v>1.3378924463786135</v>
      </c>
      <c r="AK147" s="4">
        <v>1.0730172994832621</v>
      </c>
      <c r="AM147" s="562">
        <v>45775</v>
      </c>
      <c r="AN147" s="563">
        <v>452.07</v>
      </c>
      <c r="AO147" s="563">
        <v>1044874</v>
      </c>
      <c r="AP147" s="563">
        <v>271.41392999999999</v>
      </c>
      <c r="AQ147" s="563">
        <v>122698.09533509999</v>
      </c>
      <c r="AR147" s="563">
        <v>2.581</v>
      </c>
    </row>
    <row r="148" spans="2:44" x14ac:dyDescent="0.25">
      <c r="B148" s="564">
        <v>44917</v>
      </c>
      <c r="C148" s="560">
        <v>11.1904</v>
      </c>
      <c r="D148" s="560">
        <v>7.5824999999999996</v>
      </c>
      <c r="E148" s="560">
        <v>12.683999999999999</v>
      </c>
      <c r="F148" s="560">
        <v>5.3753000000000002</v>
      </c>
      <c r="G148" s="560">
        <v>8.3259000000000007</v>
      </c>
      <c r="H148" s="560">
        <v>10.6942</v>
      </c>
      <c r="I148" s="564">
        <v>44917</v>
      </c>
      <c r="J148" s="560">
        <v>18.768599999999999</v>
      </c>
      <c r="K148" s="560">
        <v>12.120799999999999</v>
      </c>
      <c r="L148" s="560">
        <v>18.0746</v>
      </c>
      <c r="M148" s="560">
        <v>11.347099999999999</v>
      </c>
      <c r="N148" s="560">
        <v>11.0517</v>
      </c>
      <c r="O148" s="560">
        <v>18.031099999999999</v>
      </c>
      <c r="P148" s="560"/>
      <c r="Q148" s="564">
        <v>44917</v>
      </c>
      <c r="R148" s="4">
        <v>437.19</v>
      </c>
      <c r="S148" s="4">
        <v>11834.21</v>
      </c>
      <c r="T148" s="4">
        <v>0</v>
      </c>
      <c r="U148" s="4">
        <v>1.3024010962821735</v>
      </c>
      <c r="V148" s="4">
        <v>1.0498999711668551</v>
      </c>
      <c r="W148" s="4" t="e">
        <v>#DIV/0!</v>
      </c>
      <c r="Y148" s="560">
        <v>437.19</v>
      </c>
      <c r="Z148" s="4">
        <v>133.86000000000001</v>
      </c>
      <c r="AA148" s="4">
        <v>237.54</v>
      </c>
      <c r="AB148" s="4">
        <v>15.95</v>
      </c>
      <c r="AC148" s="4">
        <v>42.55</v>
      </c>
      <c r="AD148" s="4">
        <v>139.19999999999999</v>
      </c>
      <c r="AF148" s="4">
        <v>1.3024010962821735</v>
      </c>
      <c r="AG148" s="4">
        <v>1.2580827067669174</v>
      </c>
      <c r="AH148" s="4">
        <v>1.3284491918796488</v>
      </c>
      <c r="AI148" s="4">
        <v>1.3214581607290803</v>
      </c>
      <c r="AJ148" s="4">
        <v>1.3226608641591544</v>
      </c>
      <c r="AK148" s="4">
        <v>1.0424623680071894</v>
      </c>
      <c r="AM148" s="562">
        <v>45774</v>
      </c>
      <c r="AN148" s="563">
        <v>452.07</v>
      </c>
      <c r="AO148" s="563">
        <v>1044874</v>
      </c>
      <c r="AP148" s="563">
        <v>271.41392999999999</v>
      </c>
      <c r="AQ148" s="563">
        <v>122698.09533509999</v>
      </c>
      <c r="AR148" s="563">
        <v>2.581</v>
      </c>
    </row>
    <row r="149" spans="2:44" x14ac:dyDescent="0.25">
      <c r="B149" s="564">
        <v>44910</v>
      </c>
      <c r="C149" s="560">
        <v>11.0406</v>
      </c>
      <c r="D149" s="560">
        <v>7.3072999999999997</v>
      </c>
      <c r="E149" s="560">
        <v>12.328900000000001</v>
      </c>
      <c r="F149" s="560">
        <v>5.3658000000000001</v>
      </c>
      <c r="G149" s="560">
        <v>8.1184999999999992</v>
      </c>
      <c r="H149" s="560">
        <v>10.7591</v>
      </c>
      <c r="I149" s="564">
        <v>44910</v>
      </c>
      <c r="J149" s="560">
        <v>18.507200000000001</v>
      </c>
      <c r="K149" s="560">
        <v>11.6038</v>
      </c>
      <c r="L149" s="560">
        <v>17.551100000000002</v>
      </c>
      <c r="M149" s="560">
        <v>11.325699999999999</v>
      </c>
      <c r="N149" s="560">
        <v>10.7193</v>
      </c>
      <c r="O149" s="560">
        <v>18.160599999999999</v>
      </c>
      <c r="P149" s="560"/>
      <c r="Q149" s="564">
        <v>44910</v>
      </c>
      <c r="R149" s="4">
        <v>438.25</v>
      </c>
      <c r="S149" s="4">
        <v>11549.69</v>
      </c>
      <c r="T149" s="4">
        <v>0</v>
      </c>
      <c r="U149" s="4">
        <v>1.3055588655862727</v>
      </c>
      <c r="V149" s="4">
        <v>1.0246581054405928</v>
      </c>
      <c r="W149" s="4" t="e">
        <v>#DIV/0!</v>
      </c>
      <c r="Y149" s="560">
        <v>438.25</v>
      </c>
      <c r="Z149" s="4">
        <v>128.15</v>
      </c>
      <c r="AA149" s="4">
        <v>230.66</v>
      </c>
      <c r="AB149" s="4">
        <v>15.92</v>
      </c>
      <c r="AC149" s="4">
        <v>41.27</v>
      </c>
      <c r="AD149" s="4">
        <v>140.19999999999999</v>
      </c>
      <c r="AF149" s="4">
        <v>1.3055588655862727</v>
      </c>
      <c r="AG149" s="4">
        <v>1.2044172932330828</v>
      </c>
      <c r="AH149" s="4">
        <v>1.2899725966109277</v>
      </c>
      <c r="AI149" s="4">
        <v>1.3189726594863298</v>
      </c>
      <c r="AJ149" s="4">
        <v>1.2828722412185265</v>
      </c>
      <c r="AK149" s="4">
        <v>1.0499513218003445</v>
      </c>
      <c r="AM149" s="562">
        <v>45773</v>
      </c>
      <c r="AN149" s="563">
        <v>452.07</v>
      </c>
      <c r="AO149" s="563">
        <v>1044874</v>
      </c>
      <c r="AP149" s="563">
        <v>271.41392999999999</v>
      </c>
      <c r="AQ149" s="563">
        <v>122698.09533509999</v>
      </c>
      <c r="AR149" s="563">
        <v>2.581</v>
      </c>
    </row>
    <row r="150" spans="2:44" x14ac:dyDescent="0.25">
      <c r="B150" s="564">
        <v>44903</v>
      </c>
      <c r="C150" s="560">
        <v>11.4962</v>
      </c>
      <c r="D150" s="560">
        <v>7.6432000000000002</v>
      </c>
      <c r="E150" s="560">
        <v>12.3423</v>
      </c>
      <c r="F150" s="560">
        <v>5.4569000000000001</v>
      </c>
      <c r="G150" s="560">
        <v>8.6874000000000002</v>
      </c>
      <c r="H150" s="560">
        <v>11.1747</v>
      </c>
      <c r="I150" s="564">
        <v>44903</v>
      </c>
      <c r="J150" s="560">
        <v>19.0731</v>
      </c>
      <c r="K150" s="560">
        <v>12.2349</v>
      </c>
      <c r="L150" s="560">
        <v>17.570900000000002</v>
      </c>
      <c r="M150" s="560">
        <v>11.532</v>
      </c>
      <c r="N150" s="560">
        <v>11.6309</v>
      </c>
      <c r="O150" s="560">
        <v>18.989599999999999</v>
      </c>
      <c r="P150" s="560"/>
      <c r="Q150" s="564">
        <v>44903</v>
      </c>
      <c r="R150" s="4">
        <v>440.97</v>
      </c>
      <c r="S150" s="4">
        <v>11503.45</v>
      </c>
      <c r="T150" s="4">
        <v>0</v>
      </c>
      <c r="U150" s="4">
        <v>1.3136618207816968</v>
      </c>
      <c r="V150" s="4">
        <v>1.0205558143145474</v>
      </c>
      <c r="W150" s="4" t="e">
        <v>#DIV/0!</v>
      </c>
      <c r="Y150" s="560">
        <v>440.97</v>
      </c>
      <c r="Z150" s="4">
        <v>135.12</v>
      </c>
      <c r="AA150" s="4">
        <v>230.92</v>
      </c>
      <c r="AB150" s="4">
        <v>16.21</v>
      </c>
      <c r="AC150" s="4">
        <v>44.78</v>
      </c>
      <c r="AD150" s="4">
        <v>146.6</v>
      </c>
      <c r="AF150" s="4">
        <v>1.3136618207816968</v>
      </c>
      <c r="AG150" s="4">
        <v>1.2699248120300752</v>
      </c>
      <c r="AH150" s="4">
        <v>1.291426653990269</v>
      </c>
      <c r="AI150" s="4">
        <v>1.3429991714995857</v>
      </c>
      <c r="AJ150" s="4">
        <v>1.3919801056885297</v>
      </c>
      <c r="AK150" s="4">
        <v>1.097880626076537</v>
      </c>
      <c r="AM150" s="562">
        <v>45772</v>
      </c>
      <c r="AN150" s="563">
        <v>452.42</v>
      </c>
      <c r="AO150" s="563">
        <v>1015573</v>
      </c>
      <c r="AP150" s="563">
        <v>271.41392999999999</v>
      </c>
      <c r="AQ150" s="563">
        <v>122793.0902106</v>
      </c>
      <c r="AR150" s="563">
        <v>2.5830000000000002</v>
      </c>
    </row>
    <row r="151" spans="2:44" x14ac:dyDescent="0.25">
      <c r="B151" s="564">
        <v>44896</v>
      </c>
      <c r="C151" s="560">
        <v>11.468299999999999</v>
      </c>
      <c r="D151" s="560">
        <v>7.4691999999999998</v>
      </c>
      <c r="E151" s="560">
        <v>12.5885</v>
      </c>
      <c r="F151" s="560">
        <v>5.5039999999999996</v>
      </c>
      <c r="G151" s="560">
        <v>8.7700999999999993</v>
      </c>
      <c r="H151" s="560">
        <v>11.436500000000001</v>
      </c>
      <c r="I151" s="564">
        <v>44896</v>
      </c>
      <c r="J151" s="560">
        <v>19.024799999999999</v>
      </c>
      <c r="K151" s="560">
        <v>11.907999999999999</v>
      </c>
      <c r="L151" s="560">
        <v>17.933800000000002</v>
      </c>
      <c r="M151" s="560">
        <v>11.6387</v>
      </c>
      <c r="N151" s="560">
        <v>11.763400000000001</v>
      </c>
      <c r="O151" s="560">
        <v>19.511700000000001</v>
      </c>
      <c r="P151" s="560"/>
      <c r="Q151" s="564">
        <v>44896</v>
      </c>
      <c r="R151" s="4">
        <v>416.56</v>
      </c>
      <c r="S151" s="4">
        <v>11724.84</v>
      </c>
      <c r="T151" s="4">
        <v>0</v>
      </c>
      <c r="U151" s="4">
        <v>1.2409437559580552</v>
      </c>
      <c r="V151" s="4">
        <v>1.0401969525583872</v>
      </c>
      <c r="W151" s="4" t="e">
        <v>#DIV/0!</v>
      </c>
      <c r="Y151" s="560">
        <v>416.56</v>
      </c>
      <c r="Z151" s="4">
        <v>131.51</v>
      </c>
      <c r="AA151" s="4">
        <v>235.69</v>
      </c>
      <c r="AB151" s="4">
        <v>16.36</v>
      </c>
      <c r="AC151" s="4">
        <v>45.29</v>
      </c>
      <c r="AD151" s="4">
        <v>150.63</v>
      </c>
      <c r="AF151" s="4">
        <v>1.2409437559580552</v>
      </c>
      <c r="AG151" s="4">
        <v>1.2359962406015037</v>
      </c>
      <c r="AH151" s="4">
        <v>1.3181030143727979</v>
      </c>
      <c r="AI151" s="4">
        <v>1.3554266777133388</v>
      </c>
      <c r="AJ151" s="4">
        <v>1.407833385141436</v>
      </c>
      <c r="AK151" s="4">
        <v>1.128061109862952</v>
      </c>
      <c r="AM151" s="562">
        <v>45771</v>
      </c>
      <c r="AN151" s="563">
        <v>461.26</v>
      </c>
      <c r="AO151" s="563">
        <v>1143636</v>
      </c>
      <c r="AP151" s="563">
        <v>271.41392999999999</v>
      </c>
      <c r="AQ151" s="563">
        <v>125192.3893518</v>
      </c>
      <c r="AR151" s="563">
        <v>2.6334</v>
      </c>
    </row>
    <row r="152" spans="2:44" x14ac:dyDescent="0.25">
      <c r="B152" s="564">
        <v>44889</v>
      </c>
      <c r="C152" s="560">
        <v>11.4598</v>
      </c>
      <c r="D152" s="560">
        <v>7.5319000000000003</v>
      </c>
      <c r="E152" s="560">
        <v>12.589</v>
      </c>
      <c r="F152" s="560">
        <v>5.4128999999999996</v>
      </c>
      <c r="G152" s="560">
        <v>8.8462999999999994</v>
      </c>
      <c r="H152" s="560">
        <v>11.365</v>
      </c>
      <c r="I152" s="564">
        <v>44889</v>
      </c>
      <c r="J152" s="560">
        <v>19.010200000000001</v>
      </c>
      <c r="K152" s="560">
        <v>12.025700000000001</v>
      </c>
      <c r="L152" s="560">
        <v>17.9346</v>
      </c>
      <c r="M152" s="560">
        <v>11.432399999999999</v>
      </c>
      <c r="N152" s="560">
        <v>11.8855</v>
      </c>
      <c r="O152" s="560">
        <v>19.369199999999999</v>
      </c>
      <c r="P152" s="560"/>
      <c r="Q152" s="564">
        <v>44889</v>
      </c>
      <c r="R152" s="4">
        <v>406.97</v>
      </c>
      <c r="S152" s="4">
        <v>11871.15</v>
      </c>
      <c r="T152" s="4">
        <v>0</v>
      </c>
      <c r="U152" s="4">
        <v>1.2123748808388943</v>
      </c>
      <c r="V152" s="4">
        <v>1.053177190764522</v>
      </c>
      <c r="W152" s="4" t="e">
        <v>#DIV/0!</v>
      </c>
      <c r="Y152" s="560">
        <v>406.97</v>
      </c>
      <c r="Z152" s="4">
        <v>123.76</v>
      </c>
      <c r="AA152" s="4">
        <v>230.44</v>
      </c>
      <c r="AB152" s="4">
        <v>15.12</v>
      </c>
      <c r="AC152" s="4">
        <v>44.22</v>
      </c>
      <c r="AD152" s="4">
        <v>150.61000000000001</v>
      </c>
      <c r="AF152" s="4">
        <v>1.2123748808388943</v>
      </c>
      <c r="AG152" s="4">
        <v>1.1631578947368422</v>
      </c>
      <c r="AH152" s="4">
        <v>1.2887422403668698</v>
      </c>
      <c r="AI152" s="4">
        <v>1.2526926263463132</v>
      </c>
      <c r="AJ152" s="4">
        <v>1.3745725831520048</v>
      </c>
      <c r="AK152" s="4">
        <v>1.1279113307870892</v>
      </c>
      <c r="AM152" s="562">
        <v>45770</v>
      </c>
      <c r="AN152" s="563">
        <v>467.67</v>
      </c>
      <c r="AO152" s="563">
        <v>1283610</v>
      </c>
      <c r="AP152" s="563">
        <v>271.41392999999999</v>
      </c>
      <c r="AQ152" s="563">
        <v>126932.15264309999</v>
      </c>
      <c r="AR152" s="563">
        <v>2.67</v>
      </c>
    </row>
    <row r="153" spans="2:44" x14ac:dyDescent="0.25">
      <c r="B153" s="564">
        <v>44882</v>
      </c>
      <c r="C153" s="560">
        <v>10.7484</v>
      </c>
      <c r="D153" s="560">
        <v>7.0956999999999999</v>
      </c>
      <c r="E153" s="560">
        <v>12.317500000000001</v>
      </c>
      <c r="F153" s="560">
        <v>5.1146000000000003</v>
      </c>
      <c r="G153" s="560">
        <v>8.5967000000000002</v>
      </c>
      <c r="H153" s="560">
        <v>11.4352</v>
      </c>
      <c r="I153" s="564">
        <v>44882</v>
      </c>
      <c r="J153" s="560">
        <v>17.783799999999999</v>
      </c>
      <c r="K153" s="560">
        <v>11.206300000000001</v>
      </c>
      <c r="L153" s="560">
        <v>17.534300000000002</v>
      </c>
      <c r="M153" s="560">
        <v>10.756600000000001</v>
      </c>
      <c r="N153" s="560">
        <v>11.4855</v>
      </c>
      <c r="O153" s="560">
        <v>19.5091</v>
      </c>
      <c r="P153" s="560"/>
      <c r="Q153" s="564">
        <v>44882</v>
      </c>
      <c r="R153" s="4">
        <v>404.57</v>
      </c>
      <c r="S153" s="4">
        <v>11059.5</v>
      </c>
      <c r="T153" s="4">
        <v>0</v>
      </c>
      <c r="U153" s="4">
        <v>1.2052252144899904</v>
      </c>
      <c r="V153" s="4">
        <v>0.98116973850555589</v>
      </c>
      <c r="W153" s="4" t="e">
        <v>#DIV/0!</v>
      </c>
      <c r="Y153" s="560">
        <v>404.57</v>
      </c>
      <c r="Z153" s="4">
        <v>123.76</v>
      </c>
      <c r="AA153" s="4">
        <v>230.44</v>
      </c>
      <c r="AB153" s="4">
        <v>15.12</v>
      </c>
      <c r="AC153" s="4">
        <v>44.22</v>
      </c>
      <c r="AD153" s="4">
        <v>150.61000000000001</v>
      </c>
      <c r="AF153" s="4">
        <v>1.2052252144899904</v>
      </c>
      <c r="AG153" s="4">
        <v>1.1631578947368422</v>
      </c>
      <c r="AH153" s="4">
        <v>1.2887422403668698</v>
      </c>
      <c r="AI153" s="4">
        <v>1.2526926263463132</v>
      </c>
      <c r="AJ153" s="4">
        <v>1.3745725831520048</v>
      </c>
      <c r="AK153" s="4">
        <v>1.1279113307870892</v>
      </c>
      <c r="AM153" s="562">
        <v>45769</v>
      </c>
      <c r="AN153" s="563">
        <v>459.13</v>
      </c>
      <c r="AO153" s="563">
        <v>1245120</v>
      </c>
      <c r="AP153" s="563">
        <v>271.41392999999999</v>
      </c>
      <c r="AQ153" s="563">
        <v>124614.27768089999</v>
      </c>
      <c r="AR153" s="563">
        <v>2.6213000000000002</v>
      </c>
    </row>
    <row r="154" spans="2:44" x14ac:dyDescent="0.25">
      <c r="B154" s="564">
        <v>44875</v>
      </c>
      <c r="C154" s="560">
        <v>10.614000000000001</v>
      </c>
      <c r="D154" s="560">
        <v>7.2716000000000003</v>
      </c>
      <c r="E154" s="560">
        <v>12.4213</v>
      </c>
      <c r="F154" s="560">
        <v>5.0015000000000001</v>
      </c>
      <c r="G154" s="560">
        <v>8.4507999999999992</v>
      </c>
      <c r="H154" s="560">
        <v>11.7242</v>
      </c>
      <c r="I154" s="564">
        <v>44875</v>
      </c>
      <c r="J154" s="560">
        <v>17.552099999999999</v>
      </c>
      <c r="K154" s="560">
        <v>11.536799999999999</v>
      </c>
      <c r="L154" s="560">
        <v>17.6873</v>
      </c>
      <c r="M154" s="560">
        <v>10.500500000000001</v>
      </c>
      <c r="N154" s="560">
        <v>11.2517</v>
      </c>
      <c r="O154" s="560">
        <v>20.0855</v>
      </c>
      <c r="P154" s="560"/>
      <c r="Q154" s="564">
        <v>44875</v>
      </c>
      <c r="R154" s="4">
        <v>388.71</v>
      </c>
      <c r="S154" s="4">
        <v>11288.95</v>
      </c>
      <c r="T154" s="4">
        <v>0</v>
      </c>
      <c r="U154" s="4">
        <v>1.1579778360343183</v>
      </c>
      <c r="V154" s="4">
        <v>1.001525938740657</v>
      </c>
      <c r="W154" s="4" t="e">
        <v>#DIV/0!</v>
      </c>
      <c r="Y154" s="560">
        <v>388.71</v>
      </c>
      <c r="Z154" s="4">
        <v>127.41</v>
      </c>
      <c r="AA154" s="4">
        <v>232.45</v>
      </c>
      <c r="AB154" s="4">
        <v>14.76</v>
      </c>
      <c r="AC154" s="4">
        <v>43.32</v>
      </c>
      <c r="AD154" s="4">
        <v>155.06</v>
      </c>
      <c r="AF154" s="4">
        <v>1.1579778360343183</v>
      </c>
      <c r="AG154" s="4">
        <v>1.1974624060150374</v>
      </c>
      <c r="AH154" s="4">
        <v>1.2999832224148538</v>
      </c>
      <c r="AI154" s="4">
        <v>1.2228666114333058</v>
      </c>
      <c r="AJ154" s="4">
        <v>1.3465962076468758</v>
      </c>
      <c r="AK154" s="4">
        <v>1.1612371751666293</v>
      </c>
      <c r="AM154" s="562">
        <v>45768</v>
      </c>
      <c r="AN154" s="563">
        <v>459.13</v>
      </c>
      <c r="AO154" s="563">
        <v>1245120</v>
      </c>
      <c r="AP154" s="563">
        <v>271.41392999999999</v>
      </c>
      <c r="AQ154" s="563">
        <v>124614.27768089999</v>
      </c>
      <c r="AR154" s="563">
        <v>2.6213000000000002</v>
      </c>
    </row>
    <row r="155" spans="2:44" x14ac:dyDescent="0.25">
      <c r="B155" s="564">
        <v>44868</v>
      </c>
      <c r="C155" s="560">
        <v>10.264799999999999</v>
      </c>
      <c r="D155" s="560">
        <v>6.8234000000000004</v>
      </c>
      <c r="E155" s="560">
        <v>11.740399999999999</v>
      </c>
      <c r="F155" s="560">
        <v>4.4231999999999996</v>
      </c>
      <c r="G155" s="560">
        <v>7.8476999999999997</v>
      </c>
      <c r="H155" s="560">
        <v>11.4436</v>
      </c>
      <c r="I155" s="564">
        <v>44868</v>
      </c>
      <c r="J155" s="560">
        <v>16.950199999999999</v>
      </c>
      <c r="K155" s="560">
        <v>10.694699999999999</v>
      </c>
      <c r="L155" s="560">
        <v>16.683700000000002</v>
      </c>
      <c r="M155" s="560">
        <v>9.0563000000000002</v>
      </c>
      <c r="N155" s="560">
        <v>10.285500000000001</v>
      </c>
      <c r="O155" s="560">
        <v>19.5259</v>
      </c>
      <c r="P155" s="560"/>
      <c r="Q155" s="564">
        <v>44868</v>
      </c>
      <c r="R155" s="4">
        <v>391.63</v>
      </c>
      <c r="S155" s="4">
        <v>11669.99</v>
      </c>
      <c r="T155" s="4">
        <v>0</v>
      </c>
      <c r="U155" s="4">
        <v>1.166676596758818</v>
      </c>
      <c r="V155" s="4">
        <v>1.035330804888327</v>
      </c>
      <c r="W155" s="4" t="e">
        <v>#DIV/0!</v>
      </c>
      <c r="Y155" s="560">
        <v>391.63</v>
      </c>
      <c r="Z155" s="4">
        <v>118.11</v>
      </c>
      <c r="AA155" s="4">
        <v>219.26</v>
      </c>
      <c r="AB155" s="4">
        <v>12.73</v>
      </c>
      <c r="AC155" s="4">
        <v>39.6</v>
      </c>
      <c r="AD155" s="4">
        <v>150.74</v>
      </c>
      <c r="AF155" s="4">
        <v>1.166676596758818</v>
      </c>
      <c r="AG155" s="4">
        <v>1.1100563909774435</v>
      </c>
      <c r="AH155" s="4">
        <v>1.2262177730551982</v>
      </c>
      <c r="AI155" s="4">
        <v>1.0546810273405136</v>
      </c>
      <c r="AJ155" s="4">
        <v>1.2309605222256761</v>
      </c>
      <c r="AK155" s="4">
        <v>1.1288848947801993</v>
      </c>
      <c r="AM155" s="562">
        <v>45767</v>
      </c>
      <c r="AN155" s="563">
        <v>459.13</v>
      </c>
      <c r="AO155" s="563">
        <v>1245120</v>
      </c>
      <c r="AP155" s="563">
        <v>271.41392999999999</v>
      </c>
      <c r="AQ155" s="563">
        <v>124614.27768089999</v>
      </c>
      <c r="AR155" s="563">
        <v>2.6213000000000002</v>
      </c>
    </row>
    <row r="156" spans="2:44" x14ac:dyDescent="0.25">
      <c r="B156" s="564">
        <v>44861</v>
      </c>
      <c r="C156" s="560">
        <v>11.6442</v>
      </c>
      <c r="D156" s="560">
        <v>6.9767000000000001</v>
      </c>
      <c r="E156" s="560">
        <v>11.5307</v>
      </c>
      <c r="F156" s="560">
        <v>4.4710000000000001</v>
      </c>
      <c r="G156" s="560">
        <v>7.3975999999999997</v>
      </c>
      <c r="H156" s="560">
        <v>11.4163</v>
      </c>
      <c r="I156" s="564">
        <v>44861</v>
      </c>
      <c r="J156" s="560">
        <v>19.228100000000001</v>
      </c>
      <c r="K156" s="560">
        <v>10.9826</v>
      </c>
      <c r="L156" s="560">
        <v>16.1419</v>
      </c>
      <c r="M156" s="560">
        <v>9.1630000000000003</v>
      </c>
      <c r="N156" s="560">
        <v>9.5219000000000005</v>
      </c>
      <c r="O156" s="560">
        <v>19.471499999999999</v>
      </c>
      <c r="P156" s="560"/>
      <c r="Q156" s="564">
        <v>44861</v>
      </c>
      <c r="R156" s="4">
        <v>371.31</v>
      </c>
      <c r="S156" s="4">
        <v>11147.74</v>
      </c>
      <c r="T156" s="4">
        <v>0</v>
      </c>
      <c r="U156" s="4">
        <v>1.1061427550047664</v>
      </c>
      <c r="V156" s="4">
        <v>0.98899815911460065</v>
      </c>
      <c r="W156" s="4" t="e">
        <v>#DIV/0!</v>
      </c>
      <c r="Y156" s="560">
        <v>371.31</v>
      </c>
      <c r="Z156" s="4">
        <v>121.29</v>
      </c>
      <c r="AA156" s="4">
        <v>212.14</v>
      </c>
      <c r="AB156" s="4">
        <v>12.88</v>
      </c>
      <c r="AC156" s="4">
        <v>36.659999999999997</v>
      </c>
      <c r="AD156" s="4">
        <v>150.32</v>
      </c>
      <c r="AF156" s="4">
        <v>1.1061427550047664</v>
      </c>
      <c r="AG156" s="4">
        <v>1.1399436090225563</v>
      </c>
      <c r="AH156" s="4">
        <v>1.1863989709747775</v>
      </c>
      <c r="AI156" s="4">
        <v>1.0671085335542667</v>
      </c>
      <c r="AJ156" s="4">
        <v>1.1395710289089211</v>
      </c>
      <c r="AK156" s="4">
        <v>1.125739534187074</v>
      </c>
      <c r="AM156" s="562">
        <v>45766</v>
      </c>
      <c r="AN156" s="563">
        <v>444.19</v>
      </c>
      <c r="AO156" s="563">
        <v>1956613</v>
      </c>
      <c r="AP156" s="563">
        <v>271.41392999999999</v>
      </c>
      <c r="AQ156" s="563">
        <v>120559.3535667</v>
      </c>
      <c r="AR156" s="563">
        <v>2.536</v>
      </c>
    </row>
    <row r="157" spans="2:44" x14ac:dyDescent="0.25">
      <c r="B157" s="564">
        <v>44854</v>
      </c>
      <c r="C157" s="560">
        <v>10.824299999999999</v>
      </c>
      <c r="D157" s="560">
        <v>6.4581</v>
      </c>
      <c r="E157" s="560">
        <v>9.8760999999999992</v>
      </c>
      <c r="F157" s="560">
        <v>4.2671000000000001</v>
      </c>
      <c r="G157" s="560">
        <v>6.7072000000000003</v>
      </c>
      <c r="H157" s="560">
        <v>10.909700000000001</v>
      </c>
      <c r="I157" s="564">
        <v>44854</v>
      </c>
      <c r="J157" s="560">
        <v>17.811499999999999</v>
      </c>
      <c r="K157" s="560">
        <v>10.0083</v>
      </c>
      <c r="L157" s="560">
        <v>13.737399999999999</v>
      </c>
      <c r="M157" s="560">
        <v>8.7077000000000009</v>
      </c>
      <c r="N157" s="560">
        <v>8.4206000000000003</v>
      </c>
      <c r="O157" s="560">
        <v>18.461099999999998</v>
      </c>
      <c r="P157" s="560"/>
      <c r="Q157" s="564">
        <v>44854</v>
      </c>
      <c r="R157" s="4">
        <v>363.33</v>
      </c>
      <c r="S157" s="4">
        <v>10791.35</v>
      </c>
      <c r="T157" s="4">
        <v>0</v>
      </c>
      <c r="U157" s="4">
        <v>1.0823701143946616</v>
      </c>
      <c r="V157" s="4">
        <v>0.95738017610397674</v>
      </c>
      <c r="W157" s="4" t="e">
        <v>#DIV/0!</v>
      </c>
      <c r="Y157" s="560">
        <v>363.33</v>
      </c>
      <c r="Z157" s="4">
        <v>110.53</v>
      </c>
      <c r="AA157" s="4">
        <v>180.54</v>
      </c>
      <c r="AB157" s="4">
        <v>12.24</v>
      </c>
      <c r="AC157" s="4">
        <v>32.42</v>
      </c>
      <c r="AD157" s="4">
        <v>142.52000000000001</v>
      </c>
      <c r="AF157" s="4">
        <v>1.0823701143946616</v>
      </c>
      <c r="AG157" s="4">
        <v>1.0388157894736842</v>
      </c>
      <c r="AH157" s="4">
        <v>1.009675074101001</v>
      </c>
      <c r="AI157" s="4">
        <v>1.0140845070422535</v>
      </c>
      <c r="AJ157" s="4">
        <v>1.0077712154180913</v>
      </c>
      <c r="AK157" s="4">
        <v>1.0673256946004643</v>
      </c>
      <c r="AM157" s="562">
        <v>45765</v>
      </c>
      <c r="AN157" s="563">
        <v>452.59</v>
      </c>
      <c r="AO157" s="563">
        <v>2914695</v>
      </c>
      <c r="AP157" s="563">
        <v>271.41392999999999</v>
      </c>
      <c r="AQ157" s="563">
        <v>122839.23057869999</v>
      </c>
      <c r="AR157" s="563">
        <v>2.5838999999999999</v>
      </c>
    </row>
    <row r="158" spans="2:44" x14ac:dyDescent="0.25">
      <c r="B158" s="564">
        <v>44847</v>
      </c>
      <c r="C158" s="560">
        <v>10.870900000000001</v>
      </c>
      <c r="D158" s="560">
        <v>6.5149999999999997</v>
      </c>
      <c r="E158" s="560">
        <v>10.0122</v>
      </c>
      <c r="F158" s="560">
        <v>4.2606999999999999</v>
      </c>
      <c r="G158" s="560">
        <v>6.8147000000000002</v>
      </c>
      <c r="H158" s="560">
        <v>10.545400000000001</v>
      </c>
      <c r="I158" s="564">
        <v>44847</v>
      </c>
      <c r="J158" s="560">
        <v>17.891999999999999</v>
      </c>
      <c r="K158" s="560">
        <v>10.1151</v>
      </c>
      <c r="L158" s="560">
        <v>13.9353</v>
      </c>
      <c r="M158" s="560">
        <v>8.6935000000000002</v>
      </c>
      <c r="N158" s="560">
        <v>8.5920000000000005</v>
      </c>
      <c r="O158" s="560">
        <v>17.734500000000001</v>
      </c>
      <c r="P158" s="560"/>
      <c r="Q158" s="564">
        <v>44847</v>
      </c>
      <c r="R158" s="4">
        <v>360.29</v>
      </c>
      <c r="S158" s="4">
        <v>11582.54</v>
      </c>
      <c r="T158" s="4">
        <v>0</v>
      </c>
      <c r="U158" s="4">
        <v>1.073313870352717</v>
      </c>
      <c r="V158" s="4">
        <v>1.0275724710005103</v>
      </c>
      <c r="W158" s="4" t="e">
        <v>#DIV/0!</v>
      </c>
      <c r="Y158" s="560">
        <v>360.29</v>
      </c>
      <c r="Z158" s="4">
        <v>111.71</v>
      </c>
      <c r="AA158" s="4">
        <v>183.14</v>
      </c>
      <c r="AB158" s="4">
        <v>12.22</v>
      </c>
      <c r="AC158" s="4">
        <v>33.08</v>
      </c>
      <c r="AD158" s="4">
        <v>136.91</v>
      </c>
      <c r="AF158" s="4">
        <v>1.073313870352717</v>
      </c>
      <c r="AG158" s="4">
        <v>1.0499060150375938</v>
      </c>
      <c r="AH158" s="4">
        <v>1.0242156478944129</v>
      </c>
      <c r="AI158" s="4">
        <v>1.0124275062137531</v>
      </c>
      <c r="AJ158" s="4">
        <v>1.0282872241218526</v>
      </c>
      <c r="AK158" s="4">
        <v>1.0253126638208643</v>
      </c>
      <c r="AM158" s="562">
        <v>45764</v>
      </c>
      <c r="AN158" s="563">
        <v>412.99</v>
      </c>
      <c r="AO158" s="563">
        <v>1816635</v>
      </c>
      <c r="AP158" s="563">
        <v>271.41392999999999</v>
      </c>
      <c r="AQ158" s="563">
        <v>112091.2389507</v>
      </c>
      <c r="AR158" s="563">
        <v>2.3578999999999999</v>
      </c>
    </row>
    <row r="159" spans="2:44" x14ac:dyDescent="0.25">
      <c r="B159" s="564">
        <v>44840</v>
      </c>
      <c r="C159" s="560">
        <v>10.540900000000001</v>
      </c>
      <c r="D159" s="560">
        <v>6.2591000000000001</v>
      </c>
      <c r="E159" s="560">
        <v>9.7855000000000008</v>
      </c>
      <c r="F159" s="560">
        <v>4.2129000000000003</v>
      </c>
      <c r="G159" s="560">
        <v>6.6665000000000001</v>
      </c>
      <c r="H159" s="560">
        <v>10.325900000000001</v>
      </c>
      <c r="I159" s="564">
        <v>44840</v>
      </c>
      <c r="J159" s="560">
        <v>17.3218</v>
      </c>
      <c r="K159" s="560">
        <v>9.6342999999999996</v>
      </c>
      <c r="L159" s="560">
        <v>13.6058</v>
      </c>
      <c r="M159" s="560">
        <v>8.5868000000000002</v>
      </c>
      <c r="N159" s="560">
        <v>8.3557000000000006</v>
      </c>
      <c r="O159" s="560">
        <v>17.296600000000002</v>
      </c>
      <c r="P159" s="560"/>
      <c r="Q159" s="564">
        <v>44840</v>
      </c>
      <c r="R159" s="4">
        <v>335.68</v>
      </c>
      <c r="S159" s="4">
        <v>11271.75</v>
      </c>
      <c r="T159" s="4">
        <v>0</v>
      </c>
      <c r="U159" s="4">
        <v>1</v>
      </c>
      <c r="V159" s="4">
        <v>1</v>
      </c>
      <c r="W159" s="4" t="e">
        <v>#DIV/0!</v>
      </c>
      <c r="Y159" s="560">
        <v>335.68</v>
      </c>
      <c r="Z159" s="4">
        <v>106.4</v>
      </c>
      <c r="AA159" s="4">
        <v>178.81</v>
      </c>
      <c r="AB159" s="4">
        <v>12.07</v>
      </c>
      <c r="AC159" s="4">
        <v>32.17</v>
      </c>
      <c r="AD159" s="4">
        <v>133.53</v>
      </c>
      <c r="AF159" s="4">
        <v>1</v>
      </c>
      <c r="AG159" s="4">
        <v>1</v>
      </c>
      <c r="AH159" s="4">
        <v>1</v>
      </c>
      <c r="AI159" s="4">
        <v>1</v>
      </c>
      <c r="AJ159" s="4">
        <v>1</v>
      </c>
      <c r="AK159" s="4">
        <v>1</v>
      </c>
      <c r="AM159" s="562">
        <v>45763</v>
      </c>
      <c r="AN159" s="563">
        <v>423.35</v>
      </c>
      <c r="AO159" s="563">
        <v>3007808</v>
      </c>
      <c r="AP159" s="563">
        <v>271.41392999999999</v>
      </c>
      <c r="AQ159" s="563">
        <v>114903.0872655</v>
      </c>
      <c r="AR159" s="563">
        <v>2.4169999999999998</v>
      </c>
    </row>
    <row r="160" spans="2:44" x14ac:dyDescent="0.25">
      <c r="B160" s="564">
        <v>44833</v>
      </c>
      <c r="I160" s="564">
        <v>44833</v>
      </c>
      <c r="Q160" s="564">
        <v>44833</v>
      </c>
      <c r="R160" s="4">
        <v>355.59</v>
      </c>
      <c r="S160" s="4">
        <v>11851.54</v>
      </c>
      <c r="T160" s="4">
        <v>0</v>
      </c>
      <c r="AM160" s="562">
        <v>45762</v>
      </c>
      <c r="AN160" s="563">
        <v>429.86</v>
      </c>
      <c r="AO160" s="563">
        <v>3609711</v>
      </c>
      <c r="AP160" s="563">
        <v>271.41392999999999</v>
      </c>
      <c r="AQ160" s="563">
        <v>116669.99194979999</v>
      </c>
      <c r="AR160" s="563">
        <v>2.4542000000000002</v>
      </c>
    </row>
    <row r="161" spans="2:44" x14ac:dyDescent="0.25">
      <c r="B161" s="564">
        <v>44826</v>
      </c>
      <c r="I161" s="564">
        <v>44826</v>
      </c>
      <c r="Q161" s="564">
        <v>44826</v>
      </c>
      <c r="R161" s="4">
        <v>363.3</v>
      </c>
      <c r="S161" s="4">
        <v>12033.62</v>
      </c>
      <c r="T161" s="4">
        <v>0</v>
      </c>
      <c r="AM161" s="562">
        <v>45761</v>
      </c>
      <c r="AN161" s="563">
        <v>429.86</v>
      </c>
      <c r="AO161" s="563">
        <v>3609711</v>
      </c>
      <c r="AP161" s="563">
        <v>271.41392999999999</v>
      </c>
      <c r="AQ161" s="563">
        <v>116669.99194979999</v>
      </c>
      <c r="AR161" s="563">
        <v>2.4542000000000002</v>
      </c>
    </row>
    <row r="162" spans="2:44" x14ac:dyDescent="0.25">
      <c r="B162" s="564">
        <v>44819</v>
      </c>
      <c r="I162" s="564">
        <v>44819</v>
      </c>
      <c r="Q162" s="564">
        <v>44819</v>
      </c>
      <c r="R162" s="4">
        <v>361.06</v>
      </c>
      <c r="S162" s="4">
        <v>12011.31</v>
      </c>
      <c r="T162" s="4">
        <v>0</v>
      </c>
      <c r="AM162" s="562">
        <v>45760</v>
      </c>
      <c r="AN162" s="563">
        <v>429.86</v>
      </c>
      <c r="AO162" s="563">
        <v>3609711</v>
      </c>
      <c r="AP162" s="563">
        <v>271.41392999999999</v>
      </c>
      <c r="AQ162" s="563">
        <v>116669.99194979999</v>
      </c>
      <c r="AR162" s="563">
        <v>2.4542000000000002</v>
      </c>
    </row>
    <row r="163" spans="2:44" x14ac:dyDescent="0.25">
      <c r="AM163" s="562">
        <v>45759</v>
      </c>
      <c r="AN163" s="563">
        <v>447.45</v>
      </c>
      <c r="AO163" s="563">
        <v>2287976</v>
      </c>
      <c r="AP163" s="563">
        <v>271.41392999999999</v>
      </c>
      <c r="AQ163" s="563">
        <v>121444.1629785</v>
      </c>
      <c r="AR163" s="563">
        <v>2.5546000000000002</v>
      </c>
    </row>
    <row r="164" spans="2:44" x14ac:dyDescent="0.25">
      <c r="B164" s="377" t="s">
        <v>21</v>
      </c>
      <c r="C164" s="553"/>
      <c r="D164" s="23"/>
      <c r="E164" s="4">
        <v>0.89700514078140259</v>
      </c>
      <c r="F164" s="4" t="s">
        <v>887</v>
      </c>
      <c r="AM164" s="562">
        <v>45758</v>
      </c>
      <c r="AN164" s="563">
        <v>470.9</v>
      </c>
      <c r="AO164" s="563">
        <v>1394743</v>
      </c>
      <c r="AP164" s="563">
        <v>271.41392999999999</v>
      </c>
      <c r="AQ164" s="563">
        <v>127808.81963699999</v>
      </c>
      <c r="AR164" s="563">
        <v>2.6884999999999999</v>
      </c>
    </row>
    <row r="165" spans="2:44" x14ac:dyDescent="0.25">
      <c r="B165" s="377" t="s">
        <v>22</v>
      </c>
      <c r="C165" s="23"/>
      <c r="D165" s="23"/>
      <c r="E165" s="4">
        <v>0.55938667297363276</v>
      </c>
      <c r="F165" s="4" t="s">
        <v>888</v>
      </c>
      <c r="AM165" s="562">
        <v>45757</v>
      </c>
      <c r="AN165" s="563">
        <v>478.45</v>
      </c>
      <c r="AO165" s="563">
        <v>1253572</v>
      </c>
      <c r="AP165" s="563">
        <v>271.41392999999999</v>
      </c>
      <c r="AQ165" s="563">
        <v>129857.99480849999</v>
      </c>
      <c r="AR165" s="563">
        <v>2.7315999999999998</v>
      </c>
    </row>
    <row r="166" spans="2:44" x14ac:dyDescent="0.25">
      <c r="B166" s="377" t="s">
        <v>23</v>
      </c>
      <c r="C166" s="23"/>
      <c r="D166" s="23"/>
      <c r="E166" s="4">
        <v>500.28311157226563</v>
      </c>
      <c r="F166" s="4" t="s">
        <v>889</v>
      </c>
      <c r="AM166" s="562">
        <v>45756</v>
      </c>
      <c r="AN166" s="563">
        <v>469.35</v>
      </c>
      <c r="AO166" s="563">
        <v>1496676</v>
      </c>
      <c r="AP166" s="563">
        <v>271.41392999999999</v>
      </c>
      <c r="AQ166" s="563">
        <v>127388.12804550001</v>
      </c>
      <c r="AR166" s="563">
        <v>2.6796000000000002</v>
      </c>
    </row>
    <row r="167" spans="2:44" x14ac:dyDescent="0.25">
      <c r="B167" s="377"/>
      <c r="C167" s="23"/>
      <c r="D167" s="23"/>
      <c r="AM167" s="562">
        <v>45755</v>
      </c>
      <c r="AN167" s="563">
        <v>465.31</v>
      </c>
      <c r="AO167" s="563">
        <v>1183591</v>
      </c>
      <c r="AP167" s="563">
        <v>271.41392999999999</v>
      </c>
      <c r="AQ167" s="563">
        <v>126291.61576829999</v>
      </c>
      <c r="AR167" s="563">
        <v>2.6566000000000001</v>
      </c>
    </row>
    <row r="168" spans="2:44" x14ac:dyDescent="0.25">
      <c r="B168" s="377" t="s">
        <v>25</v>
      </c>
      <c r="C168" s="23"/>
      <c r="D168" s="23"/>
      <c r="E168" s="4">
        <v>1490618.5</v>
      </c>
      <c r="F168" s="4" t="s">
        <v>890</v>
      </c>
      <c r="AM168" s="562">
        <v>45754</v>
      </c>
      <c r="AN168" s="563">
        <v>465.31</v>
      </c>
      <c r="AO168" s="563">
        <v>1183591</v>
      </c>
      <c r="AP168" s="563">
        <v>271.41392999999999</v>
      </c>
      <c r="AQ168" s="563">
        <v>126291.61576829999</v>
      </c>
      <c r="AR168" s="563">
        <v>2.6566000000000001</v>
      </c>
    </row>
    <row r="169" spans="2:44" x14ac:dyDescent="0.25">
      <c r="B169" s="377" t="s">
        <v>634</v>
      </c>
      <c r="C169" s="23"/>
      <c r="D169" s="23"/>
      <c r="E169" s="4">
        <v>270.32939999999996</v>
      </c>
      <c r="F169" s="4" t="s">
        <v>891</v>
      </c>
      <c r="AM169" s="562">
        <v>45753</v>
      </c>
      <c r="AN169" s="563">
        <v>465.31</v>
      </c>
      <c r="AO169" s="563">
        <v>1183591</v>
      </c>
      <c r="AP169" s="563">
        <v>271.41392999999999</v>
      </c>
      <c r="AQ169" s="563">
        <v>126291.61576829999</v>
      </c>
      <c r="AR169" s="563">
        <v>2.6566000000000001</v>
      </c>
    </row>
    <row r="170" spans="2:44" x14ac:dyDescent="0.25">
      <c r="B170" s="377" t="s">
        <v>27</v>
      </c>
      <c r="C170" s="23"/>
      <c r="D170" s="23"/>
      <c r="E170" s="585">
        <v>0.92489260000000006</v>
      </c>
      <c r="F170" s="4" t="s">
        <v>892</v>
      </c>
      <c r="AM170" s="562">
        <v>45752</v>
      </c>
      <c r="AN170" s="563">
        <v>479.72</v>
      </c>
      <c r="AO170" s="563">
        <v>1193256</v>
      </c>
      <c r="AP170" s="563">
        <v>271.41392999999999</v>
      </c>
      <c r="AQ170" s="563">
        <v>130202.69049960001</v>
      </c>
      <c r="AR170" s="563">
        <v>2.7387999999999999</v>
      </c>
    </row>
    <row r="171" spans="2:44" x14ac:dyDescent="0.25">
      <c r="B171" s="377" t="s">
        <v>28</v>
      </c>
      <c r="C171" s="23"/>
      <c r="D171" s="23"/>
      <c r="E171" s="585">
        <v>1.7152000000000001E-2</v>
      </c>
      <c r="F171" s="4" t="s">
        <v>893</v>
      </c>
      <c r="AM171" s="562">
        <v>45751</v>
      </c>
      <c r="AN171" s="563">
        <v>483.62</v>
      </c>
      <c r="AO171" s="563">
        <v>811268</v>
      </c>
      <c r="AP171" s="563">
        <v>271.41392999999999</v>
      </c>
      <c r="AQ171" s="563">
        <v>131261.20482660001</v>
      </c>
      <c r="AR171" s="563">
        <v>2.7610999999999999</v>
      </c>
    </row>
    <row r="172" spans="2:44" x14ac:dyDescent="0.25">
      <c r="B172" s="377"/>
      <c r="C172" s="23"/>
      <c r="D172" s="23"/>
      <c r="AM172" s="562">
        <v>45750</v>
      </c>
      <c r="AN172" s="563">
        <v>478.93</v>
      </c>
      <c r="AO172" s="563">
        <v>808229</v>
      </c>
      <c r="AP172" s="563">
        <v>271.41392999999999</v>
      </c>
      <c r="AQ172" s="563">
        <v>129988.2734949</v>
      </c>
      <c r="AR172" s="563">
        <v>2.7343000000000002</v>
      </c>
    </row>
    <row r="173" spans="2:44" x14ac:dyDescent="0.25">
      <c r="B173" s="377" t="s">
        <v>894</v>
      </c>
      <c r="C173" s="23"/>
      <c r="D173" s="23"/>
      <c r="E173" s="585">
        <v>1.967106715362813E-3</v>
      </c>
      <c r="F173" s="4" t="s">
        <v>895</v>
      </c>
      <c r="AM173" s="562">
        <v>45749</v>
      </c>
      <c r="AN173" s="563">
        <v>479.96</v>
      </c>
      <c r="AO173" s="563">
        <v>903919</v>
      </c>
      <c r="AP173" s="563">
        <v>271.41392999999999</v>
      </c>
      <c r="AQ173" s="563">
        <v>130267.8298428</v>
      </c>
      <c r="AR173" s="563">
        <v>2.7402000000000002</v>
      </c>
    </row>
    <row r="174" spans="2:44" x14ac:dyDescent="0.25">
      <c r="B174" s="377" t="s">
        <v>32</v>
      </c>
      <c r="C174" s="23"/>
      <c r="D174" s="23"/>
      <c r="E174" s="585">
        <v>0.8491587009947732</v>
      </c>
      <c r="F174" s="4" t="s">
        <v>896</v>
      </c>
      <c r="AM174" s="562">
        <v>45748</v>
      </c>
      <c r="AN174" s="563">
        <v>472.43</v>
      </c>
      <c r="AO174" s="563">
        <v>1685211</v>
      </c>
      <c r="AP174" s="563">
        <v>271.41392999999999</v>
      </c>
      <c r="AQ174" s="563">
        <v>128224.0829499</v>
      </c>
      <c r="AR174" s="563">
        <v>2.6972</v>
      </c>
    </row>
    <row r="175" spans="2:44" x14ac:dyDescent="0.25">
      <c r="AM175" s="562">
        <v>45747</v>
      </c>
      <c r="AN175" s="563">
        <v>472.43</v>
      </c>
      <c r="AO175" s="563">
        <v>1685211</v>
      </c>
      <c r="AP175" s="563">
        <v>271.41392999999999</v>
      </c>
      <c r="AQ175" s="563">
        <v>128224.0829499</v>
      </c>
      <c r="AR175" s="563">
        <v>2.6972</v>
      </c>
    </row>
    <row r="176" spans="2:44" x14ac:dyDescent="0.25">
      <c r="B176" s="377"/>
      <c r="C176" s="23"/>
      <c r="D176" s="23"/>
      <c r="AM176" s="562">
        <v>45746</v>
      </c>
      <c r="AN176" s="563">
        <v>472.43</v>
      </c>
      <c r="AO176" s="563">
        <v>1685211</v>
      </c>
      <c r="AP176" s="563">
        <v>271.41392999999999</v>
      </c>
      <c r="AQ176" s="563">
        <v>128224.0829499</v>
      </c>
      <c r="AR176" s="563">
        <v>2.6972</v>
      </c>
    </row>
    <row r="177" spans="2:44" x14ac:dyDescent="0.25">
      <c r="B177" s="377"/>
      <c r="C177" s="23"/>
      <c r="D177" s="23"/>
      <c r="E177" s="585"/>
      <c r="AM177" s="562">
        <v>45745</v>
      </c>
      <c r="AN177" s="563">
        <v>477.02</v>
      </c>
      <c r="AO177" s="563">
        <v>1153437</v>
      </c>
      <c r="AP177" s="563">
        <v>271.41392999999999</v>
      </c>
      <c r="AQ177" s="563">
        <v>129469.87288859999</v>
      </c>
      <c r="AR177" s="563">
        <v>2.7233999999999998</v>
      </c>
    </row>
    <row r="178" spans="2:44" x14ac:dyDescent="0.25">
      <c r="B178" s="377"/>
      <c r="C178" s="23"/>
      <c r="D178" s="23"/>
      <c r="E178" s="585"/>
      <c r="AM178" s="562">
        <v>45744</v>
      </c>
      <c r="AN178" s="563">
        <v>479.41</v>
      </c>
      <c r="AO178" s="563">
        <v>841944</v>
      </c>
      <c r="AP178" s="563">
        <v>271.41392999999999</v>
      </c>
      <c r="AQ178" s="563">
        <v>130118.55218130001</v>
      </c>
      <c r="AR178" s="563">
        <v>2.7370999999999999</v>
      </c>
    </row>
    <row r="179" spans="2:44" x14ac:dyDescent="0.25">
      <c r="B179" s="377"/>
      <c r="C179" s="23"/>
      <c r="D179" s="23"/>
      <c r="E179" s="585"/>
      <c r="AM179" s="562">
        <v>45743</v>
      </c>
      <c r="AN179" s="563">
        <v>481.17</v>
      </c>
      <c r="AO179" s="563">
        <v>931744</v>
      </c>
      <c r="AP179" s="563">
        <v>271.41392999999999</v>
      </c>
      <c r="AQ179" s="563">
        <v>130596.24069809999</v>
      </c>
      <c r="AR179" s="563">
        <v>2.7471000000000001</v>
      </c>
    </row>
    <row r="180" spans="2:44" x14ac:dyDescent="0.25">
      <c r="AM180" s="562">
        <v>45742</v>
      </c>
      <c r="AN180" s="563">
        <v>482.35</v>
      </c>
      <c r="AO180" s="563">
        <v>893001</v>
      </c>
      <c r="AP180" s="563">
        <v>271.41392999999999</v>
      </c>
      <c r="AQ180" s="563">
        <v>130916.5091355</v>
      </c>
      <c r="AR180" s="563">
        <v>2.7538999999999998</v>
      </c>
    </row>
    <row r="181" spans="2:44" x14ac:dyDescent="0.25">
      <c r="AM181" s="562">
        <v>45741</v>
      </c>
      <c r="AN181" s="563">
        <v>477.5</v>
      </c>
      <c r="AO181" s="563">
        <v>1018178</v>
      </c>
      <c r="AP181" s="563">
        <v>271.41392999999999</v>
      </c>
      <c r="AQ181" s="563">
        <v>129600.151575</v>
      </c>
      <c r="AR181" s="563">
        <v>2.7262</v>
      </c>
    </row>
    <row r="182" spans="2:44" x14ac:dyDescent="0.25">
      <c r="AM182" s="562">
        <v>45740</v>
      </c>
      <c r="AN182" s="563">
        <v>477.5</v>
      </c>
      <c r="AO182" s="563">
        <v>1018178</v>
      </c>
      <c r="AP182" s="563">
        <v>271.41392999999999</v>
      </c>
      <c r="AQ182" s="563">
        <v>129600.151575</v>
      </c>
      <c r="AR182" s="563">
        <v>2.7262</v>
      </c>
    </row>
    <row r="183" spans="2:44" x14ac:dyDescent="0.25">
      <c r="AM183" s="562">
        <v>45739</v>
      </c>
      <c r="AN183" s="563">
        <v>477.5</v>
      </c>
      <c r="AO183" s="563">
        <v>1018178</v>
      </c>
      <c r="AP183" s="563">
        <v>271.41392999999999</v>
      </c>
      <c r="AQ183" s="563">
        <v>129600.151575</v>
      </c>
      <c r="AR183" s="563">
        <v>2.7262</v>
      </c>
    </row>
    <row r="184" spans="2:44" x14ac:dyDescent="0.25">
      <c r="AM184" s="562">
        <v>45738</v>
      </c>
      <c r="AN184" s="563">
        <v>467.09</v>
      </c>
      <c r="AO184" s="563">
        <v>1314662</v>
      </c>
      <c r="AP184" s="563">
        <v>271.41392999999999</v>
      </c>
      <c r="AQ184" s="563">
        <v>126774.73256369999</v>
      </c>
      <c r="AR184" s="563">
        <v>2.6667000000000001</v>
      </c>
    </row>
    <row r="185" spans="2:44" x14ac:dyDescent="0.25">
      <c r="AM185" s="562">
        <v>45737</v>
      </c>
      <c r="AN185" s="563">
        <v>471.37</v>
      </c>
      <c r="AO185" s="563">
        <v>1679979</v>
      </c>
      <c r="AP185" s="563">
        <v>271.41392999999999</v>
      </c>
      <c r="AQ185" s="563">
        <v>127936.3841841</v>
      </c>
      <c r="AR185" s="563">
        <v>2.6911999999999998</v>
      </c>
    </row>
    <row r="186" spans="2:44" x14ac:dyDescent="0.25">
      <c r="AM186" s="562">
        <v>45736</v>
      </c>
      <c r="AN186" s="563">
        <v>475.5</v>
      </c>
      <c r="AO186" s="563">
        <v>1492326</v>
      </c>
      <c r="AP186" s="563">
        <v>271.41392999999999</v>
      </c>
      <c r="AQ186" s="563">
        <v>129057.32371499999</v>
      </c>
      <c r="AR186" s="563">
        <v>2.7147000000000001</v>
      </c>
    </row>
    <row r="187" spans="2:44" x14ac:dyDescent="0.25">
      <c r="AM187" s="562">
        <v>45735</v>
      </c>
      <c r="AN187" s="563">
        <v>488.78</v>
      </c>
      <c r="AO187" s="563">
        <v>2174137</v>
      </c>
      <c r="AP187" s="563">
        <v>271.41392999999999</v>
      </c>
      <c r="AQ187" s="563">
        <v>132661.7007054</v>
      </c>
      <c r="AR187" s="563">
        <v>2.7906</v>
      </c>
    </row>
    <row r="188" spans="2:44" x14ac:dyDescent="0.25">
      <c r="AM188" s="562">
        <v>45734</v>
      </c>
      <c r="AN188" s="563">
        <v>499.62</v>
      </c>
      <c r="AO188" s="563">
        <v>2615890</v>
      </c>
      <c r="AP188" s="563">
        <v>271.41392999999999</v>
      </c>
      <c r="AQ188" s="563">
        <v>135603.82770659999</v>
      </c>
      <c r="AR188" s="563">
        <v>2.8525</v>
      </c>
    </row>
    <row r="189" spans="2:44" x14ac:dyDescent="0.25">
      <c r="AM189" s="562">
        <v>45733</v>
      </c>
      <c r="AN189" s="563">
        <v>499.62</v>
      </c>
      <c r="AO189" s="563">
        <v>2615890</v>
      </c>
      <c r="AP189" s="563">
        <v>271.41392999999999</v>
      </c>
      <c r="AQ189" s="563">
        <v>135603.82770659999</v>
      </c>
      <c r="AR189" s="563">
        <v>2.8525</v>
      </c>
    </row>
    <row r="190" spans="2:44" x14ac:dyDescent="0.25">
      <c r="AM190" s="562">
        <v>45732</v>
      </c>
      <c r="AN190" s="563">
        <v>499.62</v>
      </c>
      <c r="AO190" s="563">
        <v>2615890</v>
      </c>
      <c r="AP190" s="563">
        <v>271.41392999999999</v>
      </c>
      <c r="AQ190" s="563">
        <v>135603.82770659999</v>
      </c>
      <c r="AR190" s="563">
        <v>2.8525</v>
      </c>
    </row>
    <row r="191" spans="2:44" x14ac:dyDescent="0.25">
      <c r="AM191" s="562">
        <v>45731</v>
      </c>
      <c r="AN191" s="563">
        <v>482.84</v>
      </c>
      <c r="AO191" s="563">
        <v>1695852</v>
      </c>
      <c r="AP191" s="563">
        <v>271.41392999999999</v>
      </c>
      <c r="AQ191" s="563">
        <v>131049.50196119999</v>
      </c>
      <c r="AR191" s="563">
        <v>2.7566999999999999</v>
      </c>
    </row>
    <row r="192" spans="2:44" x14ac:dyDescent="0.25">
      <c r="AM192" s="562">
        <v>45730</v>
      </c>
      <c r="AN192" s="563">
        <v>467.5</v>
      </c>
      <c r="AO192" s="563">
        <v>1291545</v>
      </c>
      <c r="AP192" s="563">
        <v>271.41392999999999</v>
      </c>
      <c r="AQ192" s="563">
        <v>126886.012275</v>
      </c>
      <c r="AR192" s="563">
        <v>2.6690999999999998</v>
      </c>
    </row>
    <row r="193" spans="39:44" x14ac:dyDescent="0.25">
      <c r="AM193" s="562">
        <v>45729</v>
      </c>
      <c r="AN193" s="563">
        <v>458.38</v>
      </c>
      <c r="AO193" s="563">
        <v>2325973</v>
      </c>
      <c r="AP193" s="563">
        <v>271.41392999999999</v>
      </c>
      <c r="AQ193" s="563">
        <v>124410.71723339999</v>
      </c>
      <c r="AR193" s="563">
        <v>2.617</v>
      </c>
    </row>
    <row r="194" spans="39:44" x14ac:dyDescent="0.25">
      <c r="AM194" s="562">
        <v>45728</v>
      </c>
      <c r="AN194" s="563">
        <v>465.83</v>
      </c>
      <c r="AO194" s="563">
        <v>1487749</v>
      </c>
      <c r="AP194" s="563">
        <v>271.41392999999999</v>
      </c>
      <c r="AQ194" s="563">
        <v>126432.75101189999</v>
      </c>
      <c r="AR194" s="563">
        <v>2.6595</v>
      </c>
    </row>
    <row r="195" spans="39:44" x14ac:dyDescent="0.25">
      <c r="AM195" s="562">
        <v>45727</v>
      </c>
      <c r="AN195" s="563">
        <v>480.79</v>
      </c>
      <c r="AO195" s="563">
        <v>1995901</v>
      </c>
      <c r="AP195" s="563">
        <v>271.41392999999999</v>
      </c>
      <c r="AQ195" s="563">
        <v>130493.1034047</v>
      </c>
      <c r="AR195" s="563">
        <v>2.7448999999999999</v>
      </c>
    </row>
    <row r="196" spans="39:44" x14ac:dyDescent="0.25">
      <c r="AM196" s="562">
        <v>45726</v>
      </c>
      <c r="AN196" s="563">
        <v>480.79</v>
      </c>
      <c r="AO196" s="563">
        <v>1995901</v>
      </c>
      <c r="AP196" s="563">
        <v>271.41392999999999</v>
      </c>
      <c r="AQ196" s="563">
        <v>130493.1034047</v>
      </c>
      <c r="AR196" s="563">
        <v>2.7448999999999999</v>
      </c>
    </row>
    <row r="197" spans="39:44" x14ac:dyDescent="0.25">
      <c r="AM197" s="562">
        <v>45725</v>
      </c>
      <c r="AN197" s="563">
        <v>480.79</v>
      </c>
      <c r="AO197" s="563">
        <v>1995901</v>
      </c>
      <c r="AP197" s="563">
        <v>271.41392999999999</v>
      </c>
      <c r="AQ197" s="563">
        <v>130493.1034047</v>
      </c>
      <c r="AR197" s="563">
        <v>2.7448999999999999</v>
      </c>
    </row>
    <row r="198" spans="39:44" x14ac:dyDescent="0.25">
      <c r="AM198" s="562">
        <v>45724</v>
      </c>
      <c r="AN198" s="563">
        <v>480.55</v>
      </c>
      <c r="AO198" s="563">
        <v>1328590</v>
      </c>
      <c r="AP198" s="563">
        <v>271.41392999999999</v>
      </c>
      <c r="AQ198" s="563">
        <v>130427.9640615</v>
      </c>
      <c r="AR198" s="563">
        <v>2.7435999999999998</v>
      </c>
    </row>
    <row r="199" spans="39:44" x14ac:dyDescent="0.25">
      <c r="AM199" s="562">
        <v>45723</v>
      </c>
      <c r="AN199" s="563">
        <v>478.52</v>
      </c>
      <c r="AO199" s="563">
        <v>1557775</v>
      </c>
      <c r="AP199" s="563">
        <v>272.35090000000002</v>
      </c>
      <c r="AQ199" s="563">
        <v>130325.35266800001</v>
      </c>
      <c r="AR199" s="563">
        <v>2.7320000000000002</v>
      </c>
    </row>
    <row r="200" spans="39:44" x14ac:dyDescent="0.25">
      <c r="AM200" s="562">
        <v>45722</v>
      </c>
      <c r="AN200" s="563">
        <v>487.59</v>
      </c>
      <c r="AO200" s="563">
        <v>1214842</v>
      </c>
      <c r="AP200" s="563">
        <v>272.35090000000002</v>
      </c>
      <c r="AQ200" s="563">
        <v>132795.575331</v>
      </c>
      <c r="AR200" s="563">
        <v>2.7837999999999998</v>
      </c>
    </row>
    <row r="201" spans="39:44" x14ac:dyDescent="0.25">
      <c r="AM201" s="562">
        <v>45721</v>
      </c>
      <c r="AN201" s="563">
        <v>484.55</v>
      </c>
      <c r="AO201" s="563">
        <v>1245878</v>
      </c>
      <c r="AP201" s="563">
        <v>272.35090000000002</v>
      </c>
      <c r="AQ201" s="563">
        <v>131967.62859500002</v>
      </c>
      <c r="AR201" s="563">
        <v>2.7664</v>
      </c>
    </row>
    <row r="202" spans="39:44" x14ac:dyDescent="0.25">
      <c r="AM202" s="562">
        <v>45720</v>
      </c>
      <c r="AN202" s="563">
        <v>489.98</v>
      </c>
      <c r="AO202" s="563">
        <v>1104505</v>
      </c>
      <c r="AP202" s="563">
        <v>272.35090000000002</v>
      </c>
      <c r="AQ202" s="563">
        <v>133446.49398200001</v>
      </c>
      <c r="AR202" s="563">
        <v>2.7974000000000001</v>
      </c>
    </row>
    <row r="203" spans="39:44" x14ac:dyDescent="0.25">
      <c r="AM203" s="562">
        <v>45719</v>
      </c>
      <c r="AN203" s="563">
        <v>489.98</v>
      </c>
      <c r="AO203" s="563">
        <v>1104505</v>
      </c>
      <c r="AP203" s="563">
        <v>272.35090000000002</v>
      </c>
      <c r="AQ203" s="563">
        <v>133446.49398200001</v>
      </c>
      <c r="AR203" s="563">
        <v>2.7974000000000001</v>
      </c>
    </row>
    <row r="204" spans="39:44" x14ac:dyDescent="0.25">
      <c r="AM204" s="562">
        <v>45718</v>
      </c>
      <c r="AN204" s="563">
        <v>489.98</v>
      </c>
      <c r="AO204" s="563">
        <v>1104505</v>
      </c>
      <c r="AP204" s="563">
        <v>272.35090000000002</v>
      </c>
      <c r="AQ204" s="563">
        <v>133446.49398200001</v>
      </c>
      <c r="AR204" s="563">
        <v>2.7974000000000001</v>
      </c>
    </row>
    <row r="205" spans="39:44" x14ac:dyDescent="0.25">
      <c r="AM205" s="562">
        <v>45717</v>
      </c>
      <c r="AN205" s="563">
        <v>495.79</v>
      </c>
      <c r="AO205" s="563">
        <v>1514546</v>
      </c>
      <c r="AP205" s="563">
        <v>272.35090000000002</v>
      </c>
      <c r="AQ205" s="563">
        <v>135028.85271100001</v>
      </c>
      <c r="AR205" s="563">
        <v>2.8306</v>
      </c>
    </row>
    <row r="206" spans="39:44" x14ac:dyDescent="0.25">
      <c r="AM206" s="562">
        <v>45716</v>
      </c>
      <c r="AN206" s="563">
        <v>509.27</v>
      </c>
      <c r="AO206" s="563">
        <v>2095585</v>
      </c>
      <c r="AP206" s="563">
        <v>272.35090000000002</v>
      </c>
      <c r="AQ206" s="563">
        <v>138700.14284300001</v>
      </c>
      <c r="AR206" s="563">
        <v>2.9075000000000002</v>
      </c>
    </row>
    <row r="207" spans="39:44" x14ac:dyDescent="0.25">
      <c r="AM207" s="562">
        <v>45715</v>
      </c>
      <c r="AN207" s="563">
        <v>501.56</v>
      </c>
      <c r="AO207" s="563">
        <v>2367988</v>
      </c>
      <c r="AP207" s="563">
        <v>272.35090000000002</v>
      </c>
      <c r="AQ207" s="563">
        <v>136600.317404</v>
      </c>
      <c r="AR207" s="563">
        <v>2.8635000000000002</v>
      </c>
    </row>
    <row r="208" spans="39:44" x14ac:dyDescent="0.25">
      <c r="AM208" s="562">
        <v>45714</v>
      </c>
      <c r="AN208" s="563">
        <v>480.22</v>
      </c>
      <c r="AO208" s="563">
        <v>1919441</v>
      </c>
      <c r="AP208" s="563">
        <v>272.35090000000002</v>
      </c>
      <c r="AQ208" s="563">
        <v>130788.34919800003</v>
      </c>
      <c r="AR208" s="563">
        <v>2.7416999999999998</v>
      </c>
    </row>
    <row r="209" spans="39:44" x14ac:dyDescent="0.25">
      <c r="AM209" s="562">
        <v>45713</v>
      </c>
      <c r="AN209" s="563">
        <v>480.22</v>
      </c>
      <c r="AO209" s="563">
        <v>1919441</v>
      </c>
      <c r="AP209" s="563">
        <v>272.35090000000002</v>
      </c>
      <c r="AQ209" s="563">
        <v>130788.34919800003</v>
      </c>
      <c r="AR209" s="563">
        <v>2.7416999999999998</v>
      </c>
    </row>
    <row r="210" spans="39:44" x14ac:dyDescent="0.25">
      <c r="AM210" s="562">
        <v>45712</v>
      </c>
      <c r="AN210" s="563">
        <v>480.22</v>
      </c>
      <c r="AO210" s="563">
        <v>1919441</v>
      </c>
      <c r="AP210" s="563">
        <v>272.35090000000002</v>
      </c>
      <c r="AQ210" s="563">
        <v>130788.34919800003</v>
      </c>
      <c r="AR210" s="563">
        <v>2.7416999999999998</v>
      </c>
    </row>
    <row r="211" spans="39:44" x14ac:dyDescent="0.25">
      <c r="AM211" s="562">
        <v>45711</v>
      </c>
      <c r="AN211" s="563">
        <v>480.22</v>
      </c>
      <c r="AO211" s="563">
        <v>1919441</v>
      </c>
      <c r="AP211" s="563">
        <v>272.35090000000002</v>
      </c>
      <c r="AQ211" s="563">
        <v>130788.34919800003</v>
      </c>
      <c r="AR211" s="563">
        <v>2.7416999999999998</v>
      </c>
    </row>
    <row r="212" spans="39:44" x14ac:dyDescent="0.25">
      <c r="AM212" s="562">
        <v>45710</v>
      </c>
      <c r="AN212" s="563">
        <v>466.22</v>
      </c>
      <c r="AO212" s="563">
        <v>3058590</v>
      </c>
      <c r="AP212" s="563">
        <v>272.35090000000002</v>
      </c>
      <c r="AQ212" s="563">
        <v>126975.43659800001</v>
      </c>
      <c r="AR212" s="563">
        <v>2.6617999999999999</v>
      </c>
    </row>
    <row r="213" spans="39:44" x14ac:dyDescent="0.25">
      <c r="AM213" s="562">
        <v>45709</v>
      </c>
      <c r="AN213" s="563">
        <v>476.56</v>
      </c>
      <c r="AO213" s="563">
        <v>2038906</v>
      </c>
      <c r="AP213" s="563">
        <v>272.35090000000002</v>
      </c>
      <c r="AQ213" s="563">
        <v>129791.54490400001</v>
      </c>
      <c r="AR213" s="563">
        <v>2.7208000000000001</v>
      </c>
    </row>
    <row r="214" spans="39:44" x14ac:dyDescent="0.25">
      <c r="AM214" s="562">
        <v>45708</v>
      </c>
      <c r="AN214" s="563">
        <v>474.3</v>
      </c>
      <c r="AO214" s="563">
        <v>1489074</v>
      </c>
      <c r="AP214" s="563">
        <v>272.35090000000002</v>
      </c>
      <c r="AQ214" s="563">
        <v>129176.03187000002</v>
      </c>
      <c r="AR214" s="563">
        <v>2.7079</v>
      </c>
    </row>
    <row r="215" spans="39:44" x14ac:dyDescent="0.25">
      <c r="AM215" s="562">
        <v>45707</v>
      </c>
      <c r="AN215" s="563">
        <v>469.98</v>
      </c>
      <c r="AO215" s="563">
        <v>1349051</v>
      </c>
      <c r="AP215" s="563">
        <v>272.35090000000002</v>
      </c>
      <c r="AQ215" s="563">
        <v>127999.47598200002</v>
      </c>
      <c r="AR215" s="563">
        <v>2.6831999999999998</v>
      </c>
    </row>
    <row r="216" spans="39:44" x14ac:dyDescent="0.25">
      <c r="AM216" s="562">
        <v>45706</v>
      </c>
      <c r="AN216" s="563">
        <v>465.6</v>
      </c>
      <c r="AO216" s="563">
        <v>898075</v>
      </c>
      <c r="AP216" s="563">
        <v>272.35090000000002</v>
      </c>
      <c r="AQ216" s="563">
        <v>126806.57904000001</v>
      </c>
      <c r="AR216" s="563">
        <v>2.6581999999999999</v>
      </c>
    </row>
    <row r="217" spans="39:44" x14ac:dyDescent="0.25">
      <c r="AM217" s="562">
        <v>45705</v>
      </c>
      <c r="AN217" s="563">
        <v>465.6</v>
      </c>
      <c r="AO217" s="563">
        <v>898075</v>
      </c>
      <c r="AP217" s="563">
        <v>272.35090000000002</v>
      </c>
      <c r="AQ217" s="563">
        <v>126806.57904000001</v>
      </c>
      <c r="AR217" s="563">
        <v>2.6581999999999999</v>
      </c>
    </row>
    <row r="218" spans="39:44" x14ac:dyDescent="0.25">
      <c r="AM218" s="562">
        <v>45704</v>
      </c>
      <c r="AN218" s="563">
        <v>465.6</v>
      </c>
      <c r="AO218" s="563">
        <v>898075</v>
      </c>
      <c r="AP218" s="563">
        <v>272.35090000000002</v>
      </c>
      <c r="AQ218" s="563">
        <v>126806.57904000001</v>
      </c>
      <c r="AR218" s="563">
        <v>2.6581999999999999</v>
      </c>
    </row>
    <row r="219" spans="39:44" x14ac:dyDescent="0.25">
      <c r="AM219" s="562">
        <v>45703</v>
      </c>
      <c r="AN219" s="563">
        <v>464.98</v>
      </c>
      <c r="AO219" s="563">
        <v>809354</v>
      </c>
      <c r="AP219" s="563">
        <v>272.35090000000002</v>
      </c>
      <c r="AQ219" s="563">
        <v>126637.72148200002</v>
      </c>
      <c r="AR219" s="563">
        <v>2.6547000000000001</v>
      </c>
    </row>
    <row r="220" spans="39:44" x14ac:dyDescent="0.25">
      <c r="AM220" s="562">
        <v>45702</v>
      </c>
      <c r="AN220" s="563">
        <v>467.68</v>
      </c>
      <c r="AO220" s="563">
        <v>1084659</v>
      </c>
      <c r="AP220" s="563">
        <v>272.35090000000002</v>
      </c>
      <c r="AQ220" s="563">
        <v>127373.06891200002</v>
      </c>
      <c r="AR220" s="563">
        <v>2.6701000000000001</v>
      </c>
    </row>
    <row r="221" spans="39:44" x14ac:dyDescent="0.25">
      <c r="AM221" s="562">
        <v>45701</v>
      </c>
      <c r="AN221" s="563">
        <v>472.27</v>
      </c>
      <c r="AO221" s="563">
        <v>1045683</v>
      </c>
      <c r="AP221" s="563">
        <v>272.35090000000002</v>
      </c>
      <c r="AQ221" s="563">
        <v>128623.159543</v>
      </c>
      <c r="AR221" s="563">
        <v>2.6962999999999999</v>
      </c>
    </row>
    <row r="222" spans="39:44" x14ac:dyDescent="0.25">
      <c r="AM222" s="562">
        <v>45700</v>
      </c>
      <c r="AN222" s="563">
        <v>467.05</v>
      </c>
      <c r="AO222" s="563">
        <v>1397663</v>
      </c>
      <c r="AP222" s="563">
        <v>272.35090000000002</v>
      </c>
      <c r="AQ222" s="563">
        <v>127201.48784500001</v>
      </c>
      <c r="AR222" s="563">
        <v>2.6665000000000001</v>
      </c>
    </row>
    <row r="223" spans="39:44" x14ac:dyDescent="0.25">
      <c r="AM223" s="562">
        <v>45699</v>
      </c>
      <c r="AN223" s="563">
        <v>476.56</v>
      </c>
      <c r="AO223" s="563">
        <v>1400758</v>
      </c>
      <c r="AP223" s="563">
        <v>272.35090000000002</v>
      </c>
      <c r="AQ223" s="563">
        <v>129791.54490400001</v>
      </c>
      <c r="AR223" s="563">
        <v>2.7208000000000001</v>
      </c>
    </row>
    <row r="224" spans="39:44" x14ac:dyDescent="0.25">
      <c r="AM224" s="562">
        <v>45698</v>
      </c>
      <c r="AN224" s="563">
        <v>476.56</v>
      </c>
      <c r="AO224" s="563">
        <v>1400758</v>
      </c>
      <c r="AP224" s="563">
        <v>272.35090000000002</v>
      </c>
      <c r="AQ224" s="563">
        <v>129791.54490400001</v>
      </c>
      <c r="AR224" s="563">
        <v>2.7208000000000001</v>
      </c>
    </row>
    <row r="225" spans="39:44" x14ac:dyDescent="0.25">
      <c r="AM225" s="562">
        <v>45697</v>
      </c>
      <c r="AN225" s="563">
        <v>476.56</v>
      </c>
      <c r="AO225" s="563">
        <v>1400758</v>
      </c>
      <c r="AP225" s="563">
        <v>272.35090000000002</v>
      </c>
      <c r="AQ225" s="563">
        <v>129791.54490400001</v>
      </c>
      <c r="AR225" s="563">
        <v>2.7208000000000001</v>
      </c>
    </row>
    <row r="226" spans="39:44" x14ac:dyDescent="0.25">
      <c r="AM226" s="562">
        <v>45696</v>
      </c>
      <c r="AN226" s="563">
        <v>479.99</v>
      </c>
      <c r="AO226" s="563">
        <v>1122301</v>
      </c>
      <c r="AP226" s="563">
        <v>272.35090000000002</v>
      </c>
      <c r="AQ226" s="563">
        <v>130725.70849100001</v>
      </c>
      <c r="AR226" s="563">
        <v>2.7404000000000002</v>
      </c>
    </row>
    <row r="227" spans="39:44" x14ac:dyDescent="0.25">
      <c r="AM227" s="562">
        <v>45695</v>
      </c>
      <c r="AN227" s="563">
        <v>478.16</v>
      </c>
      <c r="AO227" s="563">
        <v>977036</v>
      </c>
      <c r="AP227" s="563">
        <v>272.35090000000002</v>
      </c>
      <c r="AQ227" s="563">
        <v>130227.30634400001</v>
      </c>
      <c r="AR227" s="563">
        <v>2.7299000000000002</v>
      </c>
    </row>
    <row r="228" spans="39:44" x14ac:dyDescent="0.25">
      <c r="AM228" s="562">
        <v>45694</v>
      </c>
      <c r="AN228" s="563">
        <v>479.99</v>
      </c>
      <c r="AO228" s="563">
        <v>1642409</v>
      </c>
      <c r="AP228" s="563">
        <v>272.35090000000002</v>
      </c>
      <c r="AQ228" s="563">
        <v>130725.70849100001</v>
      </c>
      <c r="AR228" s="563">
        <v>2.7404000000000002</v>
      </c>
    </row>
    <row r="229" spans="39:44" x14ac:dyDescent="0.25">
      <c r="AM229" s="562">
        <v>45693</v>
      </c>
      <c r="AN229" s="563">
        <v>484.15</v>
      </c>
      <c r="AO229" s="563">
        <v>1418544</v>
      </c>
      <c r="AP229" s="563">
        <v>272.35090000000002</v>
      </c>
      <c r="AQ229" s="563">
        <v>131858.68823500001</v>
      </c>
      <c r="AR229" s="563">
        <v>2.7641</v>
      </c>
    </row>
    <row r="230" spans="39:44" x14ac:dyDescent="0.25">
      <c r="AM230" s="562">
        <v>45692</v>
      </c>
      <c r="AN230" s="563">
        <v>478.77</v>
      </c>
      <c r="AO230" s="563">
        <v>1400811</v>
      </c>
      <c r="AP230" s="563">
        <v>272.35090000000002</v>
      </c>
      <c r="AQ230" s="563">
        <v>130393.44039300001</v>
      </c>
      <c r="AR230" s="563">
        <v>2.5552999999999999</v>
      </c>
    </row>
    <row r="231" spans="39:44" x14ac:dyDescent="0.25">
      <c r="AM231" s="562">
        <v>45691</v>
      </c>
      <c r="AN231" s="563">
        <v>478.77</v>
      </c>
      <c r="AO231" s="563">
        <v>1400811</v>
      </c>
      <c r="AP231" s="563">
        <v>272.35090000000002</v>
      </c>
      <c r="AQ231" s="563">
        <v>130393.44039300001</v>
      </c>
      <c r="AR231" s="563">
        <v>2.5552999999999999</v>
      </c>
    </row>
    <row r="232" spans="39:44" x14ac:dyDescent="0.25">
      <c r="AM232" s="562">
        <v>45690</v>
      </c>
      <c r="AN232" s="563">
        <v>478.77</v>
      </c>
      <c r="AO232" s="563">
        <v>1400811</v>
      </c>
      <c r="AP232" s="563">
        <v>272.35090000000002</v>
      </c>
      <c r="AQ232" s="563">
        <v>130393.44039300001</v>
      </c>
      <c r="AR232" s="563">
        <v>2.5552999999999999</v>
      </c>
    </row>
    <row r="233" spans="39:44" x14ac:dyDescent="0.25">
      <c r="AM233" s="562">
        <v>45689</v>
      </c>
      <c r="AN233" s="563">
        <v>474.72</v>
      </c>
      <c r="AO233" s="563">
        <v>1934695</v>
      </c>
      <c r="AP233" s="563">
        <v>272.35090000000002</v>
      </c>
      <c r="AQ233" s="563">
        <v>129290.41924800002</v>
      </c>
      <c r="AR233" s="563">
        <v>2.5337000000000001</v>
      </c>
    </row>
    <row r="234" spans="39:44" x14ac:dyDescent="0.25">
      <c r="AM234" s="562">
        <v>45688</v>
      </c>
      <c r="AN234" s="563">
        <v>459.75</v>
      </c>
      <c r="AO234" s="563">
        <v>1132229</v>
      </c>
      <c r="AP234" s="563">
        <v>272.35090000000002</v>
      </c>
      <c r="AQ234" s="563">
        <v>125213.32627500001</v>
      </c>
      <c r="AR234" s="563">
        <v>2.4538000000000002</v>
      </c>
    </row>
    <row r="235" spans="39:44" x14ac:dyDescent="0.25">
      <c r="AM235" s="562">
        <v>45687</v>
      </c>
      <c r="AN235" s="563">
        <v>463.15</v>
      </c>
      <c r="AO235" s="563">
        <v>1733913</v>
      </c>
      <c r="AP235" s="563">
        <v>272.35090000000002</v>
      </c>
      <c r="AQ235" s="563">
        <v>126139.31933500001</v>
      </c>
      <c r="AR235" s="563">
        <v>2.4719000000000002</v>
      </c>
    </row>
    <row r="236" spans="39:44" x14ac:dyDescent="0.25">
      <c r="AM236" s="562">
        <v>45686</v>
      </c>
      <c r="AN236" s="563">
        <v>455.44</v>
      </c>
      <c r="AO236" s="563">
        <v>2315715</v>
      </c>
      <c r="AP236" s="563">
        <v>272.35090000000002</v>
      </c>
      <c r="AQ236" s="563">
        <v>124039.49389600001</v>
      </c>
      <c r="AR236" s="563">
        <v>2.4308000000000001</v>
      </c>
    </row>
    <row r="237" spans="39:44" x14ac:dyDescent="0.25">
      <c r="AM237" s="562">
        <v>45685</v>
      </c>
      <c r="AN237" s="563">
        <v>455.44</v>
      </c>
      <c r="AO237" s="563">
        <v>2315715</v>
      </c>
      <c r="AP237" s="563">
        <v>272.35090000000002</v>
      </c>
      <c r="AQ237" s="563">
        <v>124039.49389600001</v>
      </c>
      <c r="AR237" s="563">
        <v>2.4308000000000001</v>
      </c>
    </row>
    <row r="238" spans="39:44" x14ac:dyDescent="0.25">
      <c r="AM238" s="562">
        <v>45684</v>
      </c>
      <c r="AN238" s="563">
        <v>455.44</v>
      </c>
      <c r="AO238" s="563">
        <v>2315715</v>
      </c>
      <c r="AP238" s="563">
        <v>272.35090000000002</v>
      </c>
      <c r="AQ238" s="563">
        <v>124039.49389600001</v>
      </c>
      <c r="AR238" s="563">
        <v>2.4308000000000001</v>
      </c>
    </row>
    <row r="239" spans="39:44" x14ac:dyDescent="0.25">
      <c r="AM239" s="562">
        <v>45683</v>
      </c>
      <c r="AN239" s="563">
        <v>455.44</v>
      </c>
      <c r="AO239" s="563">
        <v>2315715</v>
      </c>
      <c r="AP239" s="563">
        <v>272.35090000000002</v>
      </c>
      <c r="AQ239" s="563">
        <v>124039.49389600001</v>
      </c>
      <c r="AR239" s="563">
        <v>2.4308000000000001</v>
      </c>
    </row>
    <row r="240" spans="39:44" x14ac:dyDescent="0.25">
      <c r="AM240" s="562">
        <v>45682</v>
      </c>
      <c r="AN240" s="563">
        <v>439.11</v>
      </c>
      <c r="AO240" s="563">
        <v>1181427</v>
      </c>
      <c r="AP240" s="563">
        <v>272.35090000000002</v>
      </c>
      <c r="AQ240" s="563">
        <v>119592.00369900001</v>
      </c>
      <c r="AR240" s="563">
        <v>2.3435999999999999</v>
      </c>
    </row>
    <row r="241" spans="39:44" x14ac:dyDescent="0.25">
      <c r="AM241" s="562">
        <v>45681</v>
      </c>
      <c r="AN241" s="563">
        <v>428.88</v>
      </c>
      <c r="AO241" s="563">
        <v>1432095</v>
      </c>
      <c r="AP241" s="563">
        <v>272.35090000000002</v>
      </c>
      <c r="AQ241" s="563">
        <v>116805.853992</v>
      </c>
      <c r="AR241" s="563">
        <v>2.2890000000000001</v>
      </c>
    </row>
    <row r="242" spans="39:44" x14ac:dyDescent="0.25">
      <c r="AM242" s="562">
        <v>45680</v>
      </c>
      <c r="AN242" s="563">
        <v>432.31</v>
      </c>
      <c r="AO242" s="563">
        <v>1224705</v>
      </c>
      <c r="AP242" s="563">
        <v>272.35090000000002</v>
      </c>
      <c r="AQ242" s="563">
        <v>117740.01757900001</v>
      </c>
      <c r="AR242" s="563">
        <v>2.3073000000000001</v>
      </c>
    </row>
    <row r="243" spans="39:44" x14ac:dyDescent="0.25">
      <c r="AM243" s="562">
        <v>45679</v>
      </c>
      <c r="AN243" s="563">
        <v>429.91</v>
      </c>
      <c r="AO243" s="563">
        <v>1988831</v>
      </c>
      <c r="AP243" s="563">
        <v>272.35090000000002</v>
      </c>
      <c r="AQ243" s="563">
        <v>117086.37541900002</v>
      </c>
      <c r="AR243" s="563">
        <v>2.2945000000000002</v>
      </c>
    </row>
    <row r="244" spans="39:44" x14ac:dyDescent="0.25">
      <c r="AM244" s="562">
        <v>45678</v>
      </c>
      <c r="AN244" s="563">
        <v>408.57</v>
      </c>
      <c r="AO244" s="563">
        <v>1699154</v>
      </c>
      <c r="AP244" s="563">
        <v>272.35090000000002</v>
      </c>
      <c r="AQ244" s="563">
        <v>111274.40721300001</v>
      </c>
      <c r="AR244" s="563">
        <v>2.1806000000000001</v>
      </c>
    </row>
    <row r="245" spans="39:44" x14ac:dyDescent="0.25">
      <c r="AM245" s="562">
        <v>45677</v>
      </c>
      <c r="AN245" s="563">
        <v>408.57</v>
      </c>
      <c r="AO245" s="563">
        <v>1699154</v>
      </c>
      <c r="AP245" s="563">
        <v>272.35090000000002</v>
      </c>
      <c r="AQ245" s="563">
        <v>111274.40721300001</v>
      </c>
      <c r="AR245" s="563">
        <v>2.1806000000000001</v>
      </c>
    </row>
    <row r="246" spans="39:44" x14ac:dyDescent="0.25">
      <c r="AM246" s="562">
        <v>45676</v>
      </c>
      <c r="AN246" s="563">
        <v>408.57</v>
      </c>
      <c r="AO246" s="563">
        <v>1699154</v>
      </c>
      <c r="AP246" s="563">
        <v>272.35090000000002</v>
      </c>
      <c r="AQ246" s="563">
        <v>111274.40721300001</v>
      </c>
      <c r="AR246" s="563">
        <v>2.1806000000000001</v>
      </c>
    </row>
    <row r="247" spans="39:44" x14ac:dyDescent="0.25">
      <c r="AM247" s="562">
        <v>45675</v>
      </c>
      <c r="AN247" s="563">
        <v>410</v>
      </c>
      <c r="AO247" s="563">
        <v>878065</v>
      </c>
      <c r="AP247" s="563">
        <v>271.57528000000002</v>
      </c>
      <c r="AQ247" s="563">
        <v>111345.86480000001</v>
      </c>
      <c r="AR247" s="563">
        <v>2.1882999999999999</v>
      </c>
    </row>
    <row r="248" spans="39:44" x14ac:dyDescent="0.25">
      <c r="AM248" s="562">
        <v>45674</v>
      </c>
      <c r="AN248" s="563">
        <v>410</v>
      </c>
      <c r="AO248" s="563">
        <v>878065</v>
      </c>
      <c r="AP248" s="563">
        <v>271.57528000000002</v>
      </c>
      <c r="AQ248" s="563">
        <v>111345.86480000001</v>
      </c>
      <c r="AR248" s="563">
        <v>2.1882999999999999</v>
      </c>
    </row>
    <row r="249" spans="39:44" x14ac:dyDescent="0.25">
      <c r="AM249" s="562">
        <v>45673</v>
      </c>
      <c r="AN249" s="563">
        <v>413.27</v>
      </c>
      <c r="AO249" s="563">
        <v>1223518</v>
      </c>
      <c r="AP249" s="563">
        <v>271.57528000000002</v>
      </c>
      <c r="AQ249" s="563">
        <v>112233.9159656</v>
      </c>
      <c r="AR249" s="563">
        <v>2.2057000000000002</v>
      </c>
    </row>
    <row r="250" spans="39:44" x14ac:dyDescent="0.25">
      <c r="AM250" s="562">
        <v>45672</v>
      </c>
      <c r="AN250" s="563">
        <v>418</v>
      </c>
      <c r="AO250" s="563">
        <v>1077951</v>
      </c>
      <c r="AP250" s="563">
        <v>271.57528000000002</v>
      </c>
      <c r="AQ250" s="563">
        <v>113518.46704</v>
      </c>
      <c r="AR250" s="563">
        <v>2.2309999999999999</v>
      </c>
    </row>
    <row r="251" spans="39:44" x14ac:dyDescent="0.25">
      <c r="AM251" s="562">
        <v>45671</v>
      </c>
      <c r="AN251" s="563">
        <v>422.22</v>
      </c>
      <c r="AO251" s="563">
        <v>875122</v>
      </c>
      <c r="AP251" s="563">
        <v>271.57528000000002</v>
      </c>
      <c r="AQ251" s="563">
        <v>114664.51472160002</v>
      </c>
      <c r="AR251" s="563">
        <v>2.2534999999999998</v>
      </c>
    </row>
    <row r="252" spans="39:44" x14ac:dyDescent="0.25">
      <c r="AM252" s="562">
        <v>45670</v>
      </c>
      <c r="AN252" s="563">
        <v>422.22</v>
      </c>
      <c r="AO252" s="563">
        <v>875122</v>
      </c>
      <c r="AP252" s="563">
        <v>271.57528000000002</v>
      </c>
      <c r="AQ252" s="563">
        <v>114664.51472160002</v>
      </c>
      <c r="AR252" s="563">
        <v>2.2534999999999998</v>
      </c>
    </row>
    <row r="253" spans="39:44" x14ac:dyDescent="0.25">
      <c r="AM253" s="562">
        <v>45669</v>
      </c>
      <c r="AN253" s="563">
        <v>422.22</v>
      </c>
      <c r="AO253" s="563">
        <v>875122</v>
      </c>
      <c r="AP253" s="563">
        <v>271.57528000000002</v>
      </c>
      <c r="AQ253" s="563">
        <v>114664.51472160002</v>
      </c>
      <c r="AR253" s="563">
        <v>2.2534999999999998</v>
      </c>
    </row>
    <row r="254" spans="39:44" x14ac:dyDescent="0.25">
      <c r="AM254" s="562">
        <v>45668</v>
      </c>
      <c r="AN254" s="563">
        <v>418.18</v>
      </c>
      <c r="AO254" s="563">
        <v>1005316</v>
      </c>
      <c r="AP254" s="563">
        <v>271.57528000000002</v>
      </c>
      <c r="AQ254" s="563">
        <v>113567.3505904</v>
      </c>
      <c r="AR254" s="563">
        <v>2.2319</v>
      </c>
    </row>
    <row r="255" spans="39:44" x14ac:dyDescent="0.25">
      <c r="AM255" s="562">
        <v>45667</v>
      </c>
      <c r="AN255" s="563">
        <v>423.7</v>
      </c>
      <c r="AO255" s="563">
        <v>772818</v>
      </c>
      <c r="AP255" s="563">
        <v>271.57528000000002</v>
      </c>
      <c r="AQ255" s="563">
        <v>115066.446136</v>
      </c>
      <c r="AR255" s="563">
        <v>2.2614000000000001</v>
      </c>
    </row>
    <row r="256" spans="39:44" x14ac:dyDescent="0.25">
      <c r="AM256" s="562">
        <v>45666</v>
      </c>
      <c r="AN256" s="563">
        <v>423.7</v>
      </c>
      <c r="AO256" s="563">
        <v>772818</v>
      </c>
      <c r="AP256" s="563">
        <v>271.57528000000002</v>
      </c>
      <c r="AQ256" s="563">
        <v>115066.446136</v>
      </c>
      <c r="AR256" s="563">
        <v>2.2614000000000001</v>
      </c>
    </row>
    <row r="257" spans="39:44" x14ac:dyDescent="0.25">
      <c r="AM257" s="562">
        <v>45665</v>
      </c>
      <c r="AN257" s="563">
        <v>424.64</v>
      </c>
      <c r="AO257" s="563">
        <v>792568</v>
      </c>
      <c r="AP257" s="563">
        <v>271.57528000000002</v>
      </c>
      <c r="AQ257" s="563">
        <v>115321.7268992</v>
      </c>
      <c r="AR257" s="563">
        <v>2.2664</v>
      </c>
    </row>
    <row r="258" spans="39:44" x14ac:dyDescent="0.25">
      <c r="AM258" s="562">
        <v>45664</v>
      </c>
      <c r="AN258" s="563">
        <v>430.06</v>
      </c>
      <c r="AO258" s="563">
        <v>735346</v>
      </c>
      <c r="AP258" s="563">
        <v>271.57528000000002</v>
      </c>
      <c r="AQ258" s="563">
        <v>116793.66491680001</v>
      </c>
      <c r="AR258" s="563">
        <v>2.2953000000000001</v>
      </c>
    </row>
    <row r="259" spans="39:44" x14ac:dyDescent="0.25">
      <c r="AM259" s="562">
        <v>45663</v>
      </c>
      <c r="AN259" s="563">
        <v>430.06</v>
      </c>
      <c r="AO259" s="563">
        <v>735346</v>
      </c>
      <c r="AP259" s="563">
        <v>271.57528000000002</v>
      </c>
      <c r="AQ259" s="563">
        <v>116793.66491680001</v>
      </c>
      <c r="AR259" s="563">
        <v>2.2953000000000001</v>
      </c>
    </row>
    <row r="260" spans="39:44" x14ac:dyDescent="0.25">
      <c r="AM260" s="562">
        <v>45662</v>
      </c>
      <c r="AN260" s="563">
        <v>430.06</v>
      </c>
      <c r="AO260" s="563">
        <v>735346</v>
      </c>
      <c r="AP260" s="563">
        <v>271.57528000000002</v>
      </c>
      <c r="AQ260" s="563">
        <v>116793.66491680001</v>
      </c>
      <c r="AR260" s="563">
        <v>2.2953000000000001</v>
      </c>
    </row>
    <row r="261" spans="39:44" x14ac:dyDescent="0.25">
      <c r="AM261" s="562">
        <v>45661</v>
      </c>
      <c r="AN261" s="563">
        <v>433.84</v>
      </c>
      <c r="AO261" s="563">
        <v>444867</v>
      </c>
      <c r="AP261" s="563">
        <v>271.57528000000002</v>
      </c>
      <c r="AQ261" s="563">
        <v>117820.21947520001</v>
      </c>
      <c r="AR261" s="563">
        <v>2.3155000000000001</v>
      </c>
    </row>
    <row r="262" spans="39:44" x14ac:dyDescent="0.25">
      <c r="AM262" s="562">
        <v>45660</v>
      </c>
      <c r="AN262" s="563">
        <v>432.84</v>
      </c>
      <c r="AO262" s="563">
        <v>383167</v>
      </c>
      <c r="AP262" s="563">
        <v>271.57528000000002</v>
      </c>
      <c r="AQ262" s="563">
        <v>117548.6441952</v>
      </c>
      <c r="AR262" s="563">
        <v>2.3102</v>
      </c>
    </row>
    <row r="263" spans="39:44" x14ac:dyDescent="0.25">
      <c r="AM263" s="562">
        <v>45659</v>
      </c>
      <c r="AN263" s="563">
        <v>432.84</v>
      </c>
      <c r="AO263" s="563">
        <v>383167</v>
      </c>
      <c r="AP263" s="563">
        <v>271.57528000000002</v>
      </c>
      <c r="AQ263" s="563">
        <v>117548.6441952</v>
      </c>
      <c r="AR263" s="563">
        <v>2.3102</v>
      </c>
    </row>
    <row r="264" spans="39:44" x14ac:dyDescent="0.25">
      <c r="AM264" s="562">
        <v>45658</v>
      </c>
      <c r="AN264" s="563">
        <v>432.38</v>
      </c>
      <c r="AO264" s="563">
        <v>1094273</v>
      </c>
      <c r="AP264" s="563">
        <v>271.57528000000002</v>
      </c>
      <c r="AQ264" s="563">
        <v>117423.7195664</v>
      </c>
      <c r="AR264" s="563">
        <v>2.3077000000000001</v>
      </c>
    </row>
    <row r="265" spans="39:44" x14ac:dyDescent="0.25">
      <c r="AM265" s="562">
        <v>45657</v>
      </c>
      <c r="AN265" s="563">
        <v>432.49</v>
      </c>
      <c r="AO265" s="563">
        <v>2446431</v>
      </c>
      <c r="AP265" s="563">
        <v>271.57528000000002</v>
      </c>
      <c r="AQ265" s="563">
        <v>117453.59284720001</v>
      </c>
      <c r="AR265" s="563">
        <v>2.3083</v>
      </c>
    </row>
    <row r="266" spans="39:44" x14ac:dyDescent="0.25">
      <c r="AM266" s="562">
        <v>45656</v>
      </c>
      <c r="AN266" s="563">
        <v>432.49</v>
      </c>
      <c r="AO266" s="563">
        <v>2446431</v>
      </c>
      <c r="AP266" s="563">
        <v>271.57528000000002</v>
      </c>
      <c r="AQ266" s="563">
        <v>117453.59284720001</v>
      </c>
      <c r="AR266" s="563">
        <v>2.3083</v>
      </c>
    </row>
    <row r="267" spans="39:44" x14ac:dyDescent="0.25">
      <c r="AM267" s="562">
        <v>45655</v>
      </c>
      <c r="AN267" s="563">
        <v>432.49</v>
      </c>
      <c r="AO267" s="563">
        <v>2446431</v>
      </c>
      <c r="AP267" s="563">
        <v>271.57528000000002</v>
      </c>
      <c r="AQ267" s="563">
        <v>117453.59284720001</v>
      </c>
      <c r="AR267" s="563">
        <v>2.3083</v>
      </c>
    </row>
    <row r="268" spans="39:44" x14ac:dyDescent="0.25">
      <c r="AM268" s="562">
        <v>45654</v>
      </c>
      <c r="AN268" s="563">
        <v>426.63</v>
      </c>
      <c r="AO268" s="563">
        <v>1757472</v>
      </c>
      <c r="AP268" s="563">
        <v>271.57528000000002</v>
      </c>
      <c r="AQ268" s="563">
        <v>115862.1617064</v>
      </c>
      <c r="AR268" s="563">
        <v>2.2770000000000001</v>
      </c>
    </row>
    <row r="269" spans="39:44" x14ac:dyDescent="0.25">
      <c r="AM269" s="562">
        <v>45653</v>
      </c>
      <c r="AN269" s="563">
        <v>426</v>
      </c>
      <c r="AO269" s="563">
        <v>1423826</v>
      </c>
      <c r="AP269" s="563">
        <v>271.57528000000002</v>
      </c>
      <c r="AQ269" s="563">
        <v>115691.06928000001</v>
      </c>
      <c r="AR269" s="563">
        <v>2.2736999999999998</v>
      </c>
    </row>
    <row r="270" spans="39:44" x14ac:dyDescent="0.25">
      <c r="AM270" s="562">
        <v>45652</v>
      </c>
      <c r="AN270" s="563">
        <v>443.59</v>
      </c>
      <c r="AO270" s="563">
        <v>1357363</v>
      </c>
      <c r="AP270" s="563">
        <v>271.57528000000002</v>
      </c>
      <c r="AQ270" s="563">
        <v>120468.0784552</v>
      </c>
      <c r="AR270" s="563">
        <v>2.3675999999999999</v>
      </c>
    </row>
    <row r="271" spans="39:44" x14ac:dyDescent="0.25">
      <c r="AM271" s="562">
        <v>45651</v>
      </c>
      <c r="AN271" s="563">
        <v>438.42</v>
      </c>
      <c r="AO271" s="563">
        <v>956866</v>
      </c>
      <c r="AP271" s="563">
        <v>271.57528000000002</v>
      </c>
      <c r="AQ271" s="563">
        <v>119064.03425760001</v>
      </c>
      <c r="AR271" s="563">
        <v>2.34</v>
      </c>
    </row>
    <row r="272" spans="39:44" x14ac:dyDescent="0.25">
      <c r="AM272" s="562">
        <v>45650</v>
      </c>
      <c r="AN272" s="563">
        <v>440.44</v>
      </c>
      <c r="AO272" s="563">
        <v>900756</v>
      </c>
      <c r="AP272" s="563">
        <v>271.57528000000002</v>
      </c>
      <c r="AQ272" s="563">
        <v>119612.61632320001</v>
      </c>
      <c r="AR272" s="563">
        <v>2.3506999999999998</v>
      </c>
    </row>
    <row r="273" spans="39:44" x14ac:dyDescent="0.25">
      <c r="AM273" s="562">
        <v>45649</v>
      </c>
      <c r="AN273" s="563">
        <v>440.44</v>
      </c>
      <c r="AO273" s="563">
        <v>900756</v>
      </c>
      <c r="AP273" s="563">
        <v>271.57528000000002</v>
      </c>
      <c r="AQ273" s="563">
        <v>119612.61632320001</v>
      </c>
      <c r="AR273" s="563">
        <v>2.3506999999999998</v>
      </c>
    </row>
    <row r="274" spans="39:44" x14ac:dyDescent="0.25">
      <c r="AM274" s="562">
        <v>45648</v>
      </c>
      <c r="AN274" s="563">
        <v>440.44</v>
      </c>
      <c r="AO274" s="563">
        <v>900756</v>
      </c>
      <c r="AP274" s="563">
        <v>271.57528000000002</v>
      </c>
      <c r="AQ274" s="563">
        <v>119612.61632320001</v>
      </c>
      <c r="AR274" s="563">
        <v>2.3506999999999998</v>
      </c>
    </row>
    <row r="275" spans="39:44" x14ac:dyDescent="0.25">
      <c r="AM275" s="562">
        <v>45647</v>
      </c>
      <c r="AN275" s="563">
        <v>439.48</v>
      </c>
      <c r="AO275" s="563">
        <v>867306</v>
      </c>
      <c r="AP275" s="563">
        <v>271.57528000000002</v>
      </c>
      <c r="AQ275" s="563">
        <v>119351.90405440002</v>
      </c>
      <c r="AR275" s="563">
        <v>2.3456000000000001</v>
      </c>
    </row>
    <row r="276" spans="39:44" x14ac:dyDescent="0.25">
      <c r="AM276" s="562">
        <v>45646</v>
      </c>
      <c r="AN276" s="563">
        <v>448.03</v>
      </c>
      <c r="AO276" s="563">
        <v>1677747</v>
      </c>
      <c r="AP276" s="563">
        <v>273.59982000000002</v>
      </c>
      <c r="AQ276" s="563">
        <v>122580.9273546</v>
      </c>
      <c r="AR276" s="563">
        <v>2.3912</v>
      </c>
    </row>
    <row r="277" spans="39:44" x14ac:dyDescent="0.25">
      <c r="AM277" s="562">
        <v>45645</v>
      </c>
      <c r="AN277" s="563">
        <v>443.96</v>
      </c>
      <c r="AO277" s="563">
        <v>1215691</v>
      </c>
      <c r="AP277" s="563">
        <v>273.59982000000002</v>
      </c>
      <c r="AQ277" s="563">
        <v>121467.3760872</v>
      </c>
      <c r="AR277" s="563">
        <v>2.3694999999999999</v>
      </c>
    </row>
    <row r="278" spans="39:44" x14ac:dyDescent="0.25">
      <c r="AM278" s="562">
        <v>45644</v>
      </c>
      <c r="AN278" s="563">
        <v>449.41</v>
      </c>
      <c r="AO278" s="563">
        <v>1209323</v>
      </c>
      <c r="AP278" s="563">
        <v>273.59982000000002</v>
      </c>
      <c r="AQ278" s="563">
        <v>122958.49510620002</v>
      </c>
      <c r="AR278" s="563">
        <v>2.3986000000000001</v>
      </c>
    </row>
    <row r="279" spans="39:44" x14ac:dyDescent="0.25">
      <c r="AM279" s="562">
        <v>45643</v>
      </c>
      <c r="AN279" s="563">
        <v>444</v>
      </c>
      <c r="AO279" s="563">
        <v>1130085</v>
      </c>
      <c r="AP279" s="563">
        <v>273.59982000000002</v>
      </c>
      <c r="AQ279" s="563">
        <v>121478.32008</v>
      </c>
      <c r="AR279" s="563">
        <v>2.3696999999999999</v>
      </c>
    </row>
    <row r="280" spans="39:44" x14ac:dyDescent="0.25">
      <c r="AM280" s="562">
        <v>45642</v>
      </c>
      <c r="AN280" s="563">
        <v>444</v>
      </c>
      <c r="AO280" s="563">
        <v>1130085</v>
      </c>
      <c r="AP280" s="563">
        <v>273.59982000000002</v>
      </c>
      <c r="AQ280" s="563">
        <v>121478.32008</v>
      </c>
      <c r="AR280" s="563">
        <v>2.3696999999999999</v>
      </c>
    </row>
    <row r="281" spans="39:44" x14ac:dyDescent="0.25">
      <c r="AM281" s="562">
        <v>45641</v>
      </c>
      <c r="AN281" s="563">
        <v>444</v>
      </c>
      <c r="AO281" s="563">
        <v>1130085</v>
      </c>
      <c r="AP281" s="563">
        <v>273.59982000000002</v>
      </c>
      <c r="AQ281" s="563">
        <v>121478.32008</v>
      </c>
      <c r="AR281" s="563">
        <v>2.3696999999999999</v>
      </c>
    </row>
    <row r="282" spans="39:44" x14ac:dyDescent="0.25">
      <c r="AM282" s="562">
        <v>45640</v>
      </c>
      <c r="AN282" s="563">
        <v>448.12</v>
      </c>
      <c r="AO282" s="563">
        <v>1159719</v>
      </c>
      <c r="AP282" s="563">
        <v>273.59982000000002</v>
      </c>
      <c r="AQ282" s="563">
        <v>122605.55133840001</v>
      </c>
      <c r="AR282" s="563">
        <v>2.3917000000000002</v>
      </c>
    </row>
    <row r="283" spans="39:44" x14ac:dyDescent="0.25">
      <c r="AM283" s="562">
        <v>45639</v>
      </c>
      <c r="AN283" s="563">
        <v>456.26</v>
      </c>
      <c r="AO283" s="563">
        <v>1056418</v>
      </c>
      <c r="AP283" s="563">
        <v>273.59982000000002</v>
      </c>
      <c r="AQ283" s="563">
        <v>124832.6538732</v>
      </c>
      <c r="AR283" s="563">
        <v>2.4352</v>
      </c>
    </row>
    <row r="284" spans="39:44" x14ac:dyDescent="0.25">
      <c r="AM284" s="562">
        <v>45638</v>
      </c>
      <c r="AN284" s="563">
        <v>459.25</v>
      </c>
      <c r="AO284" s="563">
        <v>1166248</v>
      </c>
      <c r="AP284" s="563">
        <v>273.59982000000002</v>
      </c>
      <c r="AQ284" s="563">
        <v>125650.71733500001</v>
      </c>
      <c r="AR284" s="563">
        <v>2.4510999999999998</v>
      </c>
    </row>
    <row r="285" spans="39:44" x14ac:dyDescent="0.25">
      <c r="AM285" s="562">
        <v>45637</v>
      </c>
      <c r="AN285" s="563">
        <v>462.95</v>
      </c>
      <c r="AO285" s="563">
        <v>1318644</v>
      </c>
      <c r="AP285" s="563">
        <v>273.59982000000002</v>
      </c>
      <c r="AQ285" s="563">
        <v>126663.03666900001</v>
      </c>
      <c r="AR285" s="563">
        <v>2.4708999999999999</v>
      </c>
    </row>
    <row r="286" spans="39:44" x14ac:dyDescent="0.25">
      <c r="AM286" s="562">
        <v>45636</v>
      </c>
      <c r="AN286" s="563">
        <v>465.9</v>
      </c>
      <c r="AO286" s="563">
        <v>732229</v>
      </c>
      <c r="AP286" s="563">
        <v>273.59982000000002</v>
      </c>
      <c r="AQ286" s="563">
        <v>127470.15613800001</v>
      </c>
      <c r="AR286" s="563">
        <v>2.4866000000000001</v>
      </c>
    </row>
    <row r="287" spans="39:44" x14ac:dyDescent="0.25">
      <c r="AM287" s="562">
        <v>45635</v>
      </c>
      <c r="AN287" s="563">
        <v>465.9</v>
      </c>
      <c r="AO287" s="563">
        <v>732229</v>
      </c>
      <c r="AP287" s="563">
        <v>273.59982000000002</v>
      </c>
      <c r="AQ287" s="563">
        <v>127470.15613800001</v>
      </c>
      <c r="AR287" s="563">
        <v>2.4866000000000001</v>
      </c>
    </row>
    <row r="288" spans="39:44" x14ac:dyDescent="0.25">
      <c r="AM288" s="562">
        <v>45634</v>
      </c>
      <c r="AN288" s="563">
        <v>465.9</v>
      </c>
      <c r="AO288" s="563">
        <v>732229</v>
      </c>
      <c r="AP288" s="563">
        <v>273.59982000000002</v>
      </c>
      <c r="AQ288" s="563">
        <v>127470.15613800001</v>
      </c>
      <c r="AR288" s="563">
        <v>2.4866000000000001</v>
      </c>
    </row>
    <row r="289" spans="39:44" x14ac:dyDescent="0.25">
      <c r="AM289" s="562">
        <v>45633</v>
      </c>
      <c r="AN289" s="563">
        <v>466</v>
      </c>
      <c r="AO289" s="563">
        <v>1258787</v>
      </c>
      <c r="AP289" s="563">
        <v>273.59982000000002</v>
      </c>
      <c r="AQ289" s="563">
        <v>127497.51612000001</v>
      </c>
      <c r="AR289" s="563">
        <v>2.4872000000000001</v>
      </c>
    </row>
    <row r="290" spans="39:44" x14ac:dyDescent="0.25">
      <c r="AM290" s="562">
        <v>45632</v>
      </c>
      <c r="AN290" s="563">
        <v>466</v>
      </c>
      <c r="AO290" s="563">
        <v>1258787</v>
      </c>
      <c r="AP290" s="563">
        <v>273.59982000000002</v>
      </c>
      <c r="AQ290" s="563">
        <v>127497.51612000001</v>
      </c>
      <c r="AR290" s="563">
        <v>2.4872000000000001</v>
      </c>
    </row>
    <row r="291" spans="39:44" x14ac:dyDescent="0.25">
      <c r="AM291" s="562">
        <v>45631</v>
      </c>
      <c r="AN291" s="563">
        <v>461.04</v>
      </c>
      <c r="AO291" s="563">
        <v>1747268</v>
      </c>
      <c r="AP291" s="563">
        <v>273.59982000000002</v>
      </c>
      <c r="AQ291" s="563">
        <v>126140.46101280002</v>
      </c>
      <c r="AR291" s="563">
        <v>2.4607000000000001</v>
      </c>
    </row>
    <row r="292" spans="39:44" x14ac:dyDescent="0.25">
      <c r="AM292" s="562">
        <v>45630</v>
      </c>
      <c r="AN292" s="563">
        <v>462.69</v>
      </c>
      <c r="AO292" s="563">
        <v>3266857</v>
      </c>
      <c r="AP292" s="563">
        <v>273.59982000000002</v>
      </c>
      <c r="AQ292" s="563">
        <v>126591.90071580002</v>
      </c>
      <c r="AR292" s="563">
        <v>2.4695</v>
      </c>
    </row>
    <row r="293" spans="39:44" x14ac:dyDescent="0.25">
      <c r="AM293" s="562">
        <v>45629</v>
      </c>
      <c r="AN293" s="563">
        <v>446.65</v>
      </c>
      <c r="AO293" s="563">
        <v>2202297</v>
      </c>
      <c r="AP293" s="563">
        <v>273.59982000000002</v>
      </c>
      <c r="AQ293" s="563">
        <v>122203.359603</v>
      </c>
      <c r="AR293" s="563">
        <v>2.3839000000000001</v>
      </c>
    </row>
    <row r="294" spans="39:44" x14ac:dyDescent="0.25">
      <c r="AM294" s="562">
        <v>45628</v>
      </c>
      <c r="AN294" s="563">
        <v>446.65</v>
      </c>
      <c r="AO294" s="563">
        <v>2202297</v>
      </c>
      <c r="AP294" s="563">
        <v>273.59982000000002</v>
      </c>
      <c r="AQ294" s="563">
        <v>122203.359603</v>
      </c>
      <c r="AR294" s="563">
        <v>2.3839000000000001</v>
      </c>
    </row>
    <row r="295" spans="39:44" x14ac:dyDescent="0.25">
      <c r="AM295" s="562">
        <v>45627</v>
      </c>
      <c r="AN295" s="563">
        <v>446.65</v>
      </c>
      <c r="AO295" s="563">
        <v>2202297</v>
      </c>
      <c r="AP295" s="563">
        <v>273.59982000000002</v>
      </c>
      <c r="AQ295" s="563">
        <v>122203.359603</v>
      </c>
      <c r="AR295" s="563">
        <v>2.3839000000000001</v>
      </c>
    </row>
    <row r="296" spans="39:44" x14ac:dyDescent="0.25">
      <c r="AM296" s="562">
        <v>45626</v>
      </c>
      <c r="AN296" s="563">
        <v>437.54</v>
      </c>
      <c r="AO296" s="563">
        <v>4148994</v>
      </c>
      <c r="AP296" s="563">
        <v>273.59982000000002</v>
      </c>
      <c r="AQ296" s="563">
        <v>119710.86524280002</v>
      </c>
      <c r="AR296" s="563">
        <v>2.3353000000000002</v>
      </c>
    </row>
    <row r="297" spans="39:44" x14ac:dyDescent="0.25">
      <c r="AM297" s="562">
        <v>45625</v>
      </c>
      <c r="AN297" s="563">
        <v>404.96</v>
      </c>
      <c r="AO297" s="563">
        <v>1487015</v>
      </c>
      <c r="AP297" s="563">
        <v>273.59982000000002</v>
      </c>
      <c r="AQ297" s="563">
        <v>110796.98310720001</v>
      </c>
      <c r="AR297" s="563">
        <v>2.1614</v>
      </c>
    </row>
    <row r="298" spans="39:44" x14ac:dyDescent="0.25">
      <c r="AM298" s="562">
        <v>45624</v>
      </c>
      <c r="AN298" s="563">
        <v>400.09</v>
      </c>
      <c r="AO298" s="563">
        <v>1076748</v>
      </c>
      <c r="AP298" s="563">
        <v>273.59982000000002</v>
      </c>
      <c r="AQ298" s="563">
        <v>109464.5519838</v>
      </c>
      <c r="AR298" s="563">
        <v>2.1354000000000002</v>
      </c>
    </row>
    <row r="299" spans="39:44" x14ac:dyDescent="0.25">
      <c r="AM299" s="562">
        <v>45623</v>
      </c>
      <c r="AN299" s="563">
        <v>404.53</v>
      </c>
      <c r="AO299" s="563">
        <v>1457301</v>
      </c>
      <c r="AP299" s="563">
        <v>273.59982000000002</v>
      </c>
      <c r="AQ299" s="563">
        <v>110679.3351846</v>
      </c>
      <c r="AR299" s="563">
        <v>2.1591</v>
      </c>
    </row>
    <row r="300" spans="39:44" x14ac:dyDescent="0.25">
      <c r="AM300" s="562">
        <v>45622</v>
      </c>
      <c r="AN300" s="563">
        <v>398.95</v>
      </c>
      <c r="AO300" s="563">
        <v>1168176</v>
      </c>
      <c r="AP300" s="563">
        <v>273.59982000000002</v>
      </c>
      <c r="AQ300" s="563">
        <v>109152.648189</v>
      </c>
      <c r="AR300" s="563">
        <v>2.1293000000000002</v>
      </c>
    </row>
    <row r="301" spans="39:44" x14ac:dyDescent="0.25">
      <c r="AM301" s="562">
        <v>45621</v>
      </c>
      <c r="AN301" s="563">
        <v>398.95</v>
      </c>
      <c r="AO301" s="563">
        <v>1168176</v>
      </c>
      <c r="AP301" s="563">
        <v>273.59982000000002</v>
      </c>
      <c r="AQ301" s="563">
        <v>109152.648189</v>
      </c>
      <c r="AR301" s="563">
        <v>2.1293000000000002</v>
      </c>
    </row>
    <row r="302" spans="39:44" x14ac:dyDescent="0.25">
      <c r="AM302" s="562">
        <v>45620</v>
      </c>
      <c r="AN302" s="563">
        <v>398.95</v>
      </c>
      <c r="AO302" s="563">
        <v>1168176</v>
      </c>
      <c r="AP302" s="563">
        <v>273.59982000000002</v>
      </c>
      <c r="AQ302" s="563">
        <v>109152.648189</v>
      </c>
      <c r="AR302" s="563">
        <v>2.1293000000000002</v>
      </c>
    </row>
    <row r="303" spans="39:44" x14ac:dyDescent="0.25">
      <c r="AM303" s="562">
        <v>45619</v>
      </c>
      <c r="AN303" s="563">
        <v>394.64</v>
      </c>
      <c r="AO303" s="563">
        <v>1225339</v>
      </c>
      <c r="AP303" s="563">
        <v>273.59982000000002</v>
      </c>
      <c r="AQ303" s="563">
        <v>107973.4329648</v>
      </c>
      <c r="AR303" s="563">
        <v>2.1063000000000001</v>
      </c>
    </row>
    <row r="304" spans="39:44" x14ac:dyDescent="0.25">
      <c r="AM304" s="562">
        <v>45618</v>
      </c>
      <c r="AN304" s="563">
        <v>389.45</v>
      </c>
      <c r="AO304" s="563">
        <v>1474846</v>
      </c>
      <c r="AP304" s="563">
        <v>273.59982000000002</v>
      </c>
      <c r="AQ304" s="563">
        <v>106553.449899</v>
      </c>
      <c r="AR304" s="563">
        <v>2.0785999999999998</v>
      </c>
    </row>
    <row r="305" spans="39:44" x14ac:dyDescent="0.25">
      <c r="AM305" s="562">
        <v>45617</v>
      </c>
      <c r="AN305" s="563">
        <v>393.75</v>
      </c>
      <c r="AO305" s="563">
        <v>1144922</v>
      </c>
      <c r="AP305" s="563">
        <v>273.59982000000002</v>
      </c>
      <c r="AQ305" s="563">
        <v>107729.92912500001</v>
      </c>
      <c r="AR305" s="563">
        <v>2.1015000000000001</v>
      </c>
    </row>
    <row r="306" spans="39:44" x14ac:dyDescent="0.25">
      <c r="AM306" s="562">
        <v>45616</v>
      </c>
      <c r="AN306" s="563">
        <v>402.65</v>
      </c>
      <c r="AO306" s="563">
        <v>1143472</v>
      </c>
      <c r="AP306" s="563">
        <v>273.59982000000002</v>
      </c>
      <c r="AQ306" s="563">
        <v>110164.967523</v>
      </c>
      <c r="AR306" s="563">
        <v>2.149</v>
      </c>
    </row>
    <row r="307" spans="39:44" x14ac:dyDescent="0.25">
      <c r="AM307" s="562">
        <v>45615</v>
      </c>
      <c r="AN307" s="563">
        <v>394.06</v>
      </c>
      <c r="AO307" s="563">
        <v>1623152</v>
      </c>
      <c r="AP307" s="563">
        <v>273.59982000000002</v>
      </c>
      <c r="AQ307" s="563">
        <v>107814.74506920001</v>
      </c>
      <c r="AR307" s="563">
        <v>2.1032000000000002</v>
      </c>
    </row>
    <row r="308" spans="39:44" x14ac:dyDescent="0.25">
      <c r="AM308" s="562">
        <v>45614</v>
      </c>
      <c r="AN308" s="563">
        <v>394.06</v>
      </c>
      <c r="AO308" s="563">
        <v>1623152</v>
      </c>
      <c r="AP308" s="563">
        <v>273.59982000000002</v>
      </c>
      <c r="AQ308" s="563">
        <v>107814.74506920001</v>
      </c>
      <c r="AR308" s="563">
        <v>2.1032000000000002</v>
      </c>
    </row>
    <row r="309" spans="39:44" x14ac:dyDescent="0.25">
      <c r="AM309" s="562">
        <v>45613</v>
      </c>
      <c r="AN309" s="563">
        <v>394.06</v>
      </c>
      <c r="AO309" s="563">
        <v>1623152</v>
      </c>
      <c r="AP309" s="563">
        <v>273.59982000000002</v>
      </c>
      <c r="AQ309" s="563">
        <v>107814.74506920001</v>
      </c>
      <c r="AR309" s="563">
        <v>2.1032000000000002</v>
      </c>
    </row>
    <row r="310" spans="39:44" x14ac:dyDescent="0.25">
      <c r="AM310" s="562">
        <v>45612</v>
      </c>
      <c r="AN310" s="563">
        <v>411.16</v>
      </c>
      <c r="AO310" s="563">
        <v>1073506</v>
      </c>
      <c r="AP310" s="563">
        <v>273.59982000000002</v>
      </c>
      <c r="AQ310" s="563">
        <v>112493.30199120002</v>
      </c>
      <c r="AR310" s="563">
        <v>2.1945000000000001</v>
      </c>
    </row>
    <row r="311" spans="39:44" x14ac:dyDescent="0.25">
      <c r="AM311" s="562">
        <v>45611</v>
      </c>
      <c r="AN311" s="563">
        <v>405.71</v>
      </c>
      <c r="AO311" s="563">
        <v>1664267</v>
      </c>
      <c r="AP311" s="563">
        <v>273.59982000000002</v>
      </c>
      <c r="AQ311" s="563">
        <v>111002.1829722</v>
      </c>
      <c r="AR311" s="563">
        <v>2.1654</v>
      </c>
    </row>
    <row r="312" spans="39:44" x14ac:dyDescent="0.25">
      <c r="AM312" s="562">
        <v>45610</v>
      </c>
      <c r="AN312" s="563">
        <v>400.37</v>
      </c>
      <c r="AO312" s="563">
        <v>902554</v>
      </c>
      <c r="AP312" s="563">
        <v>273.59982000000002</v>
      </c>
      <c r="AQ312" s="563">
        <v>109541.15993340001</v>
      </c>
      <c r="AR312" s="563">
        <v>2.1368999999999998</v>
      </c>
    </row>
    <row r="313" spans="39:44" x14ac:dyDescent="0.25">
      <c r="AM313" s="562">
        <v>45609</v>
      </c>
      <c r="AN313" s="563">
        <v>401.68</v>
      </c>
      <c r="AO313" s="563">
        <v>801931</v>
      </c>
      <c r="AP313" s="563">
        <v>273.59982000000002</v>
      </c>
      <c r="AQ313" s="563">
        <v>109899.57569760001</v>
      </c>
      <c r="AR313" s="563">
        <v>2.1438999999999999</v>
      </c>
    </row>
    <row r="314" spans="39:44" x14ac:dyDescent="0.25">
      <c r="AM314" s="562">
        <v>45608</v>
      </c>
      <c r="AN314" s="563">
        <v>400.42</v>
      </c>
      <c r="AO314" s="563">
        <v>1522533</v>
      </c>
      <c r="AP314" s="563">
        <v>273.59982000000002</v>
      </c>
      <c r="AQ314" s="563">
        <v>109554.83992440002</v>
      </c>
      <c r="AR314" s="563">
        <v>2.1371000000000002</v>
      </c>
    </row>
    <row r="315" spans="39:44" x14ac:dyDescent="0.25">
      <c r="AM315" s="562">
        <v>45607</v>
      </c>
      <c r="AN315" s="563">
        <v>400.42</v>
      </c>
      <c r="AO315" s="563">
        <v>1522533</v>
      </c>
      <c r="AP315" s="563">
        <v>273.59982000000002</v>
      </c>
      <c r="AQ315" s="563">
        <v>109554.83992440002</v>
      </c>
      <c r="AR315" s="563">
        <v>2.1371000000000002</v>
      </c>
    </row>
    <row r="316" spans="39:44" x14ac:dyDescent="0.25">
      <c r="AM316" s="562">
        <v>45606</v>
      </c>
      <c r="AN316" s="563">
        <v>400.42</v>
      </c>
      <c r="AO316" s="563">
        <v>1522533</v>
      </c>
      <c r="AP316" s="563">
        <v>273.59982000000002</v>
      </c>
      <c r="AQ316" s="563">
        <v>109554.83992440002</v>
      </c>
      <c r="AR316" s="563">
        <v>2.1371000000000002</v>
      </c>
    </row>
    <row r="317" spans="39:44" x14ac:dyDescent="0.25">
      <c r="AM317" s="562">
        <v>45605</v>
      </c>
      <c r="AN317" s="563">
        <v>404.69</v>
      </c>
      <c r="AO317" s="563">
        <v>746280</v>
      </c>
      <c r="AP317" s="563">
        <v>273.59982000000002</v>
      </c>
      <c r="AQ317" s="563">
        <v>110723.11115580001</v>
      </c>
      <c r="AR317" s="563">
        <v>2.1598999999999999</v>
      </c>
    </row>
    <row r="318" spans="39:44" x14ac:dyDescent="0.25">
      <c r="AM318" s="562">
        <v>45604</v>
      </c>
      <c r="AN318" s="563">
        <v>404.69</v>
      </c>
      <c r="AO318" s="563">
        <v>785077</v>
      </c>
      <c r="AP318" s="563">
        <v>273.59982000000002</v>
      </c>
      <c r="AQ318" s="563">
        <v>110723.11115580001</v>
      </c>
      <c r="AR318" s="563">
        <v>2.1598999999999999</v>
      </c>
    </row>
    <row r="319" spans="39:44" x14ac:dyDescent="0.25">
      <c r="AM319" s="562">
        <v>45603</v>
      </c>
      <c r="AN319" s="563">
        <v>406.04</v>
      </c>
      <c r="AO319" s="563">
        <v>758578</v>
      </c>
      <c r="AP319" s="563">
        <v>273.59982000000002</v>
      </c>
      <c r="AQ319" s="563">
        <v>111092.47091280001</v>
      </c>
      <c r="AR319" s="563">
        <v>2.1671</v>
      </c>
    </row>
    <row r="320" spans="39:44" x14ac:dyDescent="0.25">
      <c r="AM320" s="562">
        <v>45602</v>
      </c>
      <c r="AN320" s="563">
        <v>412.35</v>
      </c>
      <c r="AO320" s="563">
        <v>828317</v>
      </c>
      <c r="AP320" s="563">
        <v>273.59982000000002</v>
      </c>
      <c r="AQ320" s="563">
        <v>112818.88577700002</v>
      </c>
      <c r="AR320" s="563">
        <v>2.2008000000000001</v>
      </c>
    </row>
    <row r="321" spans="39:44" x14ac:dyDescent="0.25">
      <c r="AM321" s="562">
        <v>45601</v>
      </c>
      <c r="AN321" s="563">
        <v>407.93</v>
      </c>
      <c r="AO321" s="563">
        <v>591048</v>
      </c>
      <c r="AP321" s="563">
        <v>273.59982000000002</v>
      </c>
      <c r="AQ321" s="563">
        <v>111609.57457260002</v>
      </c>
      <c r="AR321" s="563">
        <v>2.0348999999999999</v>
      </c>
    </row>
    <row r="322" spans="39:44" x14ac:dyDescent="0.25">
      <c r="AM322" s="562">
        <v>45600</v>
      </c>
      <c r="AN322" s="563">
        <v>407.93</v>
      </c>
      <c r="AO322" s="563">
        <v>591048</v>
      </c>
      <c r="AP322" s="563">
        <v>273.59982000000002</v>
      </c>
      <c r="AQ322" s="563">
        <v>111609.57457260002</v>
      </c>
      <c r="AR322" s="563">
        <v>2.0348999999999999</v>
      </c>
    </row>
    <row r="323" spans="39:44" x14ac:dyDescent="0.25">
      <c r="AM323" s="562">
        <v>45599</v>
      </c>
      <c r="AN323" s="563">
        <v>407.93</v>
      </c>
      <c r="AO323" s="563">
        <v>591048</v>
      </c>
      <c r="AP323" s="563">
        <v>273.59982000000002</v>
      </c>
      <c r="AQ323" s="563">
        <v>111609.57457260002</v>
      </c>
      <c r="AR323" s="563">
        <v>2.0348999999999999</v>
      </c>
    </row>
    <row r="324" spans="39:44" x14ac:dyDescent="0.25">
      <c r="AM324" s="562">
        <v>45598</v>
      </c>
      <c r="AN324" s="563">
        <v>411.07</v>
      </c>
      <c r="AO324" s="563">
        <v>718315</v>
      </c>
      <c r="AP324" s="563">
        <v>273.59982000000002</v>
      </c>
      <c r="AQ324" s="563">
        <v>112468.67800740001</v>
      </c>
      <c r="AR324" s="563">
        <v>2.0505</v>
      </c>
    </row>
    <row r="325" spans="39:44" x14ac:dyDescent="0.25">
      <c r="AM325" s="562">
        <v>45597</v>
      </c>
      <c r="AN325" s="563">
        <v>408.64</v>
      </c>
      <c r="AO325" s="563">
        <v>1112959</v>
      </c>
      <c r="AP325" s="563">
        <v>273.59982000000002</v>
      </c>
      <c r="AQ325" s="563">
        <v>111803.83044480001</v>
      </c>
      <c r="AR325" s="563">
        <v>2.0384000000000002</v>
      </c>
    </row>
    <row r="326" spans="39:44" x14ac:dyDescent="0.25">
      <c r="AM326" s="562">
        <v>45596</v>
      </c>
      <c r="AN326" s="563">
        <v>406.65</v>
      </c>
      <c r="AO326" s="563">
        <v>610159</v>
      </c>
      <c r="AP326" s="563">
        <v>273.59982000000002</v>
      </c>
      <c r="AQ326" s="563">
        <v>111259.366803</v>
      </c>
      <c r="AR326" s="563">
        <v>2.0285000000000002</v>
      </c>
    </row>
    <row r="327" spans="39:44" x14ac:dyDescent="0.25">
      <c r="AM327" s="562">
        <v>45595</v>
      </c>
      <c r="AN327" s="563">
        <v>406.96</v>
      </c>
      <c r="AO327" s="563">
        <v>838747</v>
      </c>
      <c r="AP327" s="563">
        <v>273.59982000000002</v>
      </c>
      <c r="AQ327" s="563">
        <v>111344.1827472</v>
      </c>
      <c r="AR327" s="563">
        <v>2.0299999999999998</v>
      </c>
    </row>
    <row r="328" spans="39:44" x14ac:dyDescent="0.25">
      <c r="AM328" s="562">
        <v>45594</v>
      </c>
      <c r="AN328" s="563">
        <v>408.73</v>
      </c>
      <c r="AO328" s="563">
        <v>749969</v>
      </c>
      <c r="AP328" s="563">
        <v>273.59982000000002</v>
      </c>
      <c r="AQ328" s="563">
        <v>111828.45442860002</v>
      </c>
      <c r="AR328" s="563">
        <v>2.0388999999999999</v>
      </c>
    </row>
    <row r="329" spans="39:44" x14ac:dyDescent="0.25">
      <c r="AM329" s="562">
        <v>45593</v>
      </c>
      <c r="AN329" s="563">
        <v>408.73</v>
      </c>
      <c r="AO329" s="563">
        <v>749969</v>
      </c>
      <c r="AP329" s="563">
        <v>273.59982000000002</v>
      </c>
      <c r="AQ329" s="563">
        <v>111828.45442860002</v>
      </c>
      <c r="AR329" s="563">
        <v>2.0388999999999999</v>
      </c>
    </row>
    <row r="330" spans="39:44" x14ac:dyDescent="0.25">
      <c r="AM330" s="562">
        <v>45592</v>
      </c>
      <c r="AN330" s="563">
        <v>408.73</v>
      </c>
      <c r="AO330" s="563">
        <v>749969</v>
      </c>
      <c r="AP330" s="563">
        <v>273.59982000000002</v>
      </c>
      <c r="AQ330" s="563">
        <v>111828.45442860002</v>
      </c>
      <c r="AR330" s="563">
        <v>2.0388999999999999</v>
      </c>
    </row>
    <row r="331" spans="39:44" x14ac:dyDescent="0.25">
      <c r="AM331" s="562">
        <v>45591</v>
      </c>
      <c r="AN331" s="563">
        <v>405.14</v>
      </c>
      <c r="AO331" s="563">
        <v>1398486</v>
      </c>
      <c r="AP331" s="563">
        <v>273.59982000000002</v>
      </c>
      <c r="AQ331" s="563">
        <v>110846.2310748</v>
      </c>
      <c r="AR331" s="563">
        <v>2.0209999999999999</v>
      </c>
    </row>
    <row r="332" spans="39:44" x14ac:dyDescent="0.25">
      <c r="AM332" s="562">
        <v>45590</v>
      </c>
      <c r="AN332" s="563">
        <v>409.37</v>
      </c>
      <c r="AO332" s="563">
        <v>867752</v>
      </c>
      <c r="AP332" s="563">
        <v>273.59982000000002</v>
      </c>
      <c r="AQ332" s="563">
        <v>112003.5583134</v>
      </c>
      <c r="AR332" s="563">
        <v>2.0421</v>
      </c>
    </row>
    <row r="333" spans="39:44" x14ac:dyDescent="0.25">
      <c r="AM333" s="562">
        <v>45589</v>
      </c>
      <c r="AN333" s="563">
        <v>401.99</v>
      </c>
      <c r="AO333" s="563">
        <v>834560</v>
      </c>
      <c r="AP333" s="563">
        <v>273.59982000000002</v>
      </c>
      <c r="AQ333" s="563">
        <v>109984.39164180002</v>
      </c>
      <c r="AR333" s="563">
        <v>2.0053000000000001</v>
      </c>
    </row>
    <row r="334" spans="39:44" x14ac:dyDescent="0.25">
      <c r="AM334" s="562">
        <v>45588</v>
      </c>
      <c r="AN334" s="563">
        <v>407.72</v>
      </c>
      <c r="AO334" s="563">
        <v>996423</v>
      </c>
      <c r="AP334" s="563">
        <v>273.59982000000002</v>
      </c>
      <c r="AQ334" s="563">
        <v>111552.11861040002</v>
      </c>
      <c r="AR334" s="563">
        <v>2.0337999999999998</v>
      </c>
    </row>
    <row r="335" spans="39:44" x14ac:dyDescent="0.25">
      <c r="AM335" s="562">
        <v>45587</v>
      </c>
      <c r="AN335" s="563">
        <v>411.08</v>
      </c>
      <c r="AO335" s="563">
        <v>653446</v>
      </c>
      <c r="AP335" s="563">
        <v>273.59982000000002</v>
      </c>
      <c r="AQ335" s="563">
        <v>112471.4140056</v>
      </c>
      <c r="AR335" s="563">
        <v>2.0506000000000002</v>
      </c>
    </row>
    <row r="336" spans="39:44" x14ac:dyDescent="0.25">
      <c r="AM336" s="562">
        <v>45586</v>
      </c>
      <c r="AN336" s="563">
        <v>411.08</v>
      </c>
      <c r="AO336" s="563">
        <v>653446</v>
      </c>
      <c r="AP336" s="563">
        <v>273.59982000000002</v>
      </c>
      <c r="AQ336" s="563">
        <v>112471.4140056</v>
      </c>
      <c r="AR336" s="563">
        <v>2.0506000000000002</v>
      </c>
    </row>
    <row r="337" spans="39:44" x14ac:dyDescent="0.25">
      <c r="AM337" s="562">
        <v>45585</v>
      </c>
      <c r="AN337" s="563">
        <v>411.08</v>
      </c>
      <c r="AO337" s="563">
        <v>653446</v>
      </c>
      <c r="AP337" s="563">
        <v>273.59982000000002</v>
      </c>
      <c r="AQ337" s="563">
        <v>112471.4140056</v>
      </c>
      <c r="AR337" s="563">
        <v>2.0506000000000002</v>
      </c>
    </row>
    <row r="338" spans="39:44" x14ac:dyDescent="0.25">
      <c r="AM338" s="562">
        <v>45584</v>
      </c>
      <c r="AN338" s="563">
        <v>405.76</v>
      </c>
      <c r="AO338" s="563">
        <v>578148</v>
      </c>
      <c r="AP338" s="563">
        <v>273.59982000000002</v>
      </c>
      <c r="AQ338" s="563">
        <v>111015.86296320001</v>
      </c>
      <c r="AR338" s="563">
        <v>2.0240999999999998</v>
      </c>
    </row>
    <row r="339" spans="39:44" x14ac:dyDescent="0.25">
      <c r="AM339" s="562">
        <v>45583</v>
      </c>
      <c r="AN339" s="563">
        <v>405.48</v>
      </c>
      <c r="AO339" s="563">
        <v>760351</v>
      </c>
      <c r="AP339" s="563">
        <v>273.59982000000002</v>
      </c>
      <c r="AQ339" s="563">
        <v>110939.25501360002</v>
      </c>
      <c r="AR339" s="563">
        <v>2.0226999999999999</v>
      </c>
    </row>
    <row r="340" spans="39:44" x14ac:dyDescent="0.25">
      <c r="AM340" s="562">
        <v>45582</v>
      </c>
      <c r="AN340" s="563">
        <v>400.28</v>
      </c>
      <c r="AO340" s="563">
        <v>981526</v>
      </c>
      <c r="AP340" s="563">
        <v>273.59982000000002</v>
      </c>
      <c r="AQ340" s="563">
        <v>109516.5359496</v>
      </c>
      <c r="AR340" s="563">
        <v>1.9966999999999999</v>
      </c>
    </row>
    <row r="341" spans="39:44" x14ac:dyDescent="0.25">
      <c r="AM341" s="562">
        <v>45581</v>
      </c>
      <c r="AN341" s="563">
        <v>406.04</v>
      </c>
      <c r="AO341" s="563">
        <v>942080</v>
      </c>
      <c r="AP341" s="563">
        <v>273.59982000000002</v>
      </c>
      <c r="AQ341" s="563">
        <v>111092.47091280001</v>
      </c>
      <c r="AR341" s="563">
        <v>2.0255000000000001</v>
      </c>
    </row>
    <row r="342" spans="39:44" x14ac:dyDescent="0.25">
      <c r="AM342" s="562">
        <v>45580</v>
      </c>
      <c r="AN342" s="563">
        <v>407.99</v>
      </c>
      <c r="AO342" s="563">
        <v>877896</v>
      </c>
      <c r="AP342" s="563">
        <v>273.59982000000002</v>
      </c>
      <c r="AQ342" s="563">
        <v>111625.9905618</v>
      </c>
      <c r="AR342" s="563">
        <v>2.0352000000000001</v>
      </c>
    </row>
    <row r="343" spans="39:44" x14ac:dyDescent="0.25">
      <c r="AM343" s="562">
        <v>45579</v>
      </c>
      <c r="AN343" s="563">
        <v>407.99</v>
      </c>
      <c r="AO343" s="563">
        <v>877896</v>
      </c>
      <c r="AP343" s="563">
        <v>273.59982000000002</v>
      </c>
      <c r="AQ343" s="563">
        <v>111625.9905618</v>
      </c>
      <c r="AR343" s="563">
        <v>2.0352000000000001</v>
      </c>
    </row>
    <row r="344" spans="39:44" x14ac:dyDescent="0.25">
      <c r="AM344" s="562">
        <v>45578</v>
      </c>
      <c r="AN344" s="563">
        <v>407.99</v>
      </c>
      <c r="AO344" s="563">
        <v>877896</v>
      </c>
      <c r="AP344" s="563">
        <v>273.59982000000002</v>
      </c>
      <c r="AQ344" s="563">
        <v>111625.9905618</v>
      </c>
      <c r="AR344" s="563">
        <v>2.0352000000000001</v>
      </c>
    </row>
    <row r="345" spans="39:44" x14ac:dyDescent="0.25">
      <c r="AM345" s="562">
        <v>45577</v>
      </c>
      <c r="AN345" s="563">
        <v>408.74</v>
      </c>
      <c r="AO345" s="563">
        <v>1103915</v>
      </c>
      <c r="AP345" s="563">
        <v>273.59982000000002</v>
      </c>
      <c r="AQ345" s="563">
        <v>111831.19042680001</v>
      </c>
      <c r="AR345" s="563">
        <v>2.0388999999999999</v>
      </c>
    </row>
    <row r="346" spans="39:44" x14ac:dyDescent="0.25">
      <c r="AM346" s="562">
        <v>45576</v>
      </c>
      <c r="AN346" s="563">
        <v>416.49</v>
      </c>
      <c r="AO346" s="563">
        <v>863795</v>
      </c>
      <c r="AP346" s="563">
        <v>273.59982000000002</v>
      </c>
      <c r="AQ346" s="563">
        <v>113951.58903180002</v>
      </c>
      <c r="AR346" s="563">
        <v>2.0775999999999999</v>
      </c>
    </row>
    <row r="347" spans="39:44" x14ac:dyDescent="0.25">
      <c r="AM347" s="562">
        <v>45575</v>
      </c>
      <c r="AN347" s="563">
        <v>416.44</v>
      </c>
      <c r="AO347" s="563">
        <v>1089177</v>
      </c>
      <c r="AP347" s="563">
        <v>273.59982000000002</v>
      </c>
      <c r="AQ347" s="563">
        <v>113937.9090408</v>
      </c>
      <c r="AR347" s="563">
        <v>2.0773000000000001</v>
      </c>
    </row>
    <row r="348" spans="39:44" x14ac:dyDescent="0.25">
      <c r="AM348" s="562">
        <v>45574</v>
      </c>
      <c r="AN348" s="563">
        <v>417.33</v>
      </c>
      <c r="AO348" s="563">
        <v>1176773</v>
      </c>
      <c r="AP348" s="563">
        <v>273.59982000000002</v>
      </c>
      <c r="AQ348" s="563">
        <v>114181.41288060001</v>
      </c>
      <c r="AR348" s="563">
        <v>2.0817999999999999</v>
      </c>
    </row>
    <row r="349" spans="39:44" x14ac:dyDescent="0.25">
      <c r="AM349" s="562">
        <v>45573</v>
      </c>
      <c r="AN349" s="563">
        <v>418</v>
      </c>
      <c r="AO349" s="563">
        <v>1410903</v>
      </c>
      <c r="AP349" s="563">
        <v>273.59982000000002</v>
      </c>
      <c r="AQ349" s="563">
        <v>114364.72476000001</v>
      </c>
      <c r="AR349" s="563">
        <v>2.0851000000000002</v>
      </c>
    </row>
    <row r="350" spans="39:44" x14ac:dyDescent="0.25">
      <c r="AM350" s="562">
        <v>45572</v>
      </c>
      <c r="AN350" s="563">
        <v>418</v>
      </c>
      <c r="AO350" s="563">
        <v>1410903</v>
      </c>
      <c r="AP350" s="563">
        <v>273.59982000000002</v>
      </c>
      <c r="AQ350" s="563">
        <v>114364.72476000001</v>
      </c>
      <c r="AR350" s="563">
        <v>2.0851000000000002</v>
      </c>
    </row>
    <row r="351" spans="39:44" x14ac:dyDescent="0.25">
      <c r="AM351" s="562">
        <v>45571</v>
      </c>
      <c r="AN351" s="563">
        <v>418</v>
      </c>
      <c r="AO351" s="563">
        <v>1410903</v>
      </c>
      <c r="AP351" s="563">
        <v>273.59982000000002</v>
      </c>
      <c r="AQ351" s="563">
        <v>114364.72476000001</v>
      </c>
      <c r="AR351" s="563">
        <v>2.0851000000000002</v>
      </c>
    </row>
    <row r="352" spans="39:44" x14ac:dyDescent="0.25">
      <c r="AM352" s="562">
        <v>45570</v>
      </c>
      <c r="AN352" s="563">
        <v>411.47</v>
      </c>
      <c r="AO352" s="563">
        <v>1062180</v>
      </c>
      <c r="AP352" s="563">
        <v>273.59982000000002</v>
      </c>
      <c r="AQ352" s="563">
        <v>112578.11793540002</v>
      </c>
      <c r="AR352" s="563">
        <v>2.0525000000000002</v>
      </c>
    </row>
    <row r="353" spans="39:44" x14ac:dyDescent="0.25">
      <c r="AM353" s="562">
        <v>45569</v>
      </c>
      <c r="AN353" s="563">
        <v>406.93</v>
      </c>
      <c r="AO353" s="563">
        <v>923692</v>
      </c>
      <c r="AP353" s="563">
        <v>273.59982000000002</v>
      </c>
      <c r="AQ353" s="563">
        <v>111335.97475260001</v>
      </c>
      <c r="AR353" s="563">
        <v>2.0299</v>
      </c>
    </row>
    <row r="354" spans="39:44" x14ac:dyDescent="0.25">
      <c r="AM354" s="562">
        <v>45568</v>
      </c>
      <c r="AN354" s="563">
        <v>410.89</v>
      </c>
      <c r="AO354" s="563">
        <v>1253685</v>
      </c>
      <c r="AP354" s="563">
        <v>273.59982000000002</v>
      </c>
      <c r="AQ354" s="563">
        <v>112419.43003980001</v>
      </c>
      <c r="AR354" s="563">
        <v>2.0497000000000001</v>
      </c>
    </row>
    <row r="355" spans="39:44" x14ac:dyDescent="0.25">
      <c r="AM355" s="562">
        <v>45567</v>
      </c>
      <c r="AN355" s="563">
        <v>408.95</v>
      </c>
      <c r="AO355" s="563">
        <v>1184549</v>
      </c>
      <c r="AP355" s="563">
        <v>273.59982000000002</v>
      </c>
      <c r="AQ355" s="563">
        <v>111888.646389</v>
      </c>
      <c r="AR355" s="563">
        <v>2.04</v>
      </c>
    </row>
    <row r="356" spans="39:44" x14ac:dyDescent="0.25">
      <c r="AM356" s="562">
        <v>45566</v>
      </c>
      <c r="AN356" s="563">
        <v>405.89</v>
      </c>
      <c r="AO356" s="563">
        <v>2709595</v>
      </c>
      <c r="AP356" s="563">
        <v>273.59982000000002</v>
      </c>
      <c r="AQ356" s="563">
        <v>111051.4309398</v>
      </c>
      <c r="AR356" s="563">
        <v>2.0247000000000002</v>
      </c>
    </row>
    <row r="357" spans="39:44" x14ac:dyDescent="0.25">
      <c r="AM357" s="562">
        <v>45565</v>
      </c>
      <c r="AN357" s="563">
        <v>405.89</v>
      </c>
      <c r="AO357" s="563">
        <v>2709595</v>
      </c>
      <c r="AP357" s="563">
        <v>273.59982000000002</v>
      </c>
      <c r="AQ357" s="563">
        <v>111051.4309398</v>
      </c>
      <c r="AR357" s="563">
        <v>2.0247000000000002</v>
      </c>
    </row>
    <row r="358" spans="39:44" x14ac:dyDescent="0.25">
      <c r="AM358" s="562">
        <v>45564</v>
      </c>
      <c r="AN358" s="563">
        <v>405.89</v>
      </c>
      <c r="AO358" s="563">
        <v>2709595</v>
      </c>
      <c r="AP358" s="563">
        <v>273.59982000000002</v>
      </c>
      <c r="AQ358" s="563">
        <v>111051.4309398</v>
      </c>
      <c r="AR358" s="563">
        <v>2.0247000000000002</v>
      </c>
    </row>
    <row r="359" spans="39:44" x14ac:dyDescent="0.25">
      <c r="AM359" s="562">
        <v>45563</v>
      </c>
      <c r="AN359" s="563">
        <v>409.73</v>
      </c>
      <c r="AO359" s="563">
        <v>1751158</v>
      </c>
      <c r="AP359" s="563">
        <v>273.59982000000002</v>
      </c>
      <c r="AQ359" s="563">
        <v>112102.05424860002</v>
      </c>
      <c r="AR359" s="563">
        <v>2.0438999999999998</v>
      </c>
    </row>
    <row r="360" spans="39:44" x14ac:dyDescent="0.25">
      <c r="AM360" s="562">
        <v>45562</v>
      </c>
      <c r="AN360" s="563">
        <v>401.07</v>
      </c>
      <c r="AO360" s="563">
        <v>1163461</v>
      </c>
      <c r="AP360" s="563">
        <v>273.59982000000002</v>
      </c>
      <c r="AQ360" s="563">
        <v>109732.67980740001</v>
      </c>
      <c r="AR360" s="563">
        <v>2.0007000000000001</v>
      </c>
    </row>
    <row r="361" spans="39:44" x14ac:dyDescent="0.25">
      <c r="AM361" s="562">
        <v>45561</v>
      </c>
      <c r="AN361" s="563">
        <v>397.88</v>
      </c>
      <c r="AO361" s="563">
        <v>983252</v>
      </c>
      <c r="AP361" s="563">
        <v>273.59982000000002</v>
      </c>
      <c r="AQ361" s="563">
        <v>108859.8963816</v>
      </c>
      <c r="AR361" s="563">
        <v>1.9847999999999999</v>
      </c>
    </row>
    <row r="362" spans="39:44" x14ac:dyDescent="0.25">
      <c r="AM362" s="562">
        <v>45560</v>
      </c>
      <c r="AN362" s="563">
        <v>394.66</v>
      </c>
      <c r="AO362" s="563">
        <v>940225</v>
      </c>
      <c r="AP362" s="563">
        <v>273.59982000000002</v>
      </c>
      <c r="AQ362" s="563">
        <v>107978.90496120001</v>
      </c>
      <c r="AR362" s="563">
        <v>1.9686999999999999</v>
      </c>
    </row>
    <row r="363" spans="39:44" x14ac:dyDescent="0.25">
      <c r="AM363" s="562">
        <v>45559</v>
      </c>
      <c r="AN363" s="563">
        <v>394.68</v>
      </c>
      <c r="AO363" s="563">
        <v>1126196</v>
      </c>
      <c r="AP363" s="563">
        <v>273.59982000000002</v>
      </c>
      <c r="AQ363" s="563">
        <v>107984.3769576</v>
      </c>
      <c r="AR363" s="563">
        <v>1.9688000000000001</v>
      </c>
    </row>
    <row r="364" spans="39:44" x14ac:dyDescent="0.25">
      <c r="AM364" s="562">
        <v>45558</v>
      </c>
      <c r="AN364" s="563">
        <v>394.68</v>
      </c>
      <c r="AO364" s="563">
        <v>1126196</v>
      </c>
      <c r="AP364" s="563">
        <v>273.59982000000002</v>
      </c>
      <c r="AQ364" s="563">
        <v>107984.3769576</v>
      </c>
      <c r="AR364" s="563">
        <v>1.9688000000000001</v>
      </c>
    </row>
    <row r="365" spans="39:44" x14ac:dyDescent="0.25">
      <c r="AM365" s="562">
        <v>45557</v>
      </c>
      <c r="AN365" s="563">
        <v>394.68</v>
      </c>
      <c r="AO365" s="563">
        <v>1126196</v>
      </c>
      <c r="AP365" s="563">
        <v>273.59982000000002</v>
      </c>
      <c r="AQ365" s="563">
        <v>107984.3769576</v>
      </c>
      <c r="AR365" s="563">
        <v>1.9688000000000001</v>
      </c>
    </row>
    <row r="366" spans="39:44" x14ac:dyDescent="0.25">
      <c r="AM366" s="562">
        <v>45556</v>
      </c>
      <c r="AN366" s="563">
        <v>387</v>
      </c>
      <c r="AO366" s="563">
        <v>1068685</v>
      </c>
      <c r="AP366" s="563">
        <v>273.59982000000002</v>
      </c>
      <c r="AQ366" s="563">
        <v>105883.13034</v>
      </c>
      <c r="AR366" s="563">
        <v>1.9305000000000001</v>
      </c>
    </row>
    <row r="367" spans="39:44" x14ac:dyDescent="0.25">
      <c r="AM367" s="562">
        <v>45555</v>
      </c>
      <c r="AN367" s="563">
        <v>388.59</v>
      </c>
      <c r="AO367" s="563">
        <v>1160011</v>
      </c>
      <c r="AP367" s="563">
        <v>273.59982000000002</v>
      </c>
      <c r="AQ367" s="563">
        <v>106318.1540538</v>
      </c>
      <c r="AR367" s="563">
        <v>1.9383999999999999</v>
      </c>
    </row>
    <row r="368" spans="39:44" x14ac:dyDescent="0.25">
      <c r="AM368" s="562">
        <v>45554</v>
      </c>
      <c r="AN368" s="563">
        <v>387.3</v>
      </c>
      <c r="AO368" s="563">
        <v>1041587</v>
      </c>
      <c r="AP368" s="563">
        <v>273.59982000000002</v>
      </c>
      <c r="AQ368" s="563">
        <v>105965.21028600002</v>
      </c>
      <c r="AR368" s="563">
        <v>1.9319999999999999</v>
      </c>
    </row>
    <row r="369" spans="39:44" x14ac:dyDescent="0.25">
      <c r="AM369" s="562">
        <v>45553</v>
      </c>
      <c r="AN369" s="563">
        <v>387.23</v>
      </c>
      <c r="AO369" s="563">
        <v>1215266</v>
      </c>
      <c r="AP369" s="563">
        <v>273.59982000000002</v>
      </c>
      <c r="AQ369" s="563">
        <v>105946.05829860001</v>
      </c>
      <c r="AR369" s="563">
        <v>1.9316</v>
      </c>
    </row>
    <row r="370" spans="39:44" x14ac:dyDescent="0.25">
      <c r="AM370" s="562">
        <v>45552</v>
      </c>
      <c r="AN370" s="563">
        <v>381.56</v>
      </c>
      <c r="AO370" s="563">
        <v>1670319</v>
      </c>
      <c r="AP370" s="563">
        <v>273.59982000000002</v>
      </c>
      <c r="AQ370" s="563">
        <v>104394.7473192</v>
      </c>
      <c r="AR370" s="563">
        <v>1.9033</v>
      </c>
    </row>
    <row r="371" spans="39:44" x14ac:dyDescent="0.25">
      <c r="AM371" s="562">
        <v>45551</v>
      </c>
      <c r="AN371" s="563">
        <v>381.56</v>
      </c>
      <c r="AO371" s="563">
        <v>1670319</v>
      </c>
      <c r="AP371" s="563">
        <v>273.59982000000002</v>
      </c>
      <c r="AQ371" s="563">
        <v>104394.7473192</v>
      </c>
      <c r="AR371" s="563">
        <v>1.9033</v>
      </c>
    </row>
    <row r="372" spans="39:44" x14ac:dyDescent="0.25">
      <c r="AM372" s="562">
        <v>45550</v>
      </c>
      <c r="AN372" s="563">
        <v>381.56</v>
      </c>
      <c r="AO372" s="563">
        <v>1670319</v>
      </c>
      <c r="AP372" s="563">
        <v>273.59982000000002</v>
      </c>
      <c r="AQ372" s="563">
        <v>104394.7473192</v>
      </c>
      <c r="AR372" s="563">
        <v>1.9033</v>
      </c>
    </row>
    <row r="373" spans="39:44" x14ac:dyDescent="0.25">
      <c r="AM373" s="562">
        <v>45549</v>
      </c>
      <c r="AN373" s="563">
        <v>383.69</v>
      </c>
      <c r="AO373" s="563">
        <v>1397289</v>
      </c>
      <c r="AP373" s="563">
        <v>273.59982000000002</v>
      </c>
      <c r="AQ373" s="563">
        <v>104977.51493580001</v>
      </c>
      <c r="AR373" s="563">
        <v>1.9139999999999999</v>
      </c>
    </row>
    <row r="374" spans="39:44" x14ac:dyDescent="0.25">
      <c r="AM374" s="562">
        <v>45548</v>
      </c>
      <c r="AN374" s="563">
        <v>391.95</v>
      </c>
      <c r="AO374" s="563">
        <v>2370341</v>
      </c>
      <c r="AP374" s="563">
        <v>273.59982000000002</v>
      </c>
      <c r="AQ374" s="563">
        <v>107237.44944900001</v>
      </c>
      <c r="AR374" s="563">
        <v>1.9552</v>
      </c>
    </row>
    <row r="375" spans="39:44" x14ac:dyDescent="0.25">
      <c r="AM375" s="562">
        <v>45547</v>
      </c>
      <c r="AN375" s="563">
        <v>385.69</v>
      </c>
      <c r="AO375" s="563">
        <v>1929731</v>
      </c>
      <c r="AP375" s="563">
        <v>273.59982000000002</v>
      </c>
      <c r="AQ375" s="563">
        <v>105524.71457580001</v>
      </c>
      <c r="AR375" s="563">
        <v>1.9238999999999999</v>
      </c>
    </row>
    <row r="376" spans="39:44" x14ac:dyDescent="0.25">
      <c r="AM376" s="562">
        <v>45546</v>
      </c>
      <c r="AN376" s="563">
        <v>385.74</v>
      </c>
      <c r="AO376" s="563">
        <v>1413160</v>
      </c>
      <c r="AP376" s="563">
        <v>273.59982000000002</v>
      </c>
      <c r="AQ376" s="563">
        <v>105538.39456680001</v>
      </c>
      <c r="AR376" s="563">
        <v>1.9241999999999999</v>
      </c>
    </row>
    <row r="377" spans="39:44" x14ac:dyDescent="0.25">
      <c r="AM377" s="562">
        <v>45545</v>
      </c>
      <c r="AN377" s="563">
        <v>385.74</v>
      </c>
      <c r="AO377" s="563">
        <v>1413160</v>
      </c>
      <c r="AP377" s="563">
        <v>273.59982000000002</v>
      </c>
      <c r="AQ377" s="563">
        <v>105538.39456680001</v>
      </c>
      <c r="AR377" s="563">
        <v>1.9241999999999999</v>
      </c>
    </row>
    <row r="378" spans="39:44" x14ac:dyDescent="0.25">
      <c r="AM378" s="562">
        <v>45544</v>
      </c>
      <c r="AN378" s="563">
        <v>385.74</v>
      </c>
      <c r="AO378" s="563">
        <v>1413160</v>
      </c>
      <c r="AP378" s="563">
        <v>273.59982000000002</v>
      </c>
      <c r="AQ378" s="563">
        <v>105538.39456680001</v>
      </c>
      <c r="AR378" s="563">
        <v>1.9241999999999999</v>
      </c>
    </row>
    <row r="379" spans="39:44" x14ac:dyDescent="0.25">
      <c r="AM379" s="562">
        <v>45543</v>
      </c>
      <c r="AN379" s="563">
        <v>385.74</v>
      </c>
      <c r="AO379" s="563">
        <v>1413160</v>
      </c>
      <c r="AP379" s="563">
        <v>273.59982000000002</v>
      </c>
      <c r="AQ379" s="563">
        <v>105538.39456680001</v>
      </c>
      <c r="AR379" s="563">
        <v>1.9241999999999999</v>
      </c>
    </row>
    <row r="380" spans="39:44" x14ac:dyDescent="0.25">
      <c r="AM380" s="562">
        <v>45542</v>
      </c>
      <c r="AN380" s="563">
        <v>381.82</v>
      </c>
      <c r="AO380" s="563">
        <v>1075066</v>
      </c>
      <c r="AP380" s="563">
        <v>273.59982000000002</v>
      </c>
      <c r="AQ380" s="563">
        <v>104465.88327240001</v>
      </c>
      <c r="AR380" s="563">
        <v>1.9046000000000001</v>
      </c>
    </row>
    <row r="381" spans="39:44" x14ac:dyDescent="0.25">
      <c r="AM381" s="562">
        <v>45541</v>
      </c>
      <c r="AN381" s="563">
        <v>377.95</v>
      </c>
      <c r="AO381" s="563">
        <v>1096819</v>
      </c>
      <c r="AP381" s="563">
        <v>275.57031999999998</v>
      </c>
      <c r="AQ381" s="563">
        <v>104151.80244399999</v>
      </c>
      <c r="AR381" s="563">
        <v>1.8853</v>
      </c>
    </row>
    <row r="382" spans="39:44" x14ac:dyDescent="0.25">
      <c r="AM382" s="562">
        <v>45540</v>
      </c>
      <c r="AN382" s="563">
        <v>375.98</v>
      </c>
      <c r="AO382" s="563">
        <v>1107170</v>
      </c>
      <c r="AP382" s="563">
        <v>275.57031999999998</v>
      </c>
      <c r="AQ382" s="563">
        <v>103608.9289136</v>
      </c>
      <c r="AR382" s="563">
        <v>1.8754999999999999</v>
      </c>
    </row>
    <row r="383" spans="39:44" x14ac:dyDescent="0.25">
      <c r="AM383" s="562">
        <v>45539</v>
      </c>
      <c r="AN383" s="563">
        <v>383.09</v>
      </c>
      <c r="AO383" s="563">
        <v>1108515</v>
      </c>
      <c r="AP383" s="563">
        <v>275.57031999999998</v>
      </c>
      <c r="AQ383" s="563">
        <v>105568.23388879998</v>
      </c>
      <c r="AR383" s="563">
        <v>1.911</v>
      </c>
    </row>
    <row r="384" spans="39:44" x14ac:dyDescent="0.25">
      <c r="AM384" s="562">
        <v>45538</v>
      </c>
      <c r="AN384" s="563">
        <v>381.18</v>
      </c>
      <c r="AO384" s="563">
        <v>1197519</v>
      </c>
      <c r="AP384" s="563">
        <v>275.57031999999998</v>
      </c>
      <c r="AQ384" s="563">
        <v>105041.89457759999</v>
      </c>
      <c r="AR384" s="563">
        <v>1.9014</v>
      </c>
    </row>
    <row r="385" spans="39:44" x14ac:dyDescent="0.25">
      <c r="AM385" s="562">
        <v>45537</v>
      </c>
      <c r="AN385" s="563">
        <v>381.18</v>
      </c>
      <c r="AO385" s="563">
        <v>1197519</v>
      </c>
      <c r="AP385" s="563">
        <v>275.57031999999998</v>
      </c>
      <c r="AQ385" s="563">
        <v>105041.89457759999</v>
      </c>
      <c r="AR385" s="563">
        <v>1.9014</v>
      </c>
    </row>
    <row r="386" spans="39:44" x14ac:dyDescent="0.25">
      <c r="AM386" s="562">
        <v>45536</v>
      </c>
      <c r="AN386" s="563">
        <v>381.18</v>
      </c>
      <c r="AO386" s="563">
        <v>1197519</v>
      </c>
      <c r="AP386" s="563">
        <v>275.57031999999998</v>
      </c>
      <c r="AQ386" s="563">
        <v>105041.89457759999</v>
      </c>
      <c r="AR386" s="563">
        <v>1.9014</v>
      </c>
    </row>
    <row r="387" spans="39:44" x14ac:dyDescent="0.25">
      <c r="AM387" s="562">
        <v>45535</v>
      </c>
      <c r="AN387" s="563">
        <v>376.59</v>
      </c>
      <c r="AO387" s="563">
        <v>1072734</v>
      </c>
      <c r="AP387" s="563">
        <v>275.57031999999998</v>
      </c>
      <c r="AQ387" s="563">
        <v>103777.02680879999</v>
      </c>
      <c r="AR387" s="563">
        <v>1.8786</v>
      </c>
    </row>
    <row r="388" spans="39:44" x14ac:dyDescent="0.25">
      <c r="AM388" s="562">
        <v>45534</v>
      </c>
      <c r="AN388" s="563">
        <v>377.05</v>
      </c>
      <c r="AO388" s="563">
        <v>1249228</v>
      </c>
      <c r="AP388" s="563">
        <v>275.57031999999998</v>
      </c>
      <c r="AQ388" s="563">
        <v>103903.789156</v>
      </c>
      <c r="AR388" s="563">
        <v>1.8808</v>
      </c>
    </row>
    <row r="389" spans="39:44" x14ac:dyDescent="0.25">
      <c r="AM389" s="562">
        <v>45533</v>
      </c>
      <c r="AN389" s="563">
        <v>372.59</v>
      </c>
      <c r="AO389" s="563">
        <v>932335</v>
      </c>
      <c r="AP389" s="563">
        <v>275.57031999999998</v>
      </c>
      <c r="AQ389" s="563">
        <v>102674.74552879999</v>
      </c>
      <c r="AR389" s="563">
        <v>1.8586</v>
      </c>
    </row>
    <row r="390" spans="39:44" x14ac:dyDescent="0.25">
      <c r="AM390" s="562">
        <v>45532</v>
      </c>
      <c r="AN390" s="563">
        <v>372.91</v>
      </c>
      <c r="AO390" s="563">
        <v>1676485</v>
      </c>
      <c r="AP390" s="563">
        <v>275.57031999999998</v>
      </c>
      <c r="AQ390" s="563">
        <v>102762.9280312</v>
      </c>
      <c r="AR390" s="563">
        <v>1.8602000000000001</v>
      </c>
    </row>
    <row r="391" spans="39:44" x14ac:dyDescent="0.25">
      <c r="AM391" s="562">
        <v>45531</v>
      </c>
      <c r="AN391" s="563">
        <v>377.92</v>
      </c>
      <c r="AO391" s="563">
        <v>2103088</v>
      </c>
      <c r="AP391" s="563">
        <v>275.57031999999998</v>
      </c>
      <c r="AQ391" s="563">
        <v>104143.5353344</v>
      </c>
      <c r="AR391" s="563">
        <v>1.8852</v>
      </c>
    </row>
    <row r="392" spans="39:44" x14ac:dyDescent="0.25">
      <c r="AM392" s="562">
        <v>45530</v>
      </c>
      <c r="AN392" s="563">
        <v>377.92</v>
      </c>
      <c r="AO392" s="563">
        <v>2103088</v>
      </c>
      <c r="AP392" s="563">
        <v>275.57031999999998</v>
      </c>
      <c r="AQ392" s="563">
        <v>104143.5353344</v>
      </c>
      <c r="AR392" s="563">
        <v>1.8852</v>
      </c>
    </row>
    <row r="393" spans="39:44" x14ac:dyDescent="0.25">
      <c r="AM393" s="562">
        <v>45529</v>
      </c>
      <c r="AN393" s="563">
        <v>377.92</v>
      </c>
      <c r="AO393" s="563">
        <v>2103088</v>
      </c>
      <c r="AP393" s="563">
        <v>275.57031999999998</v>
      </c>
      <c r="AQ393" s="563">
        <v>104143.5353344</v>
      </c>
      <c r="AR393" s="563">
        <v>1.8852</v>
      </c>
    </row>
    <row r="394" spans="39:44" x14ac:dyDescent="0.25">
      <c r="AM394" s="562">
        <v>45528</v>
      </c>
      <c r="AN394" s="563">
        <v>373.26</v>
      </c>
      <c r="AO394" s="563">
        <v>3184486</v>
      </c>
      <c r="AP394" s="563">
        <v>275.57031999999998</v>
      </c>
      <c r="AQ394" s="563">
        <v>102859.37764319999</v>
      </c>
      <c r="AR394" s="563">
        <v>1.8619000000000001</v>
      </c>
    </row>
    <row r="395" spans="39:44" x14ac:dyDescent="0.25">
      <c r="AM395" s="562">
        <v>45527</v>
      </c>
      <c r="AN395" s="563">
        <v>351.28</v>
      </c>
      <c r="AO395" s="563">
        <v>2040505</v>
      </c>
      <c r="AP395" s="563">
        <v>275.57031999999998</v>
      </c>
      <c r="AQ395" s="563">
        <v>96802.34200959999</v>
      </c>
      <c r="AR395" s="563">
        <v>1.7523</v>
      </c>
    </row>
    <row r="396" spans="39:44" x14ac:dyDescent="0.25">
      <c r="AM396" s="562">
        <v>45526</v>
      </c>
      <c r="AN396" s="563">
        <v>350.59</v>
      </c>
      <c r="AO396" s="563">
        <v>1696675</v>
      </c>
      <c r="AP396" s="563">
        <v>275.57031999999998</v>
      </c>
      <c r="AQ396" s="563">
        <v>96612.198488799986</v>
      </c>
      <c r="AR396" s="563">
        <v>1.7488999999999999</v>
      </c>
    </row>
    <row r="397" spans="39:44" x14ac:dyDescent="0.25">
      <c r="AM397" s="562">
        <v>45525</v>
      </c>
      <c r="AN397" s="563">
        <v>345.01</v>
      </c>
      <c r="AO397" s="563">
        <v>1581260</v>
      </c>
      <c r="AP397" s="563">
        <v>275.57031999999998</v>
      </c>
      <c r="AQ397" s="563">
        <v>95074.516103199989</v>
      </c>
      <c r="AR397" s="563">
        <v>1.7210000000000001</v>
      </c>
    </row>
    <row r="398" spans="39:44" x14ac:dyDescent="0.25">
      <c r="AM398" s="562">
        <v>45524</v>
      </c>
      <c r="AN398" s="563">
        <v>346.03</v>
      </c>
      <c r="AO398" s="563">
        <v>1335203</v>
      </c>
      <c r="AP398" s="563">
        <v>275.57031999999998</v>
      </c>
      <c r="AQ398" s="563">
        <v>95355.597829599981</v>
      </c>
      <c r="AR398" s="563">
        <v>1.7261</v>
      </c>
    </row>
    <row r="399" spans="39:44" x14ac:dyDescent="0.25">
      <c r="AM399" s="562">
        <v>45523</v>
      </c>
      <c r="AN399" s="563">
        <v>346.03</v>
      </c>
      <c r="AO399" s="563">
        <v>1335203</v>
      </c>
      <c r="AP399" s="563">
        <v>275.57031999999998</v>
      </c>
      <c r="AQ399" s="563">
        <v>95355.597829599981</v>
      </c>
      <c r="AR399" s="563">
        <v>1.7261</v>
      </c>
    </row>
    <row r="400" spans="39:44" x14ac:dyDescent="0.25">
      <c r="AM400" s="562">
        <v>45522</v>
      </c>
      <c r="AN400" s="563">
        <v>346.03</v>
      </c>
      <c r="AO400" s="563">
        <v>1335203</v>
      </c>
      <c r="AP400" s="563">
        <v>275.57031999999998</v>
      </c>
      <c r="AQ400" s="563">
        <v>95355.597829599981</v>
      </c>
      <c r="AR400" s="563">
        <v>1.7261</v>
      </c>
    </row>
    <row r="401" spans="39:44" x14ac:dyDescent="0.25">
      <c r="AM401" s="562">
        <v>45521</v>
      </c>
      <c r="AN401" s="563">
        <v>349.14</v>
      </c>
      <c r="AO401" s="563">
        <v>1557651</v>
      </c>
      <c r="AP401" s="563">
        <v>275.57031999999998</v>
      </c>
      <c r="AQ401" s="563">
        <v>96212.621524799993</v>
      </c>
      <c r="AR401" s="563">
        <v>1.7416</v>
      </c>
    </row>
    <row r="402" spans="39:44" x14ac:dyDescent="0.25">
      <c r="AM402" s="562">
        <v>45520</v>
      </c>
      <c r="AN402" s="563">
        <v>345.98</v>
      </c>
      <c r="AO402" s="563">
        <v>1384675</v>
      </c>
      <c r="AP402" s="563">
        <v>275.57031999999998</v>
      </c>
      <c r="AQ402" s="563">
        <v>95341.819313600005</v>
      </c>
      <c r="AR402" s="563">
        <v>1.7259</v>
      </c>
    </row>
    <row r="403" spans="39:44" x14ac:dyDescent="0.25">
      <c r="AM403" s="562">
        <v>45519</v>
      </c>
      <c r="AN403" s="563">
        <v>346.06</v>
      </c>
      <c r="AO403" s="563">
        <v>1570942</v>
      </c>
      <c r="AP403" s="563">
        <v>275.57031999999998</v>
      </c>
      <c r="AQ403" s="563">
        <v>95363.864939199993</v>
      </c>
      <c r="AR403" s="563">
        <v>1.7262999999999999</v>
      </c>
    </row>
    <row r="404" spans="39:44" x14ac:dyDescent="0.25">
      <c r="AM404" s="562">
        <v>45518</v>
      </c>
      <c r="AN404" s="563">
        <v>344.84</v>
      </c>
      <c r="AO404" s="563">
        <v>2509169</v>
      </c>
      <c r="AP404" s="563">
        <v>275.57031999999998</v>
      </c>
      <c r="AQ404" s="563">
        <v>95027.669148799992</v>
      </c>
      <c r="AR404" s="563">
        <v>1.7202</v>
      </c>
    </row>
    <row r="405" spans="39:44" x14ac:dyDescent="0.25">
      <c r="AM405" s="562">
        <v>45517</v>
      </c>
      <c r="AN405" s="563">
        <v>353.75</v>
      </c>
      <c r="AO405" s="563">
        <v>2820703</v>
      </c>
      <c r="AP405" s="563">
        <v>275.57031999999998</v>
      </c>
      <c r="AQ405" s="563">
        <v>97483.00069999999</v>
      </c>
      <c r="AR405" s="563">
        <v>1.7645999999999999</v>
      </c>
    </row>
    <row r="406" spans="39:44" x14ac:dyDescent="0.25">
      <c r="AM406" s="562">
        <v>45516</v>
      </c>
      <c r="AN406" s="563">
        <v>353.75</v>
      </c>
      <c r="AO406" s="563">
        <v>2820703</v>
      </c>
      <c r="AP406" s="563">
        <v>275.57031999999998</v>
      </c>
      <c r="AQ406" s="563">
        <v>97483.00069999999</v>
      </c>
      <c r="AR406" s="563">
        <v>1.7645999999999999</v>
      </c>
    </row>
    <row r="407" spans="39:44" x14ac:dyDescent="0.25">
      <c r="AM407" s="562">
        <v>45515</v>
      </c>
      <c r="AN407" s="563">
        <v>353.75</v>
      </c>
      <c r="AO407" s="563">
        <v>2820703</v>
      </c>
      <c r="AP407" s="563">
        <v>275.57031999999998</v>
      </c>
      <c r="AQ407" s="563">
        <v>97483.00069999999</v>
      </c>
      <c r="AR407" s="563">
        <v>1.7645999999999999</v>
      </c>
    </row>
    <row r="408" spans="39:44" x14ac:dyDescent="0.25">
      <c r="AM408" s="562">
        <v>45514</v>
      </c>
      <c r="AN408" s="563">
        <v>357.91</v>
      </c>
      <c r="AO408" s="563">
        <v>2991282</v>
      </c>
      <c r="AP408" s="563">
        <v>275.57031999999998</v>
      </c>
      <c r="AQ408" s="563">
        <v>98629.373231200007</v>
      </c>
      <c r="AR408" s="563">
        <v>1.7854000000000001</v>
      </c>
    </row>
    <row r="409" spans="39:44" x14ac:dyDescent="0.25">
      <c r="AM409" s="562">
        <v>45513</v>
      </c>
      <c r="AN409" s="563">
        <v>371.98</v>
      </c>
      <c r="AO409" s="563">
        <v>1659500</v>
      </c>
      <c r="AP409" s="563">
        <v>275.57031999999998</v>
      </c>
      <c r="AQ409" s="563">
        <v>102506.64763360001</v>
      </c>
      <c r="AR409" s="563">
        <v>1.8555999999999999</v>
      </c>
    </row>
    <row r="410" spans="39:44" x14ac:dyDescent="0.25">
      <c r="AM410" s="562">
        <v>45512</v>
      </c>
      <c r="AN410" s="563">
        <v>371.77</v>
      </c>
      <c r="AO410" s="563">
        <v>2267031</v>
      </c>
      <c r="AP410" s="563">
        <v>275.57031999999998</v>
      </c>
      <c r="AQ410" s="563">
        <v>102448.77786639999</v>
      </c>
      <c r="AR410" s="563">
        <v>1.8545</v>
      </c>
    </row>
    <row r="411" spans="39:44" x14ac:dyDescent="0.25">
      <c r="AM411" s="562">
        <v>45511</v>
      </c>
      <c r="AN411" s="563">
        <v>376.77</v>
      </c>
      <c r="AO411" s="563">
        <v>1491025</v>
      </c>
      <c r="AP411" s="563">
        <v>275.57031999999998</v>
      </c>
      <c r="AQ411" s="563">
        <v>103826.62946639999</v>
      </c>
      <c r="AR411" s="563">
        <v>1.8794999999999999</v>
      </c>
    </row>
    <row r="412" spans="39:44" x14ac:dyDescent="0.25">
      <c r="AM412" s="562">
        <v>45510</v>
      </c>
      <c r="AN412" s="563">
        <v>386.55</v>
      </c>
      <c r="AO412" s="563">
        <v>1380906</v>
      </c>
      <c r="AP412" s="563">
        <v>275.57031999999998</v>
      </c>
      <c r="AQ412" s="563">
        <v>106521.707196</v>
      </c>
      <c r="AR412" s="563">
        <v>1.8684000000000001</v>
      </c>
    </row>
    <row r="413" spans="39:44" x14ac:dyDescent="0.25">
      <c r="AM413" s="562">
        <v>45509</v>
      </c>
      <c r="AN413" s="563">
        <v>386.55</v>
      </c>
      <c r="AO413" s="563">
        <v>1380906</v>
      </c>
      <c r="AP413" s="563">
        <v>275.57031999999998</v>
      </c>
      <c r="AQ413" s="563">
        <v>106521.707196</v>
      </c>
      <c r="AR413" s="563">
        <v>1.8684000000000001</v>
      </c>
    </row>
    <row r="414" spans="39:44" x14ac:dyDescent="0.25">
      <c r="AM414" s="562">
        <v>45508</v>
      </c>
      <c r="AN414" s="563">
        <v>386.55</v>
      </c>
      <c r="AO414" s="563">
        <v>1380906</v>
      </c>
      <c r="AP414" s="563">
        <v>275.57031999999998</v>
      </c>
      <c r="AQ414" s="563">
        <v>106521.707196</v>
      </c>
      <c r="AR414" s="563">
        <v>1.8684000000000001</v>
      </c>
    </row>
    <row r="415" spans="39:44" x14ac:dyDescent="0.25">
      <c r="AM415" s="562">
        <v>45507</v>
      </c>
      <c r="AN415" s="563">
        <v>381.69</v>
      </c>
      <c r="AO415" s="563">
        <v>1241550</v>
      </c>
      <c r="AP415" s="563">
        <v>275.57031999999998</v>
      </c>
      <c r="AQ415" s="563">
        <v>105182.43544079999</v>
      </c>
      <c r="AR415" s="563">
        <v>1.8449</v>
      </c>
    </row>
    <row r="416" spans="39:44" x14ac:dyDescent="0.25">
      <c r="AM416" s="562">
        <v>45506</v>
      </c>
      <c r="AN416" s="563">
        <v>369.39</v>
      </c>
      <c r="AO416" s="563">
        <v>1256382</v>
      </c>
      <c r="AP416" s="563">
        <v>275.57031999999998</v>
      </c>
      <c r="AQ416" s="563">
        <v>101792.92050479999</v>
      </c>
      <c r="AR416" s="563">
        <v>1.7854000000000001</v>
      </c>
    </row>
    <row r="417" spans="39:44" x14ac:dyDescent="0.25">
      <c r="AM417" s="562">
        <v>45505</v>
      </c>
      <c r="AN417" s="563">
        <v>371.52</v>
      </c>
      <c r="AO417" s="563">
        <v>1336087</v>
      </c>
      <c r="AP417" s="563">
        <v>275.57031999999998</v>
      </c>
      <c r="AQ417" s="563">
        <v>102379.88528639999</v>
      </c>
      <c r="AR417" s="563">
        <v>1.7957000000000001</v>
      </c>
    </row>
    <row r="418" spans="39:44" x14ac:dyDescent="0.25">
      <c r="AM418" s="562">
        <v>45504</v>
      </c>
      <c r="AN418" s="563">
        <v>379.25</v>
      </c>
      <c r="AO418" s="563">
        <v>1071328</v>
      </c>
      <c r="AP418" s="563">
        <v>275.57031999999998</v>
      </c>
      <c r="AQ418" s="563">
        <v>104510.04385999999</v>
      </c>
      <c r="AR418" s="563">
        <v>1.8331</v>
      </c>
    </row>
    <row r="419" spans="39:44" x14ac:dyDescent="0.25">
      <c r="AM419" s="562">
        <v>45503</v>
      </c>
      <c r="AN419" s="563">
        <v>378.06</v>
      </c>
      <c r="AO419" s="563">
        <v>1152144</v>
      </c>
      <c r="AP419" s="563">
        <v>275.57031999999998</v>
      </c>
      <c r="AQ419" s="563">
        <v>104182.11517919999</v>
      </c>
      <c r="AR419" s="563">
        <v>1.8272999999999999</v>
      </c>
    </row>
    <row r="420" spans="39:44" x14ac:dyDescent="0.25">
      <c r="AM420" s="562">
        <v>45502</v>
      </c>
      <c r="AN420" s="563">
        <v>378.06</v>
      </c>
      <c r="AO420" s="563">
        <v>1152144</v>
      </c>
      <c r="AP420" s="563">
        <v>275.57031999999998</v>
      </c>
      <c r="AQ420" s="563">
        <v>104182.11517919999</v>
      </c>
      <c r="AR420" s="563">
        <v>1.8272999999999999</v>
      </c>
    </row>
    <row r="421" spans="39:44" x14ac:dyDescent="0.25">
      <c r="AM421" s="562">
        <v>45501</v>
      </c>
      <c r="AN421" s="563">
        <v>378.06</v>
      </c>
      <c r="AO421" s="563">
        <v>1152144</v>
      </c>
      <c r="AP421" s="563">
        <v>275.57031999999998</v>
      </c>
      <c r="AQ421" s="563">
        <v>104182.11517919999</v>
      </c>
      <c r="AR421" s="563">
        <v>1.8272999999999999</v>
      </c>
    </row>
    <row r="422" spans="39:44" x14ac:dyDescent="0.25">
      <c r="AM422" s="562">
        <v>45500</v>
      </c>
      <c r="AN422" s="563">
        <v>380.64</v>
      </c>
      <c r="AO422" s="563">
        <v>1736152</v>
      </c>
      <c r="AP422" s="563">
        <v>275.57031999999998</v>
      </c>
      <c r="AQ422" s="563">
        <v>104893.08660479999</v>
      </c>
      <c r="AR422" s="563">
        <v>1.8398000000000001</v>
      </c>
    </row>
    <row r="423" spans="39:44" x14ac:dyDescent="0.25">
      <c r="AM423" s="562">
        <v>45499</v>
      </c>
      <c r="AN423" s="563">
        <v>385.13</v>
      </c>
      <c r="AO423" s="563">
        <v>1528188</v>
      </c>
      <c r="AP423" s="563">
        <v>275.57031999999998</v>
      </c>
      <c r="AQ423" s="563">
        <v>106130.39734159999</v>
      </c>
      <c r="AR423" s="563">
        <v>1.8614999999999999</v>
      </c>
    </row>
    <row r="424" spans="39:44" x14ac:dyDescent="0.25">
      <c r="AM424" s="562">
        <v>45498</v>
      </c>
      <c r="AN424" s="563">
        <v>377.51</v>
      </c>
      <c r="AO424" s="563">
        <v>1733075</v>
      </c>
      <c r="AP424" s="563">
        <v>275.57031999999998</v>
      </c>
      <c r="AQ424" s="563">
        <v>104030.5515032</v>
      </c>
      <c r="AR424" s="563">
        <v>1.8247</v>
      </c>
    </row>
    <row r="425" spans="39:44" x14ac:dyDescent="0.25">
      <c r="AM425" s="562">
        <v>45497</v>
      </c>
      <c r="AN425" s="563">
        <v>371.67</v>
      </c>
      <c r="AO425" s="563">
        <v>1158559</v>
      </c>
      <c r="AP425" s="563">
        <v>275.57031999999998</v>
      </c>
      <c r="AQ425" s="563">
        <v>102421.2208344</v>
      </c>
      <c r="AR425" s="563">
        <v>1.7964</v>
      </c>
    </row>
    <row r="426" spans="39:44" x14ac:dyDescent="0.25">
      <c r="AM426" s="562">
        <v>45496</v>
      </c>
      <c r="AN426" s="563">
        <v>365.33</v>
      </c>
      <c r="AO426" s="563">
        <v>1035110</v>
      </c>
      <c r="AP426" s="563">
        <v>275.57031999999998</v>
      </c>
      <c r="AQ426" s="563">
        <v>100674.10500559999</v>
      </c>
      <c r="AR426" s="563">
        <v>1.7658</v>
      </c>
    </row>
    <row r="427" spans="39:44" x14ac:dyDescent="0.25">
      <c r="AM427" s="562">
        <v>45495</v>
      </c>
      <c r="AN427" s="563">
        <v>365.33</v>
      </c>
      <c r="AO427" s="563">
        <v>1035110</v>
      </c>
      <c r="AP427" s="563">
        <v>275.57031999999998</v>
      </c>
      <c r="AQ427" s="563">
        <v>100674.10500559999</v>
      </c>
      <c r="AR427" s="563">
        <v>1.7658</v>
      </c>
    </row>
    <row r="428" spans="39:44" x14ac:dyDescent="0.25">
      <c r="AM428" s="562">
        <v>45494</v>
      </c>
      <c r="AN428" s="563">
        <v>365.33</v>
      </c>
      <c r="AO428" s="563">
        <v>1035110</v>
      </c>
      <c r="AP428" s="563">
        <v>275.57031999999998</v>
      </c>
      <c r="AQ428" s="563">
        <v>100674.10500559999</v>
      </c>
      <c r="AR428" s="563">
        <v>1.7658</v>
      </c>
    </row>
    <row r="429" spans="39:44" x14ac:dyDescent="0.25">
      <c r="AM429" s="562">
        <v>45493</v>
      </c>
      <c r="AN429" s="563">
        <v>361.6</v>
      </c>
      <c r="AO429" s="563">
        <v>1765797</v>
      </c>
      <c r="AP429" s="563">
        <v>275.57031999999998</v>
      </c>
      <c r="AQ429" s="563">
        <v>99646.227711999993</v>
      </c>
      <c r="AR429" s="563">
        <v>1.7478</v>
      </c>
    </row>
    <row r="430" spans="39:44" x14ac:dyDescent="0.25">
      <c r="AM430" s="562">
        <v>45492</v>
      </c>
      <c r="AN430" s="563">
        <v>351.53</v>
      </c>
      <c r="AO430" s="563">
        <v>1475988</v>
      </c>
      <c r="AP430" s="563">
        <v>275.57031999999998</v>
      </c>
      <c r="AQ430" s="563">
        <v>96871.23458959999</v>
      </c>
      <c r="AR430" s="563">
        <v>1.6991000000000001</v>
      </c>
    </row>
    <row r="431" spans="39:44" x14ac:dyDescent="0.25">
      <c r="AM431" s="562">
        <v>45491</v>
      </c>
      <c r="AN431" s="563">
        <v>348.84</v>
      </c>
      <c r="AO431" s="563">
        <v>2113342</v>
      </c>
      <c r="AP431" s="563">
        <v>275.57031999999998</v>
      </c>
      <c r="AQ431" s="563">
        <v>96129.950428799988</v>
      </c>
      <c r="AR431" s="563">
        <v>1.6860999999999999</v>
      </c>
    </row>
    <row r="432" spans="39:44" x14ac:dyDescent="0.25">
      <c r="AM432" s="562">
        <v>45490</v>
      </c>
      <c r="AN432" s="563">
        <v>355</v>
      </c>
      <c r="AO432" s="563">
        <v>1671607</v>
      </c>
      <c r="AP432" s="563">
        <v>275.57031999999998</v>
      </c>
      <c r="AQ432" s="563">
        <v>97827.463599999988</v>
      </c>
      <c r="AR432" s="563">
        <v>1.7159</v>
      </c>
    </row>
    <row r="433" spans="39:44" x14ac:dyDescent="0.25">
      <c r="AM433" s="562">
        <v>45489</v>
      </c>
      <c r="AN433" s="563">
        <v>360.03</v>
      </c>
      <c r="AO433" s="563">
        <v>1273682</v>
      </c>
      <c r="AP433" s="563">
        <v>275.57031999999998</v>
      </c>
      <c r="AQ433" s="563">
        <v>99213.58230959998</v>
      </c>
      <c r="AR433" s="563">
        <v>1.7402</v>
      </c>
    </row>
    <row r="434" spans="39:44" x14ac:dyDescent="0.25">
      <c r="AM434" s="562">
        <v>45488</v>
      </c>
      <c r="AN434" s="563">
        <v>360.03</v>
      </c>
      <c r="AO434" s="563">
        <v>1273682</v>
      </c>
      <c r="AP434" s="563">
        <v>275.57031999999998</v>
      </c>
      <c r="AQ434" s="563">
        <v>99213.58230959998</v>
      </c>
      <c r="AR434" s="563">
        <v>1.7402</v>
      </c>
    </row>
    <row r="435" spans="39:44" x14ac:dyDescent="0.25">
      <c r="AM435" s="562">
        <v>45487</v>
      </c>
      <c r="AN435" s="563">
        <v>360.03</v>
      </c>
      <c r="AO435" s="563">
        <v>1273682</v>
      </c>
      <c r="AP435" s="563">
        <v>275.57031999999998</v>
      </c>
      <c r="AQ435" s="563">
        <v>99213.58230959998</v>
      </c>
      <c r="AR435" s="563">
        <v>1.7402</v>
      </c>
    </row>
    <row r="436" spans="39:44" x14ac:dyDescent="0.25">
      <c r="AM436" s="562">
        <v>45486</v>
      </c>
      <c r="AN436" s="563">
        <v>362.79</v>
      </c>
      <c r="AO436" s="563">
        <v>668937</v>
      </c>
      <c r="AP436" s="563">
        <v>275.57031999999998</v>
      </c>
      <c r="AQ436" s="563">
        <v>99974.156392799996</v>
      </c>
      <c r="AR436" s="563">
        <v>1.7535000000000001</v>
      </c>
    </row>
    <row r="437" spans="39:44" x14ac:dyDescent="0.25">
      <c r="AM437" s="562">
        <v>45485</v>
      </c>
      <c r="AN437" s="563">
        <v>362.79</v>
      </c>
      <c r="AO437" s="563">
        <v>668937</v>
      </c>
      <c r="AP437" s="563">
        <v>275.57031999999998</v>
      </c>
      <c r="AQ437" s="563">
        <v>99974.156392799996</v>
      </c>
      <c r="AR437" s="563">
        <v>1.7535000000000001</v>
      </c>
    </row>
    <row r="438" spans="39:44" x14ac:dyDescent="0.25">
      <c r="AM438" s="562">
        <v>45484</v>
      </c>
      <c r="AN438" s="563">
        <v>364.95</v>
      </c>
      <c r="AO438" s="563">
        <v>1290228</v>
      </c>
      <c r="AP438" s="563">
        <v>275.57031999999998</v>
      </c>
      <c r="AQ438" s="563">
        <v>100569.38828399999</v>
      </c>
      <c r="AR438" s="563">
        <v>1.764</v>
      </c>
    </row>
    <row r="439" spans="39:44" x14ac:dyDescent="0.25">
      <c r="AM439" s="562">
        <v>45483</v>
      </c>
      <c r="AN439" s="563">
        <v>360.99</v>
      </c>
      <c r="AO439" s="563">
        <v>1458106</v>
      </c>
      <c r="AP439" s="563">
        <v>275.57031999999998</v>
      </c>
      <c r="AQ439" s="563">
        <v>99478.129816799992</v>
      </c>
      <c r="AR439" s="563">
        <v>1.7447999999999999</v>
      </c>
    </row>
    <row r="440" spans="39:44" x14ac:dyDescent="0.25">
      <c r="AM440" s="562">
        <v>45482</v>
      </c>
      <c r="AN440" s="563">
        <v>373.63</v>
      </c>
      <c r="AO440" s="563">
        <v>6689701</v>
      </c>
      <c r="AP440" s="563">
        <v>275.57031999999998</v>
      </c>
      <c r="AQ440" s="563">
        <v>102961.33866159999</v>
      </c>
      <c r="AR440" s="563">
        <v>1.8059000000000001</v>
      </c>
    </row>
    <row r="441" spans="39:44" x14ac:dyDescent="0.25">
      <c r="AM441" s="562">
        <v>45481</v>
      </c>
      <c r="AN441" s="563">
        <v>373.63</v>
      </c>
      <c r="AO441" s="563">
        <v>6689701</v>
      </c>
      <c r="AP441" s="563">
        <v>275.57031999999998</v>
      </c>
      <c r="AQ441" s="563">
        <v>102961.33866159999</v>
      </c>
      <c r="AR441" s="563">
        <v>1.8059000000000001</v>
      </c>
    </row>
    <row r="442" spans="39:44" x14ac:dyDescent="0.25">
      <c r="AM442" s="562">
        <v>45480</v>
      </c>
      <c r="AN442" s="563">
        <v>373.63</v>
      </c>
      <c r="AO442" s="563">
        <v>6689701</v>
      </c>
      <c r="AP442" s="563">
        <v>275.57031999999998</v>
      </c>
      <c r="AQ442" s="563">
        <v>102961.33866159999</v>
      </c>
      <c r="AR442" s="563">
        <v>1.8059000000000001</v>
      </c>
    </row>
    <row r="443" spans="39:44" x14ac:dyDescent="0.25">
      <c r="AM443" s="562">
        <v>45479</v>
      </c>
      <c r="AN443" s="563">
        <v>376.79</v>
      </c>
      <c r="AO443" s="563">
        <v>1709352</v>
      </c>
      <c r="AP443" s="563">
        <v>275.57031999999998</v>
      </c>
      <c r="AQ443" s="563">
        <v>103832.1408728</v>
      </c>
      <c r="AR443" s="563">
        <v>1.8211999999999999</v>
      </c>
    </row>
    <row r="444" spans="39:44" x14ac:dyDescent="0.25">
      <c r="AM444" s="562">
        <v>45478</v>
      </c>
      <c r="AN444" s="563">
        <v>376.25</v>
      </c>
      <c r="AO444" s="563">
        <v>2442533</v>
      </c>
      <c r="AP444" s="563">
        <v>275.57031999999998</v>
      </c>
      <c r="AQ444" s="563">
        <v>103683.33289999999</v>
      </c>
      <c r="AR444" s="563">
        <v>1.8186</v>
      </c>
    </row>
    <row r="445" spans="39:44" x14ac:dyDescent="0.25">
      <c r="AM445" s="562">
        <v>45477</v>
      </c>
      <c r="AN445" s="563">
        <v>369.47</v>
      </c>
      <c r="AO445" s="563">
        <v>1648594</v>
      </c>
      <c r="AP445" s="563">
        <v>275.57031999999998</v>
      </c>
      <c r="AQ445" s="563">
        <v>101814.9661304</v>
      </c>
      <c r="AR445" s="563">
        <v>1.7858000000000001</v>
      </c>
    </row>
    <row r="446" spans="39:44" x14ac:dyDescent="0.25">
      <c r="AM446" s="562">
        <v>45476</v>
      </c>
      <c r="AN446" s="563">
        <v>378.17</v>
      </c>
      <c r="AO446" s="563">
        <v>1323116</v>
      </c>
      <c r="AP446" s="563">
        <v>275.57031999999998</v>
      </c>
      <c r="AQ446" s="563">
        <v>104212.4279144</v>
      </c>
      <c r="AR446" s="563">
        <v>1.8279000000000001</v>
      </c>
    </row>
    <row r="447" spans="39:44" x14ac:dyDescent="0.25">
      <c r="AM447" s="562">
        <v>45475</v>
      </c>
      <c r="AN447" s="563">
        <v>375.04</v>
      </c>
      <c r="AO447" s="563">
        <v>2450701</v>
      </c>
      <c r="AP447" s="563">
        <v>275.57031999999998</v>
      </c>
      <c r="AQ447" s="563">
        <v>103349.8928128</v>
      </c>
      <c r="AR447" s="563">
        <v>1.8127</v>
      </c>
    </row>
    <row r="448" spans="39:44" x14ac:dyDescent="0.25">
      <c r="AM448" s="562">
        <v>45474</v>
      </c>
      <c r="AN448" s="563">
        <v>375.04</v>
      </c>
      <c r="AO448" s="563">
        <v>2450701</v>
      </c>
      <c r="AP448" s="563">
        <v>275.57031999999998</v>
      </c>
      <c r="AQ448" s="563">
        <v>103349.8928128</v>
      </c>
      <c r="AR448" s="563">
        <v>1.8127</v>
      </c>
    </row>
    <row r="449" spans="39:44" x14ac:dyDescent="0.25">
      <c r="AM449" s="562">
        <v>45473</v>
      </c>
      <c r="AN449" s="563">
        <v>375.04</v>
      </c>
      <c r="AO449" s="563">
        <v>2450701</v>
      </c>
      <c r="AP449" s="563">
        <v>275.57031999999998</v>
      </c>
      <c r="AQ449" s="563">
        <v>103349.8928128</v>
      </c>
      <c r="AR449" s="563">
        <v>1.8127</v>
      </c>
    </row>
    <row r="450" spans="39:44" x14ac:dyDescent="0.25">
      <c r="AM450" s="562">
        <v>45472</v>
      </c>
      <c r="AN450" s="563">
        <v>381.53</v>
      </c>
      <c r="AO450" s="563">
        <v>1352587</v>
      </c>
      <c r="AP450" s="563">
        <v>275.57031999999998</v>
      </c>
      <c r="AQ450" s="563">
        <v>105138.34418959999</v>
      </c>
      <c r="AR450" s="563">
        <v>1.8441000000000001</v>
      </c>
    </row>
    <row r="451" spans="39:44" x14ac:dyDescent="0.25">
      <c r="AM451" s="562">
        <v>45471</v>
      </c>
      <c r="AN451" s="563">
        <v>382.76</v>
      </c>
      <c r="AO451" s="563">
        <v>1211963</v>
      </c>
      <c r="AP451" s="563">
        <v>275.57031999999998</v>
      </c>
      <c r="AQ451" s="563">
        <v>105477.29568319999</v>
      </c>
      <c r="AR451" s="563">
        <v>1.85</v>
      </c>
    </row>
    <row r="452" spans="39:44" x14ac:dyDescent="0.25">
      <c r="AM452" s="562">
        <v>45470</v>
      </c>
      <c r="AN452" s="563">
        <v>382.76</v>
      </c>
      <c r="AO452" s="563">
        <v>1211963</v>
      </c>
      <c r="AP452" s="563">
        <v>275.57031999999998</v>
      </c>
      <c r="AQ452" s="563">
        <v>105477.29568319999</v>
      </c>
      <c r="AR452" s="563">
        <v>1.85</v>
      </c>
    </row>
    <row r="453" spans="39:44" x14ac:dyDescent="0.25">
      <c r="AM453" s="562">
        <v>45469</v>
      </c>
      <c r="AN453" s="563">
        <v>379.22</v>
      </c>
      <c r="AO453" s="563">
        <v>1227920</v>
      </c>
      <c r="AP453" s="563">
        <v>275.57031999999998</v>
      </c>
      <c r="AQ453" s="563">
        <v>104501.77675040001</v>
      </c>
      <c r="AR453" s="563">
        <v>1.8329</v>
      </c>
    </row>
    <row r="454" spans="39:44" x14ac:dyDescent="0.25">
      <c r="AM454" s="562">
        <v>45468</v>
      </c>
      <c r="AN454" s="563">
        <v>378</v>
      </c>
      <c r="AO454" s="563">
        <v>1485224</v>
      </c>
      <c r="AP454" s="563">
        <v>275.57031999999998</v>
      </c>
      <c r="AQ454" s="563">
        <v>104165.58095999999</v>
      </c>
      <c r="AR454" s="563">
        <v>1.827</v>
      </c>
    </row>
    <row r="455" spans="39:44" x14ac:dyDescent="0.25">
      <c r="AM455" s="562">
        <v>45467</v>
      </c>
      <c r="AN455" s="563">
        <v>378</v>
      </c>
      <c r="AO455" s="563">
        <v>1485224</v>
      </c>
      <c r="AP455" s="563">
        <v>275.57031999999998</v>
      </c>
      <c r="AQ455" s="563">
        <v>104165.58095999999</v>
      </c>
      <c r="AR455" s="563">
        <v>1.827</v>
      </c>
    </row>
    <row r="456" spans="39:44" x14ac:dyDescent="0.25">
      <c r="AM456" s="562">
        <v>45466</v>
      </c>
      <c r="AN456" s="563">
        <v>378</v>
      </c>
      <c r="AO456" s="563">
        <v>1485224</v>
      </c>
      <c r="AP456" s="563">
        <v>275.57031999999998</v>
      </c>
      <c r="AQ456" s="563">
        <v>104165.58095999999</v>
      </c>
      <c r="AR456" s="563">
        <v>1.827</v>
      </c>
    </row>
    <row r="457" spans="39:44" x14ac:dyDescent="0.25">
      <c r="AM457" s="562">
        <v>45465</v>
      </c>
      <c r="AN457" s="563">
        <v>377.95</v>
      </c>
      <c r="AO457" s="563">
        <v>1583920</v>
      </c>
      <c r="AP457" s="563">
        <v>275.57031999999998</v>
      </c>
      <c r="AQ457" s="563">
        <v>104151.80244399999</v>
      </c>
      <c r="AR457" s="563">
        <v>1.8268</v>
      </c>
    </row>
    <row r="458" spans="39:44" x14ac:dyDescent="0.25">
      <c r="AM458" s="562">
        <v>45464</v>
      </c>
      <c r="AN458" s="563">
        <v>370.09</v>
      </c>
      <c r="AO458" s="563">
        <v>1055547</v>
      </c>
      <c r="AP458" s="563">
        <v>275.57031999999998</v>
      </c>
      <c r="AQ458" s="563">
        <v>101985.81972879998</v>
      </c>
      <c r="AR458" s="563">
        <v>1.7887999999999999</v>
      </c>
    </row>
    <row r="459" spans="39:44" x14ac:dyDescent="0.25">
      <c r="AM459" s="562">
        <v>45463</v>
      </c>
      <c r="AN459" s="563">
        <v>365.13</v>
      </c>
      <c r="AO459" s="563">
        <v>948533</v>
      </c>
      <c r="AP459" s="563">
        <v>275.57031999999998</v>
      </c>
      <c r="AQ459" s="563">
        <v>100618.99094159999</v>
      </c>
      <c r="AR459" s="563">
        <v>1.7647999999999999</v>
      </c>
    </row>
    <row r="460" spans="39:44" x14ac:dyDescent="0.25">
      <c r="AM460" s="562">
        <v>45462</v>
      </c>
      <c r="AN460" s="563">
        <v>368.3</v>
      </c>
      <c r="AO460" s="563">
        <v>1033868</v>
      </c>
      <c r="AP460" s="563">
        <v>275.57031999999998</v>
      </c>
      <c r="AQ460" s="563">
        <v>101492.54885599999</v>
      </c>
      <c r="AR460" s="563">
        <v>1.7802</v>
      </c>
    </row>
    <row r="461" spans="39:44" x14ac:dyDescent="0.25">
      <c r="AM461" s="562">
        <v>45461</v>
      </c>
      <c r="AN461" s="563">
        <v>368.58</v>
      </c>
      <c r="AO461" s="563">
        <v>1080006</v>
      </c>
      <c r="AP461" s="563">
        <v>275.57031999999998</v>
      </c>
      <c r="AQ461" s="563">
        <v>101569.70854559999</v>
      </c>
      <c r="AR461" s="563">
        <v>1.7815000000000001</v>
      </c>
    </row>
    <row r="462" spans="39:44" x14ac:dyDescent="0.25">
      <c r="AM462" s="562">
        <v>45460</v>
      </c>
      <c r="AN462" s="563">
        <v>368.58</v>
      </c>
      <c r="AO462" s="563">
        <v>1080006</v>
      </c>
      <c r="AP462" s="563">
        <v>275.57031999999998</v>
      </c>
      <c r="AQ462" s="563">
        <v>101569.70854559999</v>
      </c>
      <c r="AR462" s="563">
        <v>1.7815000000000001</v>
      </c>
    </row>
    <row r="463" spans="39:44" x14ac:dyDescent="0.25">
      <c r="AM463" s="562">
        <v>45459</v>
      </c>
      <c r="AN463" s="563">
        <v>368.58</v>
      </c>
      <c r="AO463" s="563">
        <v>1080006</v>
      </c>
      <c r="AP463" s="563">
        <v>275.57031999999998</v>
      </c>
      <c r="AQ463" s="563">
        <v>101569.70854559999</v>
      </c>
      <c r="AR463" s="563">
        <v>1.7815000000000001</v>
      </c>
    </row>
    <row r="464" spans="39:44" x14ac:dyDescent="0.25">
      <c r="AM464" s="562">
        <v>45458</v>
      </c>
      <c r="AN464" s="563">
        <v>371.27</v>
      </c>
      <c r="AO464" s="563">
        <v>1305412</v>
      </c>
      <c r="AP464" s="563">
        <v>275.57031999999998</v>
      </c>
      <c r="AQ464" s="563">
        <v>102310.99270639999</v>
      </c>
      <c r="AR464" s="563">
        <v>1.7945</v>
      </c>
    </row>
    <row r="465" spans="39:44" x14ac:dyDescent="0.25">
      <c r="AM465" s="562">
        <v>45457</v>
      </c>
      <c r="AN465" s="563">
        <v>370.99</v>
      </c>
      <c r="AO465" s="563">
        <v>1394990</v>
      </c>
      <c r="AP465" s="563">
        <v>275.57031999999998</v>
      </c>
      <c r="AQ465" s="563">
        <v>102233.8330168</v>
      </c>
      <c r="AR465" s="563">
        <v>1.7931999999999999</v>
      </c>
    </row>
    <row r="466" spans="39:44" x14ac:dyDescent="0.25">
      <c r="AM466" s="562">
        <v>45456</v>
      </c>
      <c r="AN466" s="563">
        <v>369.37</v>
      </c>
      <c r="AO466" s="563">
        <v>1328880</v>
      </c>
      <c r="AP466" s="563">
        <v>275.57031999999998</v>
      </c>
      <c r="AQ466" s="563">
        <v>101787.40909839999</v>
      </c>
      <c r="AR466" s="563">
        <v>1.7853000000000001</v>
      </c>
    </row>
    <row r="467" spans="39:44" x14ac:dyDescent="0.25">
      <c r="AM467" s="562">
        <v>45455</v>
      </c>
      <c r="AN467" s="563">
        <v>368.12</v>
      </c>
      <c r="AO467" s="563">
        <v>1284438</v>
      </c>
      <c r="AP467" s="563">
        <v>275.57031999999998</v>
      </c>
      <c r="AQ467" s="563">
        <v>101442.94619839999</v>
      </c>
      <c r="AR467" s="563">
        <v>1.7793000000000001</v>
      </c>
    </row>
    <row r="468" spans="39:44" x14ac:dyDescent="0.25">
      <c r="AM468" s="562">
        <v>45454</v>
      </c>
      <c r="AN468" s="563">
        <v>374.76</v>
      </c>
      <c r="AO468" s="563">
        <v>2332147</v>
      </c>
      <c r="AP468" s="563">
        <v>275.57031999999998</v>
      </c>
      <c r="AQ468" s="563">
        <v>103272.73312319999</v>
      </c>
      <c r="AR468" s="563">
        <v>1.8113999999999999</v>
      </c>
    </row>
    <row r="469" spans="39:44" x14ac:dyDescent="0.25">
      <c r="AM469" s="562">
        <v>45453</v>
      </c>
      <c r="AN469" s="563">
        <v>374.76</v>
      </c>
      <c r="AO469" s="563">
        <v>2332147</v>
      </c>
      <c r="AP469" s="563">
        <v>275.57031999999998</v>
      </c>
      <c r="AQ469" s="563">
        <v>103272.73312319999</v>
      </c>
      <c r="AR469" s="563">
        <v>1.8113999999999999</v>
      </c>
    </row>
    <row r="470" spans="39:44" x14ac:dyDescent="0.25">
      <c r="AM470" s="562">
        <v>45452</v>
      </c>
      <c r="AN470" s="563">
        <v>374.76</v>
      </c>
      <c r="AO470" s="563">
        <v>2332147</v>
      </c>
      <c r="AP470" s="563">
        <v>275.57031999999998</v>
      </c>
      <c r="AQ470" s="563">
        <v>103272.73312319999</v>
      </c>
      <c r="AR470" s="563">
        <v>1.8113999999999999</v>
      </c>
    </row>
    <row r="471" spans="39:44" x14ac:dyDescent="0.25">
      <c r="AM471" s="562">
        <v>45451</v>
      </c>
      <c r="AN471" s="563">
        <v>368.35</v>
      </c>
      <c r="AO471" s="563">
        <v>1340879</v>
      </c>
      <c r="AP471" s="563">
        <v>275.57031999999998</v>
      </c>
      <c r="AQ471" s="563">
        <v>101506.327372</v>
      </c>
      <c r="AR471" s="563">
        <v>1.7804</v>
      </c>
    </row>
    <row r="472" spans="39:44" x14ac:dyDescent="0.25">
      <c r="AM472" s="562">
        <v>45450</v>
      </c>
      <c r="AN472" s="563">
        <v>364.98</v>
      </c>
      <c r="AO472" s="563">
        <v>1673457</v>
      </c>
      <c r="AP472" s="563">
        <v>278.35820999999999</v>
      </c>
      <c r="AQ472" s="563">
        <v>101595.17948580001</v>
      </c>
      <c r="AR472" s="563">
        <v>1.7641</v>
      </c>
    </row>
    <row r="473" spans="39:44" x14ac:dyDescent="0.25">
      <c r="AM473" s="562">
        <v>45449</v>
      </c>
      <c r="AN473" s="563">
        <v>369.27</v>
      </c>
      <c r="AO473" s="563">
        <v>1448430</v>
      </c>
      <c r="AP473" s="563">
        <v>278.35820999999999</v>
      </c>
      <c r="AQ473" s="563">
        <v>102789.33620669998</v>
      </c>
      <c r="AR473" s="563">
        <v>1.7847999999999999</v>
      </c>
    </row>
    <row r="474" spans="39:44" x14ac:dyDescent="0.25">
      <c r="AM474" s="562">
        <v>45448</v>
      </c>
      <c r="AN474" s="563">
        <v>374.96</v>
      </c>
      <c r="AO474" s="563">
        <v>1511751</v>
      </c>
      <c r="AP474" s="563">
        <v>278.35820999999999</v>
      </c>
      <c r="AQ474" s="563">
        <v>104373.19442159998</v>
      </c>
      <c r="AR474" s="563">
        <v>1.8123</v>
      </c>
    </row>
    <row r="475" spans="39:44" x14ac:dyDescent="0.25">
      <c r="AM475" s="562">
        <v>45447</v>
      </c>
      <c r="AN475" s="563">
        <v>374.96</v>
      </c>
      <c r="AO475" s="563">
        <v>1511751</v>
      </c>
      <c r="AP475" s="563">
        <v>278.35820999999999</v>
      </c>
      <c r="AQ475" s="563">
        <v>104373.19442159998</v>
      </c>
      <c r="AR475" s="563">
        <v>1.8123</v>
      </c>
    </row>
    <row r="476" spans="39:44" x14ac:dyDescent="0.25">
      <c r="AM476" s="562">
        <v>45446</v>
      </c>
      <c r="AN476" s="563">
        <v>374.96</v>
      </c>
      <c r="AO476" s="563">
        <v>1511751</v>
      </c>
      <c r="AP476" s="563">
        <v>278.35820999999999</v>
      </c>
      <c r="AQ476" s="563">
        <v>104373.19442159998</v>
      </c>
      <c r="AR476" s="563">
        <v>1.8123</v>
      </c>
    </row>
    <row r="477" spans="39:44" x14ac:dyDescent="0.25">
      <c r="AM477" s="562">
        <v>45445</v>
      </c>
      <c r="AN477" s="563">
        <v>374.96</v>
      </c>
      <c r="AO477" s="563">
        <v>1511751</v>
      </c>
      <c r="AP477" s="563">
        <v>278.35820999999999</v>
      </c>
      <c r="AQ477" s="563">
        <v>104373.19442159998</v>
      </c>
      <c r="AR477" s="563">
        <v>1.8123</v>
      </c>
    </row>
    <row r="478" spans="39:44" x14ac:dyDescent="0.25">
      <c r="AM478" s="562">
        <v>45444</v>
      </c>
      <c r="AN478" s="563">
        <v>379.24</v>
      </c>
      <c r="AO478" s="563">
        <v>1736784</v>
      </c>
      <c r="AP478" s="563">
        <v>278.35820999999999</v>
      </c>
      <c r="AQ478" s="563">
        <v>105564.5675604</v>
      </c>
      <c r="AR478" s="563">
        <v>1.833</v>
      </c>
    </row>
    <row r="479" spans="39:44" x14ac:dyDescent="0.25">
      <c r="AM479" s="562">
        <v>45443</v>
      </c>
      <c r="AN479" s="563">
        <v>386.01</v>
      </c>
      <c r="AO479" s="563">
        <v>1318814</v>
      </c>
      <c r="AP479" s="563">
        <v>278.35820999999999</v>
      </c>
      <c r="AQ479" s="563">
        <v>107449.0526421</v>
      </c>
      <c r="AR479" s="563">
        <v>1.8657999999999999</v>
      </c>
    </row>
    <row r="480" spans="39:44" x14ac:dyDescent="0.25">
      <c r="AM480" s="562">
        <v>45442</v>
      </c>
      <c r="AN480" s="563">
        <v>386.74</v>
      </c>
      <c r="AO480" s="563">
        <v>1370850</v>
      </c>
      <c r="AP480" s="563">
        <v>278.35820999999999</v>
      </c>
      <c r="AQ480" s="563">
        <v>107652.2541354</v>
      </c>
      <c r="AR480" s="563">
        <v>1.8693</v>
      </c>
    </row>
    <row r="481" spans="39:44" x14ac:dyDescent="0.25">
      <c r="AM481" s="562">
        <v>45441</v>
      </c>
      <c r="AN481" s="563">
        <v>391.48</v>
      </c>
      <c r="AO481" s="563">
        <v>1158468</v>
      </c>
      <c r="AP481" s="563">
        <v>278.35820999999999</v>
      </c>
      <c r="AQ481" s="563">
        <v>108971.6720508</v>
      </c>
      <c r="AR481" s="563">
        <v>1.8922000000000001</v>
      </c>
    </row>
    <row r="482" spans="39:44" x14ac:dyDescent="0.25">
      <c r="AM482" s="562">
        <v>45440</v>
      </c>
      <c r="AN482" s="563">
        <v>397.02</v>
      </c>
      <c r="AO482" s="563">
        <v>1612076</v>
      </c>
      <c r="AP482" s="563">
        <v>278.35820999999999</v>
      </c>
      <c r="AQ482" s="563">
        <v>110513.77653419999</v>
      </c>
      <c r="AR482" s="563">
        <v>1.919</v>
      </c>
    </row>
    <row r="483" spans="39:44" x14ac:dyDescent="0.25">
      <c r="AM483" s="562">
        <v>45439</v>
      </c>
      <c r="AN483" s="563">
        <v>397.02</v>
      </c>
      <c r="AO483" s="563">
        <v>1612076</v>
      </c>
      <c r="AP483" s="563">
        <v>278.35820999999999</v>
      </c>
      <c r="AQ483" s="563">
        <v>110513.77653419999</v>
      </c>
      <c r="AR483" s="563">
        <v>1.919</v>
      </c>
    </row>
    <row r="484" spans="39:44" x14ac:dyDescent="0.25">
      <c r="AM484" s="562">
        <v>45438</v>
      </c>
      <c r="AN484" s="563">
        <v>397.02</v>
      </c>
      <c r="AO484" s="563">
        <v>1612076</v>
      </c>
      <c r="AP484" s="563">
        <v>278.35820999999999</v>
      </c>
      <c r="AQ484" s="563">
        <v>110513.77653419999</v>
      </c>
      <c r="AR484" s="563">
        <v>1.919</v>
      </c>
    </row>
    <row r="485" spans="39:44" x14ac:dyDescent="0.25">
      <c r="AM485" s="562">
        <v>45437</v>
      </c>
      <c r="AN485" s="563">
        <v>394.43</v>
      </c>
      <c r="AO485" s="563">
        <v>3623785</v>
      </c>
      <c r="AP485" s="563">
        <v>278.35820999999999</v>
      </c>
      <c r="AQ485" s="563">
        <v>109792.8287703</v>
      </c>
      <c r="AR485" s="563">
        <v>1.9065000000000001</v>
      </c>
    </row>
    <row r="486" spans="39:44" x14ac:dyDescent="0.25">
      <c r="AM486" s="562">
        <v>45436</v>
      </c>
      <c r="AN486" s="563">
        <v>414.02</v>
      </c>
      <c r="AO486" s="563">
        <v>1861222</v>
      </c>
      <c r="AP486" s="563">
        <v>278.35820999999999</v>
      </c>
      <c r="AQ486" s="563">
        <v>115245.86610419999</v>
      </c>
      <c r="AR486" s="563">
        <v>2.0011000000000001</v>
      </c>
    </row>
    <row r="487" spans="39:44" x14ac:dyDescent="0.25">
      <c r="AM487" s="562">
        <v>45435</v>
      </c>
      <c r="AN487" s="563">
        <v>412.78</v>
      </c>
      <c r="AO487" s="563">
        <v>1765968</v>
      </c>
      <c r="AP487" s="563">
        <v>278.35820999999999</v>
      </c>
      <c r="AQ487" s="563">
        <v>114900.70192379999</v>
      </c>
      <c r="AR487" s="563">
        <v>1.9951000000000001</v>
      </c>
    </row>
    <row r="488" spans="39:44" x14ac:dyDescent="0.25">
      <c r="AM488" s="562">
        <v>45434</v>
      </c>
      <c r="AN488" s="563">
        <v>407.99</v>
      </c>
      <c r="AO488" s="563">
        <v>1402804</v>
      </c>
      <c r="AP488" s="563">
        <v>278.35820999999999</v>
      </c>
      <c r="AQ488" s="563">
        <v>113567.3660979</v>
      </c>
      <c r="AR488" s="563">
        <v>1.972</v>
      </c>
    </row>
    <row r="489" spans="39:44" x14ac:dyDescent="0.25">
      <c r="AM489" s="562">
        <v>45433</v>
      </c>
      <c r="AN489" s="563">
        <v>407.89</v>
      </c>
      <c r="AO489" s="563">
        <v>1426791</v>
      </c>
      <c r="AP489" s="563">
        <v>278.35820999999999</v>
      </c>
      <c r="AQ489" s="563">
        <v>113539.5302769</v>
      </c>
      <c r="AR489" s="563">
        <v>1.9715</v>
      </c>
    </row>
    <row r="490" spans="39:44" x14ac:dyDescent="0.25">
      <c r="AM490" s="562">
        <v>45432</v>
      </c>
      <c r="AN490" s="563">
        <v>407.89</v>
      </c>
      <c r="AO490" s="563">
        <v>1426791</v>
      </c>
      <c r="AP490" s="563">
        <v>278.35820999999999</v>
      </c>
      <c r="AQ490" s="563">
        <v>113539.5302769</v>
      </c>
      <c r="AR490" s="563">
        <v>1.9715</v>
      </c>
    </row>
    <row r="491" spans="39:44" x14ac:dyDescent="0.25">
      <c r="AM491" s="562">
        <v>45431</v>
      </c>
      <c r="AN491" s="563">
        <v>407.89</v>
      </c>
      <c r="AO491" s="563">
        <v>1426791</v>
      </c>
      <c r="AP491" s="563">
        <v>278.35820999999999</v>
      </c>
      <c r="AQ491" s="563">
        <v>113539.5302769</v>
      </c>
      <c r="AR491" s="563">
        <v>1.9715</v>
      </c>
    </row>
    <row r="492" spans="39:44" x14ac:dyDescent="0.25">
      <c r="AM492" s="562">
        <v>45430</v>
      </c>
      <c r="AN492" s="563">
        <v>409</v>
      </c>
      <c r="AO492" s="563">
        <v>995123</v>
      </c>
      <c r="AP492" s="563">
        <v>278.35820999999999</v>
      </c>
      <c r="AQ492" s="563">
        <v>113848.50788999999</v>
      </c>
      <c r="AR492" s="563">
        <v>1.9769000000000001</v>
      </c>
    </row>
    <row r="493" spans="39:44" x14ac:dyDescent="0.25">
      <c r="AM493" s="562">
        <v>45429</v>
      </c>
      <c r="AN493" s="563">
        <v>405.42</v>
      </c>
      <c r="AO493" s="563">
        <v>640330</v>
      </c>
      <c r="AP493" s="563">
        <v>278.35820999999999</v>
      </c>
      <c r="AQ493" s="563">
        <v>112851.9854982</v>
      </c>
      <c r="AR493" s="563">
        <v>1.9596</v>
      </c>
    </row>
    <row r="494" spans="39:44" x14ac:dyDescent="0.25">
      <c r="AM494" s="562">
        <v>45428</v>
      </c>
      <c r="AN494" s="563">
        <v>405.57</v>
      </c>
      <c r="AO494" s="563">
        <v>942025</v>
      </c>
      <c r="AP494" s="563">
        <v>278.35820999999999</v>
      </c>
      <c r="AQ494" s="563">
        <v>112893.73922969999</v>
      </c>
      <c r="AR494" s="563">
        <v>1.9602999999999999</v>
      </c>
    </row>
    <row r="495" spans="39:44" x14ac:dyDescent="0.25">
      <c r="AM495" s="562">
        <v>45427</v>
      </c>
      <c r="AN495" s="563">
        <v>401.84</v>
      </c>
      <c r="AO495" s="563">
        <v>1042754</v>
      </c>
      <c r="AP495" s="563">
        <v>278.35820999999999</v>
      </c>
      <c r="AQ495" s="563">
        <v>111855.46310639998</v>
      </c>
      <c r="AR495" s="563">
        <v>1.9422999999999999</v>
      </c>
    </row>
    <row r="496" spans="39:44" x14ac:dyDescent="0.25">
      <c r="AM496" s="562">
        <v>45426</v>
      </c>
      <c r="AN496" s="563">
        <v>400.96</v>
      </c>
      <c r="AO496" s="563">
        <v>1626960</v>
      </c>
      <c r="AP496" s="563">
        <v>278.35820999999999</v>
      </c>
      <c r="AQ496" s="563">
        <v>111610.50788159999</v>
      </c>
      <c r="AR496" s="563">
        <v>1.9379999999999999</v>
      </c>
    </row>
    <row r="497" spans="39:44" x14ac:dyDescent="0.25">
      <c r="AM497" s="562">
        <v>45425</v>
      </c>
      <c r="AN497" s="563">
        <v>400.96</v>
      </c>
      <c r="AO497" s="563">
        <v>1626960</v>
      </c>
      <c r="AP497" s="563">
        <v>278.35820999999999</v>
      </c>
      <c r="AQ497" s="563">
        <v>111610.50788159999</v>
      </c>
      <c r="AR497" s="563">
        <v>1.9379999999999999</v>
      </c>
    </row>
    <row r="498" spans="39:44" x14ac:dyDescent="0.25">
      <c r="AM498" s="562">
        <v>45424</v>
      </c>
      <c r="AN498" s="563">
        <v>400.96</v>
      </c>
      <c r="AO498" s="563">
        <v>1626960</v>
      </c>
      <c r="AP498" s="563">
        <v>278.35820999999999</v>
      </c>
      <c r="AQ498" s="563">
        <v>111610.50788159999</v>
      </c>
      <c r="AR498" s="563">
        <v>1.9379999999999999</v>
      </c>
    </row>
    <row r="499" spans="39:44" x14ac:dyDescent="0.25">
      <c r="AM499" s="562">
        <v>45423</v>
      </c>
      <c r="AN499" s="563">
        <v>395.96</v>
      </c>
      <c r="AO499" s="563">
        <v>1790112</v>
      </c>
      <c r="AP499" s="563">
        <v>278.35820999999999</v>
      </c>
      <c r="AQ499" s="563">
        <v>110218.71683159999</v>
      </c>
      <c r="AR499" s="563">
        <v>1.9137999999999999</v>
      </c>
    </row>
    <row r="500" spans="39:44" x14ac:dyDescent="0.25">
      <c r="AM500" s="562">
        <v>45422</v>
      </c>
      <c r="AN500" s="563">
        <v>387.5</v>
      </c>
      <c r="AO500" s="563">
        <v>2018089</v>
      </c>
      <c r="AP500" s="563">
        <v>278.35820999999999</v>
      </c>
      <c r="AQ500" s="563">
        <v>107863.806375</v>
      </c>
      <c r="AR500" s="563">
        <v>1.873</v>
      </c>
    </row>
    <row r="501" spans="39:44" x14ac:dyDescent="0.25">
      <c r="AM501" s="562">
        <v>45421</v>
      </c>
      <c r="AN501" s="563">
        <v>391.41</v>
      </c>
      <c r="AO501" s="563">
        <v>1016677</v>
      </c>
      <c r="AP501" s="563">
        <v>278.35820999999999</v>
      </c>
      <c r="AQ501" s="563">
        <v>108952.1869761</v>
      </c>
      <c r="AR501" s="563">
        <v>1.8918999999999999</v>
      </c>
    </row>
    <row r="502" spans="39:44" x14ac:dyDescent="0.25">
      <c r="AM502" s="562">
        <v>45420</v>
      </c>
      <c r="AN502" s="563">
        <v>400.96</v>
      </c>
      <c r="AO502" s="563">
        <v>847191</v>
      </c>
      <c r="AP502" s="563">
        <v>278.35820999999999</v>
      </c>
      <c r="AQ502" s="563">
        <v>111610.50788159999</v>
      </c>
      <c r="AR502" s="563">
        <v>1.9379999999999999</v>
      </c>
    </row>
    <row r="503" spans="39:44" x14ac:dyDescent="0.25">
      <c r="AM503" s="562">
        <v>45419</v>
      </c>
      <c r="AN503" s="563">
        <v>393.33</v>
      </c>
      <c r="AO503" s="563">
        <v>998338</v>
      </c>
      <c r="AP503" s="563">
        <v>278.35820999999999</v>
      </c>
      <c r="AQ503" s="563">
        <v>109486.63473929999</v>
      </c>
      <c r="AR503" s="563">
        <v>1.8661000000000001</v>
      </c>
    </row>
    <row r="504" spans="39:44" x14ac:dyDescent="0.25">
      <c r="AM504" s="562">
        <v>45418</v>
      </c>
      <c r="AN504" s="563">
        <v>393.33</v>
      </c>
      <c r="AO504" s="563">
        <v>998338</v>
      </c>
      <c r="AP504" s="563">
        <v>278.35820999999999</v>
      </c>
      <c r="AQ504" s="563">
        <v>109486.63473929999</v>
      </c>
      <c r="AR504" s="563">
        <v>1.8661000000000001</v>
      </c>
    </row>
    <row r="505" spans="39:44" x14ac:dyDescent="0.25">
      <c r="AM505" s="562">
        <v>45417</v>
      </c>
      <c r="AN505" s="563">
        <v>393.33</v>
      </c>
      <c r="AO505" s="563">
        <v>998338</v>
      </c>
      <c r="AP505" s="563">
        <v>278.35820999999999</v>
      </c>
      <c r="AQ505" s="563">
        <v>109486.63473929999</v>
      </c>
      <c r="AR505" s="563">
        <v>1.8661000000000001</v>
      </c>
    </row>
    <row r="506" spans="39:44" x14ac:dyDescent="0.25">
      <c r="AM506" s="562">
        <v>45416</v>
      </c>
      <c r="AN506" s="563">
        <v>394.06</v>
      </c>
      <c r="AO506" s="563">
        <v>1316947</v>
      </c>
      <c r="AP506" s="563">
        <v>278.35820999999999</v>
      </c>
      <c r="AQ506" s="563">
        <v>109689.83623259999</v>
      </c>
      <c r="AR506" s="563">
        <v>1.8695999999999999</v>
      </c>
    </row>
    <row r="507" spans="39:44" x14ac:dyDescent="0.25">
      <c r="AM507" s="562">
        <v>45415</v>
      </c>
      <c r="AN507" s="563">
        <v>394.62</v>
      </c>
      <c r="AO507" s="563">
        <v>986781</v>
      </c>
      <c r="AP507" s="563">
        <v>278.35820999999999</v>
      </c>
      <c r="AQ507" s="563">
        <v>109845.71683019999</v>
      </c>
      <c r="AR507" s="563">
        <v>1.8723000000000001</v>
      </c>
    </row>
    <row r="508" spans="39:44" x14ac:dyDescent="0.25">
      <c r="AM508" s="562">
        <v>45414</v>
      </c>
      <c r="AN508" s="563">
        <v>397.21</v>
      </c>
      <c r="AO508" s="563">
        <v>1278290</v>
      </c>
      <c r="AP508" s="563">
        <v>278.35820999999999</v>
      </c>
      <c r="AQ508" s="563">
        <v>110566.66459409999</v>
      </c>
      <c r="AR508" s="563">
        <v>1.8846000000000001</v>
      </c>
    </row>
    <row r="509" spans="39:44" x14ac:dyDescent="0.25">
      <c r="AM509" s="562">
        <v>45413</v>
      </c>
      <c r="AN509" s="563">
        <v>399.61</v>
      </c>
      <c r="AO509" s="563">
        <v>1005524</v>
      </c>
      <c r="AP509" s="563">
        <v>278.35820999999999</v>
      </c>
      <c r="AQ509" s="563">
        <v>111234.7242981</v>
      </c>
      <c r="AR509" s="563">
        <v>1.8958999999999999</v>
      </c>
    </row>
    <row r="510" spans="39:44" x14ac:dyDescent="0.25">
      <c r="AM510" s="562">
        <v>45412</v>
      </c>
      <c r="AN510" s="563">
        <v>400.32</v>
      </c>
      <c r="AO510" s="563">
        <v>1125406</v>
      </c>
      <c r="AP510" s="563">
        <v>278.35820999999999</v>
      </c>
      <c r="AQ510" s="563">
        <v>111432.3586272</v>
      </c>
      <c r="AR510" s="563">
        <v>1.8993</v>
      </c>
    </row>
    <row r="511" spans="39:44" x14ac:dyDescent="0.25">
      <c r="AM511" s="562">
        <v>45411</v>
      </c>
      <c r="AN511" s="563">
        <v>400.32</v>
      </c>
      <c r="AO511" s="563">
        <v>1125406</v>
      </c>
      <c r="AP511" s="563">
        <v>278.35820999999999</v>
      </c>
      <c r="AQ511" s="563">
        <v>111432.3586272</v>
      </c>
      <c r="AR511" s="563">
        <v>1.8993</v>
      </c>
    </row>
    <row r="512" spans="39:44" x14ac:dyDescent="0.25">
      <c r="AM512" s="562">
        <v>45410</v>
      </c>
      <c r="AN512" s="563">
        <v>400.32</v>
      </c>
      <c r="AO512" s="563">
        <v>1125406</v>
      </c>
      <c r="AP512" s="563">
        <v>278.35820999999999</v>
      </c>
      <c r="AQ512" s="563">
        <v>111432.3586272</v>
      </c>
      <c r="AR512" s="563">
        <v>1.8993</v>
      </c>
    </row>
    <row r="513" spans="39:44" x14ac:dyDescent="0.25">
      <c r="AM513" s="562">
        <v>45409</v>
      </c>
      <c r="AN513" s="563">
        <v>400.6</v>
      </c>
      <c r="AO513" s="563">
        <v>1562949</v>
      </c>
      <c r="AP513" s="563">
        <v>278.35820999999999</v>
      </c>
      <c r="AQ513" s="563">
        <v>111510.298926</v>
      </c>
      <c r="AR513" s="563">
        <v>1.9006000000000001</v>
      </c>
    </row>
    <row r="514" spans="39:44" x14ac:dyDescent="0.25">
      <c r="AM514" s="562">
        <v>45408</v>
      </c>
      <c r="AN514" s="563">
        <v>396.88</v>
      </c>
      <c r="AO514" s="563">
        <v>1442287</v>
      </c>
      <c r="AP514" s="563">
        <v>278.35820999999999</v>
      </c>
      <c r="AQ514" s="563">
        <v>110474.80638479999</v>
      </c>
      <c r="AR514" s="563">
        <v>1.883</v>
      </c>
    </row>
    <row r="515" spans="39:44" x14ac:dyDescent="0.25">
      <c r="AM515" s="562">
        <v>45407</v>
      </c>
      <c r="AN515" s="563">
        <v>393.01</v>
      </c>
      <c r="AO515" s="563">
        <v>1865373</v>
      </c>
      <c r="AP515" s="563">
        <v>278.35820999999999</v>
      </c>
      <c r="AQ515" s="563">
        <v>109397.56011209999</v>
      </c>
      <c r="AR515" s="563">
        <v>1.8646</v>
      </c>
    </row>
    <row r="516" spans="39:44" x14ac:dyDescent="0.25">
      <c r="AM516" s="562">
        <v>45406</v>
      </c>
      <c r="AN516" s="563">
        <v>393.8</v>
      </c>
      <c r="AO516" s="563">
        <v>1353286</v>
      </c>
      <c r="AP516" s="563">
        <v>278.35820999999999</v>
      </c>
      <c r="AQ516" s="563">
        <v>109617.46309799999</v>
      </c>
      <c r="AR516" s="563">
        <v>1.8684000000000001</v>
      </c>
    </row>
    <row r="517" spans="39:44" x14ac:dyDescent="0.25">
      <c r="AM517" s="562">
        <v>45405</v>
      </c>
      <c r="AN517" s="563">
        <v>397.27</v>
      </c>
      <c r="AO517" s="563">
        <v>1886049</v>
      </c>
      <c r="AP517" s="563">
        <v>278.35820999999999</v>
      </c>
      <c r="AQ517" s="563">
        <v>110583.36608669999</v>
      </c>
      <c r="AR517" s="563">
        <v>1.8848</v>
      </c>
    </row>
    <row r="518" spans="39:44" x14ac:dyDescent="0.25">
      <c r="AM518" s="562">
        <v>45404</v>
      </c>
      <c r="AN518" s="563">
        <v>397.27</v>
      </c>
      <c r="AO518" s="563">
        <v>1886049</v>
      </c>
      <c r="AP518" s="563">
        <v>278.35820999999999</v>
      </c>
      <c r="AQ518" s="563">
        <v>110583.36608669999</v>
      </c>
      <c r="AR518" s="563">
        <v>1.8848</v>
      </c>
    </row>
    <row r="519" spans="39:44" x14ac:dyDescent="0.25">
      <c r="AM519" s="562">
        <v>45403</v>
      </c>
      <c r="AN519" s="563">
        <v>397.27</v>
      </c>
      <c r="AO519" s="563">
        <v>1886049</v>
      </c>
      <c r="AP519" s="563">
        <v>278.35820999999999</v>
      </c>
      <c r="AQ519" s="563">
        <v>110583.36608669999</v>
      </c>
      <c r="AR519" s="563">
        <v>1.8848</v>
      </c>
    </row>
    <row r="520" spans="39:44" x14ac:dyDescent="0.25">
      <c r="AM520" s="562">
        <v>45402</v>
      </c>
      <c r="AN520" s="563">
        <v>412.84</v>
      </c>
      <c r="AO520" s="563">
        <v>1472958</v>
      </c>
      <c r="AP520" s="563">
        <v>278.35820999999999</v>
      </c>
      <c r="AQ520" s="563">
        <v>114917.40341639999</v>
      </c>
      <c r="AR520" s="563">
        <v>1.9587000000000001</v>
      </c>
    </row>
    <row r="521" spans="39:44" x14ac:dyDescent="0.25">
      <c r="AM521" s="562">
        <v>45401</v>
      </c>
      <c r="AN521" s="563">
        <v>411.97</v>
      </c>
      <c r="AO521" s="563">
        <v>1407738</v>
      </c>
      <c r="AP521" s="563">
        <v>278.35820999999999</v>
      </c>
      <c r="AQ521" s="563">
        <v>114675.2317737</v>
      </c>
      <c r="AR521" s="563">
        <v>1.9545999999999999</v>
      </c>
    </row>
    <row r="522" spans="39:44" x14ac:dyDescent="0.25">
      <c r="AM522" s="562">
        <v>45400</v>
      </c>
      <c r="AN522" s="563">
        <v>411.48</v>
      </c>
      <c r="AO522" s="563">
        <v>1114502</v>
      </c>
      <c r="AP522" s="563">
        <v>278.35820999999999</v>
      </c>
      <c r="AQ522" s="563">
        <v>114538.8362508</v>
      </c>
      <c r="AR522" s="563">
        <v>1.9522999999999999</v>
      </c>
    </row>
    <row r="523" spans="39:44" x14ac:dyDescent="0.25">
      <c r="AM523" s="562">
        <v>45399</v>
      </c>
      <c r="AN523" s="563">
        <v>410.75</v>
      </c>
      <c r="AO523" s="563">
        <v>1269842</v>
      </c>
      <c r="AP523" s="563">
        <v>278.35820999999999</v>
      </c>
      <c r="AQ523" s="563">
        <v>114335.6347575</v>
      </c>
      <c r="AR523" s="563">
        <v>1.9488000000000001</v>
      </c>
    </row>
    <row r="524" spans="39:44" x14ac:dyDescent="0.25">
      <c r="AM524" s="562">
        <v>45398</v>
      </c>
      <c r="AN524" s="563">
        <v>412.54</v>
      </c>
      <c r="AO524" s="563">
        <v>994476</v>
      </c>
      <c r="AP524" s="563">
        <v>278.35820999999999</v>
      </c>
      <c r="AQ524" s="563">
        <v>114833.8959534</v>
      </c>
      <c r="AR524" s="563">
        <v>1.9573</v>
      </c>
    </row>
    <row r="525" spans="39:44" x14ac:dyDescent="0.25">
      <c r="AM525" s="562">
        <v>45397</v>
      </c>
      <c r="AN525" s="563">
        <v>412.54</v>
      </c>
      <c r="AO525" s="563">
        <v>994476</v>
      </c>
      <c r="AP525" s="563">
        <v>278.35820999999999</v>
      </c>
      <c r="AQ525" s="563">
        <v>114833.8959534</v>
      </c>
      <c r="AR525" s="563">
        <v>1.9573</v>
      </c>
    </row>
    <row r="526" spans="39:44" x14ac:dyDescent="0.25">
      <c r="AM526" s="562">
        <v>45396</v>
      </c>
      <c r="AN526" s="563">
        <v>412.54</v>
      </c>
      <c r="AO526" s="563">
        <v>994476</v>
      </c>
      <c r="AP526" s="563">
        <v>278.35820999999999</v>
      </c>
      <c r="AQ526" s="563">
        <v>114833.8959534</v>
      </c>
      <c r="AR526" s="563">
        <v>1.9573</v>
      </c>
    </row>
    <row r="527" spans="39:44" x14ac:dyDescent="0.25">
      <c r="AM527" s="562">
        <v>45395</v>
      </c>
      <c r="AN527" s="563">
        <v>407.11</v>
      </c>
      <c r="AO527" s="563">
        <v>1218568</v>
      </c>
      <c r="AP527" s="563">
        <v>278.35820999999999</v>
      </c>
      <c r="AQ527" s="563">
        <v>113322.4108731</v>
      </c>
      <c r="AR527" s="563">
        <v>1.9315</v>
      </c>
    </row>
    <row r="528" spans="39:44" x14ac:dyDescent="0.25">
      <c r="AM528" s="562">
        <v>45394</v>
      </c>
      <c r="AN528" s="563">
        <v>406.03</v>
      </c>
      <c r="AO528" s="563">
        <v>1077389</v>
      </c>
      <c r="AP528" s="563">
        <v>278.35820999999999</v>
      </c>
      <c r="AQ528" s="563">
        <v>113021.78400629999</v>
      </c>
      <c r="AR528" s="563">
        <v>1.9263999999999999</v>
      </c>
    </row>
    <row r="529" spans="39:44" x14ac:dyDescent="0.25">
      <c r="AM529" s="562">
        <v>45393</v>
      </c>
      <c r="AN529" s="563">
        <v>404</v>
      </c>
      <c r="AO529" s="563">
        <v>1164615</v>
      </c>
      <c r="AP529" s="563">
        <v>278.35820999999999</v>
      </c>
      <c r="AQ529" s="563">
        <v>112456.71683999999</v>
      </c>
      <c r="AR529" s="563">
        <v>1.9168000000000001</v>
      </c>
    </row>
    <row r="530" spans="39:44" x14ac:dyDescent="0.25">
      <c r="AM530" s="562">
        <v>45392</v>
      </c>
      <c r="AN530" s="563">
        <v>404.14</v>
      </c>
      <c r="AO530" s="563">
        <v>1319513</v>
      </c>
      <c r="AP530" s="563">
        <v>278.35820999999999</v>
      </c>
      <c r="AQ530" s="563">
        <v>112495.6869894</v>
      </c>
      <c r="AR530" s="563">
        <v>1.9174</v>
      </c>
    </row>
    <row r="531" spans="39:44" x14ac:dyDescent="0.25">
      <c r="AM531" s="562">
        <v>45391</v>
      </c>
      <c r="AN531" s="563">
        <v>410.74</v>
      </c>
      <c r="AO531" s="563">
        <v>1426777</v>
      </c>
      <c r="AP531" s="563">
        <v>278.35820999999999</v>
      </c>
      <c r="AQ531" s="563">
        <v>114332.85117539999</v>
      </c>
      <c r="AR531" s="563">
        <v>1.9487000000000001</v>
      </c>
    </row>
    <row r="532" spans="39:44" x14ac:dyDescent="0.25">
      <c r="AM532" s="562">
        <v>45390</v>
      </c>
      <c r="AN532" s="563">
        <v>410.74</v>
      </c>
      <c r="AO532" s="563">
        <v>1426777</v>
      </c>
      <c r="AP532" s="563">
        <v>278.35820999999999</v>
      </c>
      <c r="AQ532" s="563">
        <v>114332.85117539999</v>
      </c>
      <c r="AR532" s="563">
        <v>1.9487000000000001</v>
      </c>
    </row>
    <row r="533" spans="39:44" x14ac:dyDescent="0.25">
      <c r="AM533" s="562">
        <v>45389</v>
      </c>
      <c r="AN533" s="563">
        <v>410.74</v>
      </c>
      <c r="AO533" s="563">
        <v>1426777</v>
      </c>
      <c r="AP533" s="563">
        <v>278.35820999999999</v>
      </c>
      <c r="AQ533" s="563">
        <v>114332.85117539999</v>
      </c>
      <c r="AR533" s="563">
        <v>1.9487000000000001</v>
      </c>
    </row>
    <row r="534" spans="39:44" x14ac:dyDescent="0.25">
      <c r="AM534" s="562">
        <v>45388</v>
      </c>
      <c r="AN534" s="563">
        <v>410.74</v>
      </c>
      <c r="AO534" s="563">
        <v>1426777</v>
      </c>
      <c r="AP534" s="563">
        <v>278.35820999999999</v>
      </c>
      <c r="AQ534" s="563">
        <v>114332.85117539999</v>
      </c>
      <c r="AR534" s="563">
        <v>1.9487000000000001</v>
      </c>
    </row>
    <row r="535" spans="39:44" x14ac:dyDescent="0.25">
      <c r="AM535" s="562">
        <v>45387</v>
      </c>
      <c r="AN535" s="563">
        <v>409.14</v>
      </c>
      <c r="AO535" s="563">
        <v>1544016</v>
      </c>
      <c r="AP535" s="563">
        <v>278.35820999999999</v>
      </c>
      <c r="AQ535" s="563">
        <v>113887.4780394</v>
      </c>
      <c r="AR535" s="563">
        <v>1.9412</v>
      </c>
    </row>
    <row r="536" spans="39:44" x14ac:dyDescent="0.25">
      <c r="AM536" s="562">
        <v>45386</v>
      </c>
      <c r="AN536" s="563">
        <v>398.52</v>
      </c>
      <c r="AO536" s="563">
        <v>1053208</v>
      </c>
      <c r="AP536" s="563">
        <v>278.35820999999999</v>
      </c>
      <c r="AQ536" s="563">
        <v>110931.31384919999</v>
      </c>
      <c r="AR536" s="563">
        <v>1.8908</v>
      </c>
    </row>
    <row r="537" spans="39:44" x14ac:dyDescent="0.25">
      <c r="AM537" s="562">
        <v>45385</v>
      </c>
      <c r="AN537" s="563">
        <v>398.03</v>
      </c>
      <c r="AO537" s="563">
        <v>1106511</v>
      </c>
      <c r="AP537" s="563">
        <v>278.35820999999999</v>
      </c>
      <c r="AQ537" s="563">
        <v>110794.91832629999</v>
      </c>
      <c r="AR537" s="563">
        <v>1.8884000000000001</v>
      </c>
    </row>
    <row r="538" spans="39:44" x14ac:dyDescent="0.25">
      <c r="AM538" s="562">
        <v>45384</v>
      </c>
      <c r="AN538" s="563">
        <v>398.86</v>
      </c>
      <c r="AO538" s="563">
        <v>1514764</v>
      </c>
      <c r="AP538" s="563">
        <v>278.35820999999999</v>
      </c>
      <c r="AQ538" s="563">
        <v>111025.9556406</v>
      </c>
      <c r="AR538" s="563">
        <v>1.8924000000000001</v>
      </c>
    </row>
    <row r="539" spans="39:44" x14ac:dyDescent="0.25">
      <c r="AM539" s="562">
        <v>45383</v>
      </c>
      <c r="AN539" s="563">
        <v>398.86</v>
      </c>
      <c r="AO539" s="563">
        <v>1514764</v>
      </c>
      <c r="AP539" s="563">
        <v>278.35820999999999</v>
      </c>
      <c r="AQ539" s="563">
        <v>111025.9556406</v>
      </c>
      <c r="AR539" s="563">
        <v>1.8924000000000001</v>
      </c>
    </row>
    <row r="540" spans="39:44" x14ac:dyDescent="0.25">
      <c r="AM540" s="562">
        <v>45382</v>
      </c>
      <c r="AN540" s="563">
        <v>398.86</v>
      </c>
      <c r="AO540" s="563">
        <v>1514764</v>
      </c>
      <c r="AP540" s="563">
        <v>278.35820999999999</v>
      </c>
      <c r="AQ540" s="563">
        <v>111025.9556406</v>
      </c>
      <c r="AR540" s="563">
        <v>1.8924000000000001</v>
      </c>
    </row>
    <row r="541" spans="39:44" x14ac:dyDescent="0.25">
      <c r="AM541" s="562">
        <v>45381</v>
      </c>
      <c r="AN541" s="563">
        <v>397.64</v>
      </c>
      <c r="AO541" s="563">
        <v>1412009</v>
      </c>
      <c r="AP541" s="563">
        <v>278.35820999999999</v>
      </c>
      <c r="AQ541" s="563">
        <v>110686.35862439999</v>
      </c>
      <c r="AR541" s="563">
        <v>1.8866000000000001</v>
      </c>
    </row>
    <row r="542" spans="39:44" x14ac:dyDescent="0.25">
      <c r="AM542" s="562">
        <v>45380</v>
      </c>
      <c r="AN542" s="563">
        <v>394.05</v>
      </c>
      <c r="AO542" s="563">
        <v>1763392</v>
      </c>
      <c r="AP542" s="563">
        <v>278.35820999999999</v>
      </c>
      <c r="AQ542" s="563">
        <v>109687.0526505</v>
      </c>
      <c r="AR542" s="563">
        <v>1.8695999999999999</v>
      </c>
    </row>
    <row r="543" spans="39:44" x14ac:dyDescent="0.25">
      <c r="AM543" s="562">
        <v>45379</v>
      </c>
      <c r="AN543" s="563">
        <v>391.51</v>
      </c>
      <c r="AO543" s="563">
        <v>1490596</v>
      </c>
      <c r="AP543" s="563">
        <v>278.35820999999999</v>
      </c>
      <c r="AQ543" s="563">
        <v>108980.0227971</v>
      </c>
      <c r="AR543" s="563">
        <v>1.8574999999999999</v>
      </c>
    </row>
    <row r="544" spans="39:44" x14ac:dyDescent="0.25">
      <c r="AM544" s="562">
        <v>45378</v>
      </c>
      <c r="AN544" s="563">
        <v>385.31</v>
      </c>
      <c r="AO544" s="563">
        <v>1145226</v>
      </c>
      <c r="AP544" s="563">
        <v>278.35820999999999</v>
      </c>
      <c r="AQ544" s="563">
        <v>107254.20189509999</v>
      </c>
      <c r="AR544" s="563">
        <v>1.8281000000000001</v>
      </c>
    </row>
    <row r="545" spans="39:44" x14ac:dyDescent="0.25">
      <c r="AM545" s="562">
        <v>45377</v>
      </c>
      <c r="AN545" s="563">
        <v>383.39</v>
      </c>
      <c r="AO545" s="563">
        <v>3448456</v>
      </c>
      <c r="AP545" s="563">
        <v>278.35820999999999</v>
      </c>
      <c r="AQ545" s="563">
        <v>106719.75413189999</v>
      </c>
      <c r="AR545" s="563">
        <v>1.819</v>
      </c>
    </row>
    <row r="546" spans="39:44" x14ac:dyDescent="0.25">
      <c r="AM546" s="562">
        <v>45376</v>
      </c>
      <c r="AN546" s="563">
        <v>383.39</v>
      </c>
      <c r="AO546" s="563">
        <v>3448456</v>
      </c>
      <c r="AP546" s="563">
        <v>278.35820999999999</v>
      </c>
      <c r="AQ546" s="563">
        <v>106719.75413189999</v>
      </c>
      <c r="AR546" s="563">
        <v>1.819</v>
      </c>
    </row>
    <row r="547" spans="39:44" x14ac:dyDescent="0.25">
      <c r="AM547" s="562">
        <v>45375</v>
      </c>
      <c r="AN547" s="563">
        <v>383.39</v>
      </c>
      <c r="AO547" s="563">
        <v>3448456</v>
      </c>
      <c r="AP547" s="563">
        <v>278.35820999999999</v>
      </c>
      <c r="AQ547" s="563">
        <v>106719.75413189999</v>
      </c>
      <c r="AR547" s="563">
        <v>1.819</v>
      </c>
    </row>
    <row r="548" spans="39:44" x14ac:dyDescent="0.25">
      <c r="AM548" s="562">
        <v>45374</v>
      </c>
      <c r="AN548" s="563">
        <v>380.23</v>
      </c>
      <c r="AO548" s="563">
        <v>1436371</v>
      </c>
      <c r="AP548" s="563">
        <v>278.35820999999999</v>
      </c>
      <c r="AQ548" s="563">
        <v>105840.1421883</v>
      </c>
      <c r="AR548" s="563">
        <v>1.804</v>
      </c>
    </row>
    <row r="549" spans="39:44" x14ac:dyDescent="0.25">
      <c r="AM549" s="562">
        <v>45373</v>
      </c>
      <c r="AN549" s="563">
        <v>378.85</v>
      </c>
      <c r="AO549" s="563">
        <v>1250718</v>
      </c>
      <c r="AP549" s="563">
        <v>278.35820999999999</v>
      </c>
      <c r="AQ549" s="563">
        <v>105456.0078585</v>
      </c>
      <c r="AR549" s="563">
        <v>1.7974000000000001</v>
      </c>
    </row>
    <row r="550" spans="39:44" x14ac:dyDescent="0.25">
      <c r="AM550" s="562">
        <v>45372</v>
      </c>
      <c r="AN550" s="563">
        <v>372.65</v>
      </c>
      <c r="AO550" s="563">
        <v>1140931</v>
      </c>
      <c r="AP550" s="563">
        <v>278.35820999999999</v>
      </c>
      <c r="AQ550" s="563">
        <v>103730.18695649999</v>
      </c>
      <c r="AR550" s="563">
        <v>1.768</v>
      </c>
    </row>
    <row r="551" spans="39:44" x14ac:dyDescent="0.25">
      <c r="AM551" s="562">
        <v>45371</v>
      </c>
      <c r="AN551" s="563">
        <v>375.05</v>
      </c>
      <c r="AO551" s="563">
        <v>855848</v>
      </c>
      <c r="AP551" s="563">
        <v>278.35820999999999</v>
      </c>
      <c r="AQ551" s="563">
        <v>104398.24666049999</v>
      </c>
      <c r="AR551" s="563">
        <v>1.7794000000000001</v>
      </c>
    </row>
    <row r="552" spans="39:44" x14ac:dyDescent="0.25">
      <c r="AM552" s="562">
        <v>45370</v>
      </c>
      <c r="AN552" s="563">
        <v>374.1</v>
      </c>
      <c r="AO552" s="563">
        <v>1064814</v>
      </c>
      <c r="AP552" s="563">
        <v>278.35820999999999</v>
      </c>
      <c r="AQ552" s="563">
        <v>104133.806361</v>
      </c>
      <c r="AR552" s="563">
        <v>1.7748999999999999</v>
      </c>
    </row>
    <row r="553" spans="39:44" x14ac:dyDescent="0.25">
      <c r="AM553" s="562">
        <v>45369</v>
      </c>
      <c r="AN553" s="563">
        <v>374.1</v>
      </c>
      <c r="AO553" s="563">
        <v>1064814</v>
      </c>
      <c r="AP553" s="563">
        <v>278.35820999999999</v>
      </c>
      <c r="AQ553" s="563">
        <v>104133.806361</v>
      </c>
      <c r="AR553" s="563">
        <v>1.7748999999999999</v>
      </c>
    </row>
    <row r="554" spans="39:44" x14ac:dyDescent="0.25">
      <c r="AM554" s="562">
        <v>45368</v>
      </c>
      <c r="AN554" s="563">
        <v>374.1</v>
      </c>
      <c r="AO554" s="563">
        <v>1064814</v>
      </c>
      <c r="AP554" s="563">
        <v>278.35820999999999</v>
      </c>
      <c r="AQ554" s="563">
        <v>104133.806361</v>
      </c>
      <c r="AR554" s="563">
        <v>1.7748999999999999</v>
      </c>
    </row>
    <row r="555" spans="39:44" x14ac:dyDescent="0.25">
      <c r="AM555" s="562">
        <v>45367</v>
      </c>
      <c r="AN555" s="563">
        <v>375.32</v>
      </c>
      <c r="AO555" s="563">
        <v>1844639</v>
      </c>
      <c r="AP555" s="563">
        <v>278.35820999999999</v>
      </c>
      <c r="AQ555" s="563">
        <v>104473.4033772</v>
      </c>
      <c r="AR555" s="563">
        <v>1.7806999999999999</v>
      </c>
    </row>
    <row r="556" spans="39:44" x14ac:dyDescent="0.25">
      <c r="AM556" s="562">
        <v>45366</v>
      </c>
      <c r="AN556" s="563">
        <v>366.63</v>
      </c>
      <c r="AO556" s="563">
        <v>1068836</v>
      </c>
      <c r="AP556" s="563">
        <v>278.35820999999999</v>
      </c>
      <c r="AQ556" s="563">
        <v>102054.47053229999</v>
      </c>
      <c r="AR556" s="563">
        <v>1.7395</v>
      </c>
    </row>
    <row r="557" spans="39:44" x14ac:dyDescent="0.25">
      <c r="AM557" s="562">
        <v>45365</v>
      </c>
      <c r="AN557" s="563">
        <v>366.73</v>
      </c>
      <c r="AO557" s="563">
        <v>1710194</v>
      </c>
      <c r="AP557" s="563">
        <v>278.35820999999999</v>
      </c>
      <c r="AQ557" s="563">
        <v>102082.30635329999</v>
      </c>
      <c r="AR557" s="563">
        <v>1.7399</v>
      </c>
    </row>
    <row r="558" spans="39:44" x14ac:dyDescent="0.25">
      <c r="AM558" s="562">
        <v>45364</v>
      </c>
      <c r="AN558" s="563">
        <v>364.42</v>
      </c>
      <c r="AO558" s="563">
        <v>1334967</v>
      </c>
      <c r="AP558" s="563">
        <v>278.35820999999999</v>
      </c>
      <c r="AQ558" s="563">
        <v>101439.29888820001</v>
      </c>
      <c r="AR558" s="563">
        <v>1.7290000000000001</v>
      </c>
    </row>
    <row r="559" spans="39:44" x14ac:dyDescent="0.25">
      <c r="AM559" s="562">
        <v>45363</v>
      </c>
      <c r="AN559" s="563">
        <v>367.85</v>
      </c>
      <c r="AO559" s="563">
        <v>1967262</v>
      </c>
      <c r="AP559" s="563">
        <v>278.35820999999999</v>
      </c>
      <c r="AQ559" s="563">
        <v>102394.0675485</v>
      </c>
      <c r="AR559" s="563">
        <v>1.7453000000000001</v>
      </c>
    </row>
    <row r="560" spans="39:44" x14ac:dyDescent="0.25">
      <c r="AM560" s="562">
        <v>45362</v>
      </c>
      <c r="AN560" s="563">
        <v>367.85</v>
      </c>
      <c r="AO560" s="563">
        <v>1967262</v>
      </c>
      <c r="AP560" s="563">
        <v>278.35820999999999</v>
      </c>
      <c r="AQ560" s="563">
        <v>102394.0675485</v>
      </c>
      <c r="AR560" s="563">
        <v>1.7453000000000001</v>
      </c>
    </row>
    <row r="561" spans="39:44" x14ac:dyDescent="0.25">
      <c r="AM561" s="562">
        <v>45361</v>
      </c>
      <c r="AN561" s="563">
        <v>367.85</v>
      </c>
      <c r="AO561" s="563">
        <v>1967262</v>
      </c>
      <c r="AP561" s="563">
        <v>278.35820999999999</v>
      </c>
      <c r="AQ561" s="563">
        <v>102394.0675485</v>
      </c>
      <c r="AR561" s="563">
        <v>1.7453000000000001</v>
      </c>
    </row>
    <row r="562" spans="39:44" x14ac:dyDescent="0.25">
      <c r="AM562" s="562">
        <v>45360</v>
      </c>
      <c r="AN562" s="563">
        <v>365.05</v>
      </c>
      <c r="AO562" s="563">
        <v>2491371</v>
      </c>
      <c r="AP562" s="563">
        <v>278.35820999999999</v>
      </c>
      <c r="AQ562" s="563">
        <v>101614.66456049999</v>
      </c>
      <c r="AR562" s="563">
        <v>1.732</v>
      </c>
    </row>
    <row r="563" spans="39:44" x14ac:dyDescent="0.25">
      <c r="AM563" s="562">
        <v>45359</v>
      </c>
      <c r="AN563" s="563">
        <v>364.81</v>
      </c>
      <c r="AO563" s="563">
        <v>1673139</v>
      </c>
      <c r="AP563" s="563">
        <v>279.98986000000002</v>
      </c>
      <c r="AQ563" s="563">
        <v>102143.10082660001</v>
      </c>
      <c r="AR563" s="563">
        <v>1.7307999999999999</v>
      </c>
    </row>
    <row r="564" spans="39:44" x14ac:dyDescent="0.25">
      <c r="AM564" s="562">
        <v>45358</v>
      </c>
      <c r="AN564" s="563">
        <v>360.66</v>
      </c>
      <c r="AO564" s="563">
        <v>1559821</v>
      </c>
      <c r="AP564" s="563">
        <v>279.98986000000002</v>
      </c>
      <c r="AQ564" s="563">
        <v>100981.14290760002</v>
      </c>
      <c r="AR564" s="563">
        <v>1.7111000000000001</v>
      </c>
    </row>
    <row r="565" spans="39:44" x14ac:dyDescent="0.25">
      <c r="AM565" s="562">
        <v>45357</v>
      </c>
      <c r="AN565" s="563">
        <v>363.21</v>
      </c>
      <c r="AO565" s="563">
        <v>1592507</v>
      </c>
      <c r="AP565" s="563">
        <v>279.98986000000002</v>
      </c>
      <c r="AQ565" s="563">
        <v>101695.11705060001</v>
      </c>
      <c r="AR565" s="563">
        <v>1.7232000000000001</v>
      </c>
    </row>
    <row r="566" spans="39:44" x14ac:dyDescent="0.25">
      <c r="AM566" s="562">
        <v>45356</v>
      </c>
      <c r="AN566" s="563">
        <v>364.66</v>
      </c>
      <c r="AO566" s="563">
        <v>1704312</v>
      </c>
      <c r="AP566" s="563">
        <v>279.98986000000002</v>
      </c>
      <c r="AQ566" s="563">
        <v>102101.10234760001</v>
      </c>
      <c r="AR566" s="563">
        <v>1.7301</v>
      </c>
    </row>
    <row r="567" spans="39:44" x14ac:dyDescent="0.25">
      <c r="AM567" s="562">
        <v>45355</v>
      </c>
      <c r="AN567" s="563">
        <v>364.66</v>
      </c>
      <c r="AO567" s="563">
        <v>1704312</v>
      </c>
      <c r="AP567" s="563">
        <v>279.98986000000002</v>
      </c>
      <c r="AQ567" s="563">
        <v>102101.10234760001</v>
      </c>
      <c r="AR567" s="563">
        <v>1.7301</v>
      </c>
    </row>
    <row r="568" spans="39:44" x14ac:dyDescent="0.25">
      <c r="AM568" s="562">
        <v>45354</v>
      </c>
      <c r="AN568" s="563">
        <v>364.66</v>
      </c>
      <c r="AO568" s="563">
        <v>1704312</v>
      </c>
      <c r="AP568" s="563">
        <v>279.98986000000002</v>
      </c>
      <c r="AQ568" s="563">
        <v>102101.10234760001</v>
      </c>
      <c r="AR568" s="563">
        <v>1.7301</v>
      </c>
    </row>
    <row r="569" spans="39:44" x14ac:dyDescent="0.25">
      <c r="AM569" s="562">
        <v>45353</v>
      </c>
      <c r="AN569" s="563">
        <v>356.78</v>
      </c>
      <c r="AO569" s="563">
        <v>2198080</v>
      </c>
      <c r="AP569" s="563">
        <v>279.98986000000002</v>
      </c>
      <c r="AQ569" s="563">
        <v>99894.782250799995</v>
      </c>
      <c r="AR569" s="563">
        <v>1.6927000000000001</v>
      </c>
    </row>
    <row r="570" spans="39:44" x14ac:dyDescent="0.25">
      <c r="AM570" s="562">
        <v>45352</v>
      </c>
      <c r="AN570" s="563">
        <v>357.29</v>
      </c>
      <c r="AO570" s="563">
        <v>1364519</v>
      </c>
      <c r="AP570" s="563">
        <v>279.98986000000002</v>
      </c>
      <c r="AQ570" s="563">
        <v>100037.57707940001</v>
      </c>
      <c r="AR570" s="563">
        <v>1.6952</v>
      </c>
    </row>
    <row r="571" spans="39:44" x14ac:dyDescent="0.25">
      <c r="AM571" s="562">
        <v>45351</v>
      </c>
      <c r="AN571" s="563">
        <v>357.38</v>
      </c>
      <c r="AO571" s="563">
        <v>1973770</v>
      </c>
      <c r="AP571" s="563">
        <v>279.98986000000002</v>
      </c>
      <c r="AQ571" s="563">
        <v>100062.7761668</v>
      </c>
      <c r="AR571" s="563">
        <v>1.6956</v>
      </c>
    </row>
    <row r="572" spans="39:44" x14ac:dyDescent="0.25">
      <c r="AM572" s="562">
        <v>45350</v>
      </c>
      <c r="AN572" s="563">
        <v>360.68</v>
      </c>
      <c r="AO572" s="563">
        <v>2274348</v>
      </c>
      <c r="AP572" s="563">
        <v>279.98986000000002</v>
      </c>
      <c r="AQ572" s="563">
        <v>100986.74270480001</v>
      </c>
      <c r="AR572" s="563">
        <v>1.7112000000000001</v>
      </c>
    </row>
    <row r="573" spans="39:44" x14ac:dyDescent="0.25">
      <c r="AM573" s="562">
        <v>45349</v>
      </c>
      <c r="AN573" s="563">
        <v>360.68</v>
      </c>
      <c r="AO573" s="563">
        <v>2274348</v>
      </c>
      <c r="AP573" s="563">
        <v>279.98986000000002</v>
      </c>
      <c r="AQ573" s="563">
        <v>100986.74270480001</v>
      </c>
      <c r="AR573" s="563">
        <v>1.7112000000000001</v>
      </c>
    </row>
    <row r="574" spans="39:44" x14ac:dyDescent="0.25">
      <c r="AM574" s="562">
        <v>45348</v>
      </c>
      <c r="AN574" s="563">
        <v>360.68</v>
      </c>
      <c r="AO574" s="563">
        <v>2274348</v>
      </c>
      <c r="AP574" s="563">
        <v>279.98986000000002</v>
      </c>
      <c r="AQ574" s="563">
        <v>100986.74270480001</v>
      </c>
      <c r="AR574" s="563">
        <v>1.7112000000000001</v>
      </c>
    </row>
    <row r="575" spans="39:44" x14ac:dyDescent="0.25">
      <c r="AM575" s="562">
        <v>45347</v>
      </c>
      <c r="AN575" s="563">
        <v>360.68</v>
      </c>
      <c r="AO575" s="563">
        <v>2274348</v>
      </c>
      <c r="AP575" s="563">
        <v>279.98986000000002</v>
      </c>
      <c r="AQ575" s="563">
        <v>100986.74270480001</v>
      </c>
      <c r="AR575" s="563">
        <v>1.7112000000000001</v>
      </c>
    </row>
    <row r="576" spans="39:44" x14ac:dyDescent="0.25">
      <c r="AM576" s="562">
        <v>45346</v>
      </c>
      <c r="AN576" s="563">
        <v>364.66</v>
      </c>
      <c r="AO576" s="563">
        <v>4933780</v>
      </c>
      <c r="AP576" s="563">
        <v>279.98986000000002</v>
      </c>
      <c r="AQ576" s="563">
        <v>102101.10234760001</v>
      </c>
      <c r="AR576" s="563">
        <v>1.7301</v>
      </c>
    </row>
    <row r="577" spans="39:44" x14ac:dyDescent="0.25">
      <c r="AM577" s="562">
        <v>45345</v>
      </c>
      <c r="AN577" s="563">
        <v>384.78</v>
      </c>
      <c r="AO577" s="563">
        <v>2409036</v>
      </c>
      <c r="AP577" s="563">
        <v>279.98986000000002</v>
      </c>
      <c r="AQ577" s="563">
        <v>107734.49833079999</v>
      </c>
      <c r="AR577" s="563">
        <v>1.8255999999999999</v>
      </c>
    </row>
    <row r="578" spans="39:44" x14ac:dyDescent="0.25">
      <c r="AM578" s="562">
        <v>45344</v>
      </c>
      <c r="AN578" s="563">
        <v>379.27</v>
      </c>
      <c r="AO578" s="563">
        <v>1765241</v>
      </c>
      <c r="AP578" s="563">
        <v>279.98986000000002</v>
      </c>
      <c r="AQ578" s="563">
        <v>106191.7542022</v>
      </c>
      <c r="AR578" s="563">
        <v>1.7994000000000001</v>
      </c>
    </row>
    <row r="579" spans="39:44" x14ac:dyDescent="0.25">
      <c r="AM579" s="562">
        <v>45343</v>
      </c>
      <c r="AN579" s="563">
        <v>389.39</v>
      </c>
      <c r="AO579" s="563">
        <v>1698168</v>
      </c>
      <c r="AP579" s="563">
        <v>279.98986000000002</v>
      </c>
      <c r="AQ579" s="563">
        <v>109025.25158540001</v>
      </c>
      <c r="AR579" s="563">
        <v>1.8474999999999999</v>
      </c>
    </row>
    <row r="580" spans="39:44" x14ac:dyDescent="0.25">
      <c r="AM580" s="562">
        <v>45342</v>
      </c>
      <c r="AN580" s="563">
        <v>381.29</v>
      </c>
      <c r="AO580" s="563">
        <v>1426496</v>
      </c>
      <c r="AP580" s="563">
        <v>279.98986000000002</v>
      </c>
      <c r="AQ580" s="563">
        <v>106757.33371940002</v>
      </c>
      <c r="AR580" s="563">
        <v>1.8089999999999999</v>
      </c>
    </row>
    <row r="581" spans="39:44" x14ac:dyDescent="0.25">
      <c r="AM581" s="562">
        <v>45341</v>
      </c>
      <c r="AN581" s="563">
        <v>381.29</v>
      </c>
      <c r="AO581" s="563">
        <v>1426496</v>
      </c>
      <c r="AP581" s="563">
        <v>279.98986000000002</v>
      </c>
      <c r="AQ581" s="563">
        <v>106757.33371940002</v>
      </c>
      <c r="AR581" s="563">
        <v>1.8089999999999999</v>
      </c>
    </row>
    <row r="582" spans="39:44" x14ac:dyDescent="0.25">
      <c r="AM582" s="562">
        <v>45340</v>
      </c>
      <c r="AN582" s="563">
        <v>381.29</v>
      </c>
      <c r="AO582" s="563">
        <v>1426496</v>
      </c>
      <c r="AP582" s="563">
        <v>279.98986000000002</v>
      </c>
      <c r="AQ582" s="563">
        <v>106757.33371940002</v>
      </c>
      <c r="AR582" s="563">
        <v>1.8089999999999999</v>
      </c>
    </row>
    <row r="583" spans="39:44" x14ac:dyDescent="0.25">
      <c r="AM583" s="562">
        <v>45339</v>
      </c>
      <c r="AN583" s="563">
        <v>385.83</v>
      </c>
      <c r="AO583" s="563">
        <v>1141987</v>
      </c>
      <c r="AP583" s="563">
        <v>279.98986000000002</v>
      </c>
      <c r="AQ583" s="563">
        <v>108028.48768380001</v>
      </c>
      <c r="AR583" s="563">
        <v>1.8306</v>
      </c>
    </row>
    <row r="584" spans="39:44" x14ac:dyDescent="0.25">
      <c r="AM584" s="562">
        <v>45338</v>
      </c>
      <c r="AN584" s="563">
        <v>385.95</v>
      </c>
      <c r="AO584" s="563">
        <v>1671472</v>
      </c>
      <c r="AP584" s="563">
        <v>279.98986000000002</v>
      </c>
      <c r="AQ584" s="563">
        <v>108062.086467</v>
      </c>
      <c r="AR584" s="563">
        <v>1.8310999999999999</v>
      </c>
    </row>
    <row r="585" spans="39:44" x14ac:dyDescent="0.25">
      <c r="AM585" s="562">
        <v>45337</v>
      </c>
      <c r="AN585" s="563">
        <v>388.9</v>
      </c>
      <c r="AO585" s="563">
        <v>1740712</v>
      </c>
      <c r="AP585" s="563">
        <v>279.98986000000002</v>
      </c>
      <c r="AQ585" s="563">
        <v>108888.056554</v>
      </c>
      <c r="AR585" s="563">
        <v>1.8451</v>
      </c>
    </row>
    <row r="586" spans="39:44" x14ac:dyDescent="0.25">
      <c r="AM586" s="562">
        <v>45336</v>
      </c>
      <c r="AN586" s="563">
        <v>386.03</v>
      </c>
      <c r="AO586" s="563">
        <v>2164068</v>
      </c>
      <c r="AP586" s="563">
        <v>279.98986000000002</v>
      </c>
      <c r="AQ586" s="563">
        <v>108084.4856558</v>
      </c>
      <c r="AR586" s="563">
        <v>1.8314999999999999</v>
      </c>
    </row>
    <row r="587" spans="39:44" x14ac:dyDescent="0.25">
      <c r="AM587" s="562">
        <v>45335</v>
      </c>
      <c r="AN587" s="563">
        <v>392.6</v>
      </c>
      <c r="AO587" s="563">
        <v>1666920</v>
      </c>
      <c r="AP587" s="563">
        <v>279.98986000000002</v>
      </c>
      <c r="AQ587" s="563">
        <v>109924.01903600001</v>
      </c>
      <c r="AR587" s="563">
        <v>1.8627</v>
      </c>
    </row>
    <row r="588" spans="39:44" x14ac:dyDescent="0.25">
      <c r="AM588" s="562">
        <v>45334</v>
      </c>
      <c r="AN588" s="563">
        <v>392.6</v>
      </c>
      <c r="AO588" s="563">
        <v>1666920</v>
      </c>
      <c r="AP588" s="563">
        <v>279.98986000000002</v>
      </c>
      <c r="AQ588" s="563">
        <v>109924.01903600001</v>
      </c>
      <c r="AR588" s="563">
        <v>1.8627</v>
      </c>
    </row>
    <row r="589" spans="39:44" x14ac:dyDescent="0.25">
      <c r="AM589" s="562">
        <v>45333</v>
      </c>
      <c r="AN589" s="563">
        <v>392.6</v>
      </c>
      <c r="AO589" s="563">
        <v>1666920</v>
      </c>
      <c r="AP589" s="563">
        <v>279.98986000000002</v>
      </c>
      <c r="AQ589" s="563">
        <v>109924.01903600001</v>
      </c>
      <c r="AR589" s="563">
        <v>1.8627</v>
      </c>
    </row>
    <row r="590" spans="39:44" x14ac:dyDescent="0.25">
      <c r="AM590" s="562">
        <v>45332</v>
      </c>
      <c r="AN590" s="563">
        <v>393.68</v>
      </c>
      <c r="AO590" s="563">
        <v>1485631</v>
      </c>
      <c r="AP590" s="563">
        <v>279.98986000000002</v>
      </c>
      <c r="AQ590" s="563">
        <v>110226.40808480002</v>
      </c>
      <c r="AR590" s="563">
        <v>1.8677999999999999</v>
      </c>
    </row>
    <row r="591" spans="39:44" x14ac:dyDescent="0.25">
      <c r="AM591" s="562">
        <v>45331</v>
      </c>
      <c r="AN591" s="563">
        <v>393.58</v>
      </c>
      <c r="AO591" s="563">
        <v>1342451</v>
      </c>
      <c r="AP591" s="563">
        <v>279.98986000000002</v>
      </c>
      <c r="AQ591" s="563">
        <v>110198.40909880001</v>
      </c>
      <c r="AR591" s="563">
        <v>1.8673</v>
      </c>
    </row>
    <row r="592" spans="39:44" x14ac:dyDescent="0.25">
      <c r="AM592" s="562">
        <v>45330</v>
      </c>
      <c r="AN592" s="563">
        <v>396.93</v>
      </c>
      <c r="AO592" s="563">
        <v>1098288</v>
      </c>
      <c r="AP592" s="563">
        <v>279.98986000000002</v>
      </c>
      <c r="AQ592" s="563">
        <v>111136.37512980001</v>
      </c>
      <c r="AR592" s="563">
        <v>1.8832</v>
      </c>
    </row>
    <row r="593" spans="39:44" x14ac:dyDescent="0.25">
      <c r="AM593" s="562">
        <v>45329</v>
      </c>
      <c r="AN593" s="563">
        <v>397.68</v>
      </c>
      <c r="AO593" s="563">
        <v>969505</v>
      </c>
      <c r="AP593" s="563">
        <v>279.98986000000002</v>
      </c>
      <c r="AQ593" s="563">
        <v>111346.36752480001</v>
      </c>
      <c r="AR593" s="563">
        <v>1.8868</v>
      </c>
    </row>
    <row r="594" spans="39:44" x14ac:dyDescent="0.25">
      <c r="AM594" s="562">
        <v>45328</v>
      </c>
      <c r="AN594" s="563">
        <v>393.62</v>
      </c>
      <c r="AO594" s="563">
        <v>884867</v>
      </c>
      <c r="AP594" s="563">
        <v>279.98986000000002</v>
      </c>
      <c r="AQ594" s="563">
        <v>110209.6086932</v>
      </c>
      <c r="AR594" s="563">
        <v>1.8766</v>
      </c>
    </row>
    <row r="595" spans="39:44" x14ac:dyDescent="0.25">
      <c r="AM595" s="562">
        <v>45327</v>
      </c>
      <c r="AN595" s="563">
        <v>393.62</v>
      </c>
      <c r="AO595" s="563">
        <v>884867</v>
      </c>
      <c r="AP595" s="563">
        <v>279.98986000000002</v>
      </c>
      <c r="AQ595" s="563">
        <v>110209.6086932</v>
      </c>
      <c r="AR595" s="563">
        <v>1.8766</v>
      </c>
    </row>
    <row r="596" spans="39:44" x14ac:dyDescent="0.25">
      <c r="AM596" s="562">
        <v>45326</v>
      </c>
      <c r="AN596" s="563">
        <v>393.62</v>
      </c>
      <c r="AO596" s="563">
        <v>884867</v>
      </c>
      <c r="AP596" s="563">
        <v>279.98986000000002</v>
      </c>
      <c r="AQ596" s="563">
        <v>110209.6086932</v>
      </c>
      <c r="AR596" s="563">
        <v>1.8766</v>
      </c>
    </row>
    <row r="597" spans="39:44" x14ac:dyDescent="0.25">
      <c r="AM597" s="562">
        <v>45325</v>
      </c>
      <c r="AN597" s="563">
        <v>393.01</v>
      </c>
      <c r="AO597" s="563">
        <v>1103528</v>
      </c>
      <c r="AP597" s="563">
        <v>279.98986000000002</v>
      </c>
      <c r="AQ597" s="563">
        <v>110038.81487860001</v>
      </c>
      <c r="AR597" s="563">
        <v>1.8736999999999999</v>
      </c>
    </row>
    <row r="598" spans="39:44" x14ac:dyDescent="0.25">
      <c r="AM598" s="562">
        <v>45324</v>
      </c>
      <c r="AN598" s="563">
        <v>388.41</v>
      </c>
      <c r="AO598" s="563">
        <v>1447765</v>
      </c>
      <c r="AP598" s="563">
        <v>279.98986000000002</v>
      </c>
      <c r="AQ598" s="563">
        <v>108750.86152260001</v>
      </c>
      <c r="AR598" s="563">
        <v>1.8517999999999999</v>
      </c>
    </row>
    <row r="599" spans="39:44" x14ac:dyDescent="0.25">
      <c r="AM599" s="562">
        <v>45323</v>
      </c>
      <c r="AN599" s="563">
        <v>387.46</v>
      </c>
      <c r="AO599" s="563">
        <v>954977</v>
      </c>
      <c r="AP599" s="563">
        <v>279.98986000000002</v>
      </c>
      <c r="AQ599" s="563">
        <v>108484.87115560001</v>
      </c>
      <c r="AR599" s="563">
        <v>1.8472</v>
      </c>
    </row>
    <row r="600" spans="39:44" x14ac:dyDescent="0.25">
      <c r="AM600" s="562">
        <v>45322</v>
      </c>
      <c r="AN600" s="563">
        <v>384.59</v>
      </c>
      <c r="AO600" s="563">
        <v>1113633</v>
      </c>
      <c r="AP600" s="563">
        <v>279.98986000000002</v>
      </c>
      <c r="AQ600" s="563">
        <v>107681.3002574</v>
      </c>
      <c r="AR600" s="563">
        <v>1.8335999999999999</v>
      </c>
    </row>
    <row r="601" spans="39:44" x14ac:dyDescent="0.25">
      <c r="AM601" s="562">
        <v>45321</v>
      </c>
      <c r="AN601" s="563">
        <v>382.72</v>
      </c>
      <c r="AO601" s="563">
        <v>1223122</v>
      </c>
      <c r="AP601" s="563">
        <v>279.98986000000002</v>
      </c>
      <c r="AQ601" s="563">
        <v>107157.71921920002</v>
      </c>
      <c r="AR601" s="563">
        <v>1.8246</v>
      </c>
    </row>
    <row r="602" spans="39:44" x14ac:dyDescent="0.25">
      <c r="AM602" s="562">
        <v>45320</v>
      </c>
      <c r="AN602" s="563">
        <v>382.72</v>
      </c>
      <c r="AO602" s="563">
        <v>1223122</v>
      </c>
      <c r="AP602" s="563">
        <v>279.98986000000002</v>
      </c>
      <c r="AQ602" s="563">
        <v>107157.71921920002</v>
      </c>
      <c r="AR602" s="563">
        <v>1.8246</v>
      </c>
    </row>
    <row r="603" spans="39:44" x14ac:dyDescent="0.25">
      <c r="AM603" s="562">
        <v>45319</v>
      </c>
      <c r="AN603" s="563">
        <v>382.72</v>
      </c>
      <c r="AO603" s="563">
        <v>1223122</v>
      </c>
      <c r="AP603" s="563">
        <v>279.98986000000002</v>
      </c>
      <c r="AQ603" s="563">
        <v>107157.71921920002</v>
      </c>
      <c r="AR603" s="563">
        <v>1.8246</v>
      </c>
    </row>
    <row r="604" spans="39:44" x14ac:dyDescent="0.25">
      <c r="AM604" s="562">
        <v>45318</v>
      </c>
      <c r="AN604" s="563">
        <v>381.39</v>
      </c>
      <c r="AO604" s="563">
        <v>1125947</v>
      </c>
      <c r="AP604" s="563">
        <v>279.98986000000002</v>
      </c>
      <c r="AQ604" s="563">
        <v>106785.33270540001</v>
      </c>
      <c r="AR604" s="563">
        <v>1.8183</v>
      </c>
    </row>
    <row r="605" spans="39:44" x14ac:dyDescent="0.25">
      <c r="AM605" s="562">
        <v>45317</v>
      </c>
      <c r="AN605" s="563">
        <v>378.61</v>
      </c>
      <c r="AO605" s="563">
        <v>1466344</v>
      </c>
      <c r="AP605" s="563">
        <v>279.98986000000002</v>
      </c>
      <c r="AQ605" s="563">
        <v>106006.96089460001</v>
      </c>
      <c r="AR605" s="563">
        <v>1.8049999999999999</v>
      </c>
    </row>
    <row r="606" spans="39:44" x14ac:dyDescent="0.25">
      <c r="AM606" s="562">
        <v>45316</v>
      </c>
      <c r="AN606" s="563">
        <v>385.35</v>
      </c>
      <c r="AO606" s="563">
        <v>1292917</v>
      </c>
      <c r="AP606" s="563">
        <v>279.98986000000002</v>
      </c>
      <c r="AQ606" s="563">
        <v>107894.09255100001</v>
      </c>
      <c r="AR606" s="563">
        <v>1.8371999999999999</v>
      </c>
    </row>
    <row r="607" spans="39:44" x14ac:dyDescent="0.25">
      <c r="AM607" s="562">
        <v>45315</v>
      </c>
      <c r="AN607" s="563">
        <v>386.51</v>
      </c>
      <c r="AO607" s="563">
        <v>1221788</v>
      </c>
      <c r="AP607" s="563">
        <v>279.98986000000002</v>
      </c>
      <c r="AQ607" s="563">
        <v>108218.8807886</v>
      </c>
      <c r="AR607" s="563">
        <v>1.8427</v>
      </c>
    </row>
    <row r="608" spans="39:44" x14ac:dyDescent="0.25">
      <c r="AM608" s="562">
        <v>45314</v>
      </c>
      <c r="AN608" s="563">
        <v>386.51</v>
      </c>
      <c r="AO608" s="563">
        <v>1221788</v>
      </c>
      <c r="AP608" s="563">
        <v>279.98986000000002</v>
      </c>
      <c r="AQ608" s="563">
        <v>108218.8807886</v>
      </c>
      <c r="AR608" s="563">
        <v>1.8427</v>
      </c>
    </row>
    <row r="609" spans="39:44" x14ac:dyDescent="0.25">
      <c r="AM609" s="562">
        <v>45313</v>
      </c>
      <c r="AN609" s="563">
        <v>386.51</v>
      </c>
      <c r="AO609" s="563">
        <v>1221788</v>
      </c>
      <c r="AP609" s="563">
        <v>279.98986000000002</v>
      </c>
      <c r="AQ609" s="563">
        <v>108218.8807886</v>
      </c>
      <c r="AR609" s="563">
        <v>1.8427</v>
      </c>
    </row>
    <row r="610" spans="39:44" x14ac:dyDescent="0.25">
      <c r="AM610" s="562">
        <v>45312</v>
      </c>
      <c r="AN610" s="563">
        <v>386.51</v>
      </c>
      <c r="AO610" s="563">
        <v>1221788</v>
      </c>
      <c r="AP610" s="563">
        <v>279.98986000000002</v>
      </c>
      <c r="AQ610" s="563">
        <v>108218.8807886</v>
      </c>
      <c r="AR610" s="563">
        <v>1.8427</v>
      </c>
    </row>
    <row r="611" spans="39:44" x14ac:dyDescent="0.25">
      <c r="AM611" s="562">
        <v>45311</v>
      </c>
      <c r="AN611" s="563">
        <v>390.22</v>
      </c>
      <c r="AO611" s="563">
        <v>1190633</v>
      </c>
      <c r="AP611" s="563">
        <v>279.98986000000002</v>
      </c>
      <c r="AQ611" s="563">
        <v>109257.64316920002</v>
      </c>
      <c r="AR611" s="563">
        <v>1.8604000000000001</v>
      </c>
    </row>
    <row r="612" spans="39:44" x14ac:dyDescent="0.25">
      <c r="AM612" s="562">
        <v>45310</v>
      </c>
      <c r="AN612" s="563">
        <v>393.71</v>
      </c>
      <c r="AO612" s="563">
        <v>1003895</v>
      </c>
      <c r="AP612" s="563">
        <v>279.98986000000002</v>
      </c>
      <c r="AQ612" s="563">
        <v>110234.80778060001</v>
      </c>
      <c r="AR612" s="563">
        <v>1.877</v>
      </c>
    </row>
    <row r="613" spans="39:44" x14ac:dyDescent="0.25">
      <c r="AM613" s="562">
        <v>45309</v>
      </c>
      <c r="AN613" s="563">
        <v>393.22</v>
      </c>
      <c r="AO613" s="563">
        <v>1012452</v>
      </c>
      <c r="AP613" s="563">
        <v>280.25544000000002</v>
      </c>
      <c r="AQ613" s="563">
        <v>110202.04411680001</v>
      </c>
      <c r="AR613" s="563">
        <v>1.8747</v>
      </c>
    </row>
    <row r="614" spans="39:44" x14ac:dyDescent="0.25">
      <c r="AM614" s="562">
        <v>45308</v>
      </c>
      <c r="AN614" s="563">
        <v>397.98</v>
      </c>
      <c r="AO614" s="563">
        <v>1233377</v>
      </c>
      <c r="AP614" s="563">
        <v>280.25544000000002</v>
      </c>
      <c r="AQ614" s="563">
        <v>111536.06001120001</v>
      </c>
      <c r="AR614" s="563">
        <v>1.8974</v>
      </c>
    </row>
    <row r="615" spans="39:44" x14ac:dyDescent="0.25">
      <c r="AM615" s="562">
        <v>45307</v>
      </c>
      <c r="AN615" s="563">
        <v>395.96</v>
      </c>
      <c r="AO615" s="563">
        <v>1100346</v>
      </c>
      <c r="AP615" s="563">
        <v>280.25544000000002</v>
      </c>
      <c r="AQ615" s="563">
        <v>110969.9440224</v>
      </c>
      <c r="AR615" s="563">
        <v>1.8877999999999999</v>
      </c>
    </row>
    <row r="616" spans="39:44" x14ac:dyDescent="0.25">
      <c r="AM616" s="562">
        <v>45306</v>
      </c>
      <c r="AN616" s="563">
        <v>395.96</v>
      </c>
      <c r="AO616" s="563">
        <v>1100346</v>
      </c>
      <c r="AP616" s="563">
        <v>280.25544000000002</v>
      </c>
      <c r="AQ616" s="563">
        <v>110969.9440224</v>
      </c>
      <c r="AR616" s="563">
        <v>1.8877999999999999</v>
      </c>
    </row>
    <row r="617" spans="39:44" x14ac:dyDescent="0.25">
      <c r="AM617" s="562">
        <v>45305</v>
      </c>
      <c r="AN617" s="563">
        <v>395.96</v>
      </c>
      <c r="AO617" s="563">
        <v>1100346</v>
      </c>
      <c r="AP617" s="563">
        <v>280.25544000000002</v>
      </c>
      <c r="AQ617" s="563">
        <v>110969.9440224</v>
      </c>
      <c r="AR617" s="563">
        <v>1.8877999999999999</v>
      </c>
    </row>
    <row r="618" spans="39:44" x14ac:dyDescent="0.25">
      <c r="AM618" s="562">
        <v>45304</v>
      </c>
      <c r="AN618" s="563">
        <v>392.39</v>
      </c>
      <c r="AO618" s="563">
        <v>1332129</v>
      </c>
      <c r="AP618" s="563">
        <v>280.25544000000002</v>
      </c>
      <c r="AQ618" s="563">
        <v>109969.4321016</v>
      </c>
      <c r="AR618" s="563">
        <v>1.8707</v>
      </c>
    </row>
    <row r="619" spans="39:44" x14ac:dyDescent="0.25">
      <c r="AM619" s="562">
        <v>45303</v>
      </c>
      <c r="AN619" s="563">
        <v>393.35</v>
      </c>
      <c r="AO619" s="563">
        <v>1397639</v>
      </c>
      <c r="AP619" s="563">
        <v>280.25544000000002</v>
      </c>
      <c r="AQ619" s="563">
        <v>110238.47732400002</v>
      </c>
      <c r="AR619" s="563">
        <v>1.8753</v>
      </c>
    </row>
    <row r="620" spans="39:44" x14ac:dyDescent="0.25">
      <c r="AM620" s="562">
        <v>45302</v>
      </c>
      <c r="AN620" s="563">
        <v>400.91</v>
      </c>
      <c r="AO620" s="563">
        <v>1414830</v>
      </c>
      <c r="AP620" s="563">
        <v>280.25544000000002</v>
      </c>
      <c r="AQ620" s="563">
        <v>112357.20845040001</v>
      </c>
      <c r="AR620" s="563">
        <v>1.9114</v>
      </c>
    </row>
    <row r="621" spans="39:44" x14ac:dyDescent="0.25">
      <c r="AM621" s="562">
        <v>45301</v>
      </c>
      <c r="AN621" s="563">
        <v>399.87</v>
      </c>
      <c r="AO621" s="563">
        <v>1104338</v>
      </c>
      <c r="AP621" s="563">
        <v>280.25544000000002</v>
      </c>
      <c r="AQ621" s="563">
        <v>112065.74279280001</v>
      </c>
      <c r="AR621" s="563">
        <v>1.9064000000000001</v>
      </c>
    </row>
    <row r="622" spans="39:44" x14ac:dyDescent="0.25">
      <c r="AM622" s="562">
        <v>45300</v>
      </c>
      <c r="AN622" s="563">
        <v>399.87</v>
      </c>
      <c r="AO622" s="563">
        <v>1104338</v>
      </c>
      <c r="AP622" s="563">
        <v>280.25544000000002</v>
      </c>
      <c r="AQ622" s="563">
        <v>112065.74279280001</v>
      </c>
      <c r="AR622" s="563">
        <v>1.9064000000000001</v>
      </c>
    </row>
    <row r="623" spans="39:44" x14ac:dyDescent="0.25">
      <c r="AM623" s="562">
        <v>45299</v>
      </c>
      <c r="AN623" s="563">
        <v>399.87</v>
      </c>
      <c r="AO623" s="563">
        <v>1104338</v>
      </c>
      <c r="AP623" s="563">
        <v>280.25544000000002</v>
      </c>
      <c r="AQ623" s="563">
        <v>112065.74279280001</v>
      </c>
      <c r="AR623" s="563">
        <v>1.9064000000000001</v>
      </c>
    </row>
    <row r="624" spans="39:44" x14ac:dyDescent="0.25">
      <c r="AM624" s="562">
        <v>45298</v>
      </c>
      <c r="AN624" s="563">
        <v>399.87</v>
      </c>
      <c r="AO624" s="563">
        <v>1104338</v>
      </c>
      <c r="AP624" s="563">
        <v>280.25544000000002</v>
      </c>
      <c r="AQ624" s="563">
        <v>112065.74279280001</v>
      </c>
      <c r="AR624" s="563">
        <v>1.9064000000000001</v>
      </c>
    </row>
    <row r="625" spans="39:44" x14ac:dyDescent="0.25">
      <c r="AM625" s="562">
        <v>45297</v>
      </c>
      <c r="AN625" s="563">
        <v>399.26</v>
      </c>
      <c r="AO625" s="563">
        <v>1125212</v>
      </c>
      <c r="AP625" s="563">
        <v>280.25544000000002</v>
      </c>
      <c r="AQ625" s="563">
        <v>111894.78697440001</v>
      </c>
      <c r="AR625" s="563">
        <v>1.9035</v>
      </c>
    </row>
    <row r="626" spans="39:44" x14ac:dyDescent="0.25">
      <c r="AM626" s="562">
        <v>45296</v>
      </c>
      <c r="AN626" s="563">
        <v>401.64</v>
      </c>
      <c r="AO626" s="563">
        <v>823667</v>
      </c>
      <c r="AP626" s="563">
        <v>280.25544000000002</v>
      </c>
      <c r="AQ626" s="563">
        <v>112561.7949216</v>
      </c>
      <c r="AR626" s="563">
        <v>1.9148000000000001</v>
      </c>
    </row>
    <row r="627" spans="39:44" x14ac:dyDescent="0.25">
      <c r="AM627" s="562">
        <v>45295</v>
      </c>
      <c r="AN627" s="563">
        <v>401.27</v>
      </c>
      <c r="AO627" s="563">
        <v>966177</v>
      </c>
      <c r="AP627" s="563">
        <v>280.25544000000002</v>
      </c>
      <c r="AQ627" s="563">
        <v>112458.1004088</v>
      </c>
      <c r="AR627" s="563">
        <v>1.9131</v>
      </c>
    </row>
    <row r="628" spans="39:44" x14ac:dyDescent="0.25">
      <c r="AM628" s="562">
        <v>45294</v>
      </c>
      <c r="AN628" s="563">
        <v>396.82</v>
      </c>
      <c r="AO628" s="563">
        <v>1077338</v>
      </c>
      <c r="AP628" s="563">
        <v>280.25544000000002</v>
      </c>
      <c r="AQ628" s="563">
        <v>111210.96370080001</v>
      </c>
      <c r="AR628" s="563">
        <v>1.8918999999999999</v>
      </c>
    </row>
    <row r="629" spans="39:44" x14ac:dyDescent="0.25">
      <c r="AM629" s="562">
        <v>45293</v>
      </c>
      <c r="AN629" s="563">
        <v>396.82</v>
      </c>
      <c r="AO629" s="563">
        <v>1077338</v>
      </c>
      <c r="AP629" s="563">
        <v>280.25544000000002</v>
      </c>
      <c r="AQ629" s="563">
        <v>111210.96370080001</v>
      </c>
      <c r="AR629" s="563">
        <v>1.8918999999999999</v>
      </c>
    </row>
    <row r="630" spans="39:44" x14ac:dyDescent="0.25">
      <c r="AM630" s="562">
        <v>45292</v>
      </c>
      <c r="AN630" s="563">
        <v>396.82</v>
      </c>
      <c r="AO630" s="563">
        <v>1077338</v>
      </c>
      <c r="AP630" s="563">
        <v>280.25544000000002</v>
      </c>
      <c r="AQ630" s="563">
        <v>111210.96370080001</v>
      </c>
      <c r="AR630" s="563">
        <v>1.8918999999999999</v>
      </c>
    </row>
    <row r="631" spans="39:44" x14ac:dyDescent="0.25">
      <c r="AM631" s="562">
        <v>45291</v>
      </c>
      <c r="AN631" s="563">
        <v>396.82</v>
      </c>
      <c r="AO631" s="563">
        <v>1077338</v>
      </c>
      <c r="AP631" s="563">
        <v>280.25544000000002</v>
      </c>
      <c r="AQ631" s="563">
        <v>111210.96370080001</v>
      </c>
      <c r="AR631" s="563">
        <v>1.8918999999999999</v>
      </c>
    </row>
    <row r="632" spans="39:44" x14ac:dyDescent="0.25">
      <c r="AM632" s="562">
        <v>45290</v>
      </c>
      <c r="AN632" s="563">
        <v>393.34</v>
      </c>
      <c r="AO632" s="563">
        <v>923319</v>
      </c>
      <c r="AP632" s="563">
        <v>280.25544000000002</v>
      </c>
      <c r="AQ632" s="563">
        <v>110235.67476959999</v>
      </c>
      <c r="AR632" s="563">
        <v>1.8753</v>
      </c>
    </row>
    <row r="633" spans="39:44" x14ac:dyDescent="0.25">
      <c r="AM633" s="562">
        <v>45289</v>
      </c>
      <c r="AN633" s="563">
        <v>387.26</v>
      </c>
      <c r="AO633" s="563">
        <v>1592340</v>
      </c>
      <c r="AP633" s="563">
        <v>280.25544000000002</v>
      </c>
      <c r="AQ633" s="563">
        <v>108531.72169440001</v>
      </c>
      <c r="AR633" s="563">
        <v>1.8463000000000001</v>
      </c>
    </row>
    <row r="634" spans="39:44" x14ac:dyDescent="0.25">
      <c r="AM634" s="562">
        <v>45288</v>
      </c>
      <c r="AN634" s="563">
        <v>393.94</v>
      </c>
      <c r="AO634" s="563">
        <v>2078511</v>
      </c>
      <c r="AP634" s="563">
        <v>280.25544000000002</v>
      </c>
      <c r="AQ634" s="563">
        <v>110403.8280336</v>
      </c>
      <c r="AR634" s="563">
        <v>1.8781000000000001</v>
      </c>
    </row>
    <row r="635" spans="39:44" x14ac:dyDescent="0.25">
      <c r="AM635" s="562">
        <v>45287</v>
      </c>
      <c r="AN635" s="563">
        <v>382.76</v>
      </c>
      <c r="AO635" s="563">
        <v>1404594</v>
      </c>
      <c r="AP635" s="563">
        <v>280.25544000000002</v>
      </c>
      <c r="AQ635" s="563">
        <v>107270.5722144</v>
      </c>
      <c r="AR635" s="563">
        <v>1.8248</v>
      </c>
    </row>
    <row r="636" spans="39:44" x14ac:dyDescent="0.25">
      <c r="AM636" s="562">
        <v>45286</v>
      </c>
      <c r="AN636" s="563">
        <v>386.07</v>
      </c>
      <c r="AO636" s="563">
        <v>3891407</v>
      </c>
      <c r="AP636" s="563">
        <v>280.25544000000002</v>
      </c>
      <c r="AQ636" s="563">
        <v>108198.21772080001</v>
      </c>
      <c r="AR636" s="563">
        <v>1.8406</v>
      </c>
    </row>
    <row r="637" spans="39:44" x14ac:dyDescent="0.25">
      <c r="AM637" s="562">
        <v>45285</v>
      </c>
      <c r="AN637" s="563">
        <v>386.07</v>
      </c>
      <c r="AO637" s="563">
        <v>3891407</v>
      </c>
      <c r="AP637" s="563">
        <v>280.25544000000002</v>
      </c>
      <c r="AQ637" s="563">
        <v>108198.21772080001</v>
      </c>
      <c r="AR637" s="563">
        <v>1.8406</v>
      </c>
    </row>
    <row r="638" spans="39:44" x14ac:dyDescent="0.25">
      <c r="AM638" s="562">
        <v>45284</v>
      </c>
      <c r="AN638" s="563">
        <v>386.07</v>
      </c>
      <c r="AO638" s="563">
        <v>3891407</v>
      </c>
      <c r="AP638" s="563">
        <v>280.25544000000002</v>
      </c>
      <c r="AQ638" s="563">
        <v>108198.21772080001</v>
      </c>
      <c r="AR638" s="563">
        <v>1.8406</v>
      </c>
    </row>
    <row r="639" spans="39:44" x14ac:dyDescent="0.25">
      <c r="AM639" s="562">
        <v>45283</v>
      </c>
      <c r="AN639" s="563">
        <v>388.42</v>
      </c>
      <c r="AO639" s="563">
        <v>3575951</v>
      </c>
      <c r="AP639" s="563">
        <v>288.00058000000001</v>
      </c>
      <c r="AQ639" s="563">
        <v>111865.1852836</v>
      </c>
      <c r="AR639" s="563">
        <v>1.8517999999999999</v>
      </c>
    </row>
    <row r="640" spans="39:44" x14ac:dyDescent="0.25">
      <c r="AM640" s="562">
        <v>45282</v>
      </c>
      <c r="AN640" s="563">
        <v>377.01</v>
      </c>
      <c r="AO640" s="563">
        <v>3406894</v>
      </c>
      <c r="AP640" s="563">
        <v>288.00058000000001</v>
      </c>
      <c r="AQ640" s="563">
        <v>108579.0986658</v>
      </c>
      <c r="AR640" s="563">
        <v>1.7974000000000001</v>
      </c>
    </row>
    <row r="641" spans="39:44" x14ac:dyDescent="0.25">
      <c r="AM641" s="562">
        <v>45281</v>
      </c>
      <c r="AN641" s="563">
        <v>359.39</v>
      </c>
      <c r="AO641" s="563">
        <v>1832114</v>
      </c>
      <c r="AP641" s="563">
        <v>288.00058000000001</v>
      </c>
      <c r="AQ641" s="563">
        <v>103504.5284462</v>
      </c>
      <c r="AR641" s="563">
        <v>1.7134</v>
      </c>
    </row>
    <row r="642" spans="39:44" x14ac:dyDescent="0.25">
      <c r="AM642" s="562">
        <v>45280</v>
      </c>
      <c r="AN642" s="563">
        <v>361.03</v>
      </c>
      <c r="AO642" s="563">
        <v>2057864</v>
      </c>
      <c r="AP642" s="563">
        <v>288.00058000000001</v>
      </c>
      <c r="AQ642" s="563">
        <v>103976.8493974</v>
      </c>
      <c r="AR642" s="563">
        <v>1.7212000000000001</v>
      </c>
    </row>
    <row r="643" spans="39:44" x14ac:dyDescent="0.25">
      <c r="AM643" s="562">
        <v>45279</v>
      </c>
      <c r="AN643" s="563">
        <v>363.67</v>
      </c>
      <c r="AO643" s="563">
        <v>2060489</v>
      </c>
      <c r="AP643" s="563">
        <v>288.00058000000001</v>
      </c>
      <c r="AQ643" s="563">
        <v>104737.17092860001</v>
      </c>
      <c r="AR643" s="563">
        <v>1.7338</v>
      </c>
    </row>
    <row r="644" spans="39:44" x14ac:dyDescent="0.25">
      <c r="AM644" s="562">
        <v>45278</v>
      </c>
      <c r="AN644" s="563">
        <v>363.67</v>
      </c>
      <c r="AO644" s="563">
        <v>2060489</v>
      </c>
      <c r="AP644" s="563">
        <v>288.00058000000001</v>
      </c>
      <c r="AQ644" s="563">
        <v>104737.17092860001</v>
      </c>
      <c r="AR644" s="563">
        <v>1.7338</v>
      </c>
    </row>
    <row r="645" spans="39:44" x14ac:dyDescent="0.25">
      <c r="AM645" s="562">
        <v>45277</v>
      </c>
      <c r="AN645" s="563">
        <v>363.67</v>
      </c>
      <c r="AO645" s="563">
        <v>2060489</v>
      </c>
      <c r="AP645" s="563">
        <v>288.00058000000001</v>
      </c>
      <c r="AQ645" s="563">
        <v>104737.17092860001</v>
      </c>
      <c r="AR645" s="563">
        <v>1.7338</v>
      </c>
    </row>
    <row r="646" spans="39:44" x14ac:dyDescent="0.25">
      <c r="AM646" s="562">
        <v>45276</v>
      </c>
      <c r="AN646" s="563">
        <v>361.22</v>
      </c>
      <c r="AO646" s="563">
        <v>2753831</v>
      </c>
      <c r="AP646" s="563">
        <v>288.00058000000001</v>
      </c>
      <c r="AQ646" s="563">
        <v>104031.56950760001</v>
      </c>
      <c r="AR646" s="563">
        <v>1.7221</v>
      </c>
    </row>
    <row r="647" spans="39:44" x14ac:dyDescent="0.25">
      <c r="AM647" s="562">
        <v>45275</v>
      </c>
      <c r="AN647" s="563">
        <v>365.54</v>
      </c>
      <c r="AO647" s="563">
        <v>3218320</v>
      </c>
      <c r="AP647" s="563">
        <v>288.00058000000001</v>
      </c>
      <c r="AQ647" s="563">
        <v>105275.73201320002</v>
      </c>
      <c r="AR647" s="563">
        <v>1.7426999999999999</v>
      </c>
    </row>
    <row r="648" spans="39:44" x14ac:dyDescent="0.25">
      <c r="AM648" s="562">
        <v>45274</v>
      </c>
      <c r="AN648" s="563">
        <v>361.14</v>
      </c>
      <c r="AO648" s="563">
        <v>1572659</v>
      </c>
      <c r="AP648" s="563">
        <v>288.00058000000001</v>
      </c>
      <c r="AQ648" s="563">
        <v>104008.5294612</v>
      </c>
      <c r="AR648" s="563">
        <v>1.7218</v>
      </c>
    </row>
    <row r="649" spans="39:44" x14ac:dyDescent="0.25">
      <c r="AM649" s="562">
        <v>45273</v>
      </c>
      <c r="AN649" s="563">
        <v>368.93</v>
      </c>
      <c r="AO649" s="563">
        <v>1406019</v>
      </c>
      <c r="AP649" s="563">
        <v>288.00058000000001</v>
      </c>
      <c r="AQ649" s="563">
        <v>106252.05397940001</v>
      </c>
      <c r="AR649" s="563">
        <v>1.7588999999999999</v>
      </c>
    </row>
    <row r="650" spans="39:44" x14ac:dyDescent="0.25">
      <c r="AM650" s="562">
        <v>45272</v>
      </c>
      <c r="AN650" s="563">
        <v>368.81</v>
      </c>
      <c r="AO650" s="563">
        <v>1764888</v>
      </c>
      <c r="AP650" s="563">
        <v>288.00058000000001</v>
      </c>
      <c r="AQ650" s="563">
        <v>106217.4939098</v>
      </c>
      <c r="AR650" s="563">
        <v>1.7583</v>
      </c>
    </row>
    <row r="651" spans="39:44" x14ac:dyDescent="0.25">
      <c r="AM651" s="562">
        <v>45271</v>
      </c>
      <c r="AN651" s="563">
        <v>368.81</v>
      </c>
      <c r="AO651" s="563">
        <v>1764888</v>
      </c>
      <c r="AP651" s="563">
        <v>288.00058000000001</v>
      </c>
      <c r="AQ651" s="563">
        <v>106217.4939098</v>
      </c>
      <c r="AR651" s="563">
        <v>1.7583</v>
      </c>
    </row>
    <row r="652" spans="39:44" x14ac:dyDescent="0.25">
      <c r="AM652" s="562">
        <v>45270</v>
      </c>
      <c r="AN652" s="563">
        <v>368.81</v>
      </c>
      <c r="AO652" s="563">
        <v>1764888</v>
      </c>
      <c r="AP652" s="563">
        <v>288.00058000000001</v>
      </c>
      <c r="AQ652" s="563">
        <v>106217.4939098</v>
      </c>
      <c r="AR652" s="563">
        <v>1.7583</v>
      </c>
    </row>
    <row r="653" spans="39:44" x14ac:dyDescent="0.25">
      <c r="AM653" s="562">
        <v>45269</v>
      </c>
      <c r="AN653" s="563">
        <v>364.41</v>
      </c>
      <c r="AO653" s="563">
        <v>1950212</v>
      </c>
      <c r="AP653" s="563">
        <v>288.00058000000001</v>
      </c>
      <c r="AQ653" s="563">
        <v>104950.29135780002</v>
      </c>
      <c r="AR653" s="563">
        <v>1.7373000000000001</v>
      </c>
    </row>
    <row r="654" spans="39:44" x14ac:dyDescent="0.25">
      <c r="AM654" s="562">
        <v>45268</v>
      </c>
      <c r="AN654" s="563">
        <v>363.94</v>
      </c>
      <c r="AO654" s="563">
        <v>2263455</v>
      </c>
      <c r="AP654" s="563">
        <v>288.00058000000001</v>
      </c>
      <c r="AQ654" s="563">
        <v>104814.93108520001</v>
      </c>
      <c r="AR654" s="563">
        <v>1.7351000000000001</v>
      </c>
    </row>
    <row r="655" spans="39:44" x14ac:dyDescent="0.25">
      <c r="AM655" s="562">
        <v>45267</v>
      </c>
      <c r="AN655" s="563">
        <v>360.02</v>
      </c>
      <c r="AO655" s="563">
        <v>1904781</v>
      </c>
      <c r="AP655" s="563">
        <v>288.00058000000001</v>
      </c>
      <c r="AQ655" s="563">
        <v>103685.9688116</v>
      </c>
      <c r="AR655" s="563">
        <v>1.7163999999999999</v>
      </c>
    </row>
    <row r="656" spans="39:44" x14ac:dyDescent="0.25">
      <c r="AM656" s="562">
        <v>45266</v>
      </c>
      <c r="AN656" s="563">
        <v>362.21</v>
      </c>
      <c r="AO656" s="563">
        <v>2322197</v>
      </c>
      <c r="AP656" s="563">
        <v>288.00058000000001</v>
      </c>
      <c r="AQ656" s="563">
        <v>104316.6900818</v>
      </c>
      <c r="AR656" s="563">
        <v>1.7269000000000001</v>
      </c>
    </row>
    <row r="657" spans="39:44" x14ac:dyDescent="0.25">
      <c r="AM657" s="562">
        <v>45265</v>
      </c>
      <c r="AN657" s="563">
        <v>370.19</v>
      </c>
      <c r="AO657" s="563">
        <v>1275270</v>
      </c>
      <c r="AP657" s="563">
        <v>288.00058000000001</v>
      </c>
      <c r="AQ657" s="563">
        <v>106614.9347102</v>
      </c>
      <c r="AR657" s="563">
        <v>1.7648999999999999</v>
      </c>
    </row>
    <row r="658" spans="39:44" x14ac:dyDescent="0.25">
      <c r="AM658" s="562">
        <v>45264</v>
      </c>
      <c r="AN658" s="563">
        <v>370.19</v>
      </c>
      <c r="AO658" s="563">
        <v>1275270</v>
      </c>
      <c r="AP658" s="563">
        <v>288.00058000000001</v>
      </c>
      <c r="AQ658" s="563">
        <v>106614.9347102</v>
      </c>
      <c r="AR658" s="563">
        <v>1.7648999999999999</v>
      </c>
    </row>
    <row r="659" spans="39:44" x14ac:dyDescent="0.25">
      <c r="AM659" s="562">
        <v>45263</v>
      </c>
      <c r="AN659" s="563">
        <v>370.19</v>
      </c>
      <c r="AO659" s="563">
        <v>1275270</v>
      </c>
      <c r="AP659" s="563">
        <v>288.00058000000001</v>
      </c>
      <c r="AQ659" s="563">
        <v>106614.9347102</v>
      </c>
      <c r="AR659" s="563">
        <v>1.7648999999999999</v>
      </c>
    </row>
    <row r="660" spans="39:44" x14ac:dyDescent="0.25">
      <c r="AM660" s="562">
        <v>45262</v>
      </c>
      <c r="AN660" s="563">
        <v>370.76</v>
      </c>
      <c r="AO660" s="563">
        <v>6305481</v>
      </c>
      <c r="AP660" s="563">
        <v>288.00058000000001</v>
      </c>
      <c r="AQ660" s="563">
        <v>106779.09504080001</v>
      </c>
      <c r="AR660" s="563">
        <v>1.7676000000000001</v>
      </c>
    </row>
    <row r="661" spans="39:44" x14ac:dyDescent="0.25">
      <c r="AM661" s="562">
        <v>45261</v>
      </c>
      <c r="AN661" s="563">
        <v>370.76</v>
      </c>
      <c r="AO661" s="563">
        <v>6305481</v>
      </c>
      <c r="AP661" s="563">
        <v>288.00058000000001</v>
      </c>
      <c r="AQ661" s="563">
        <v>106779.09504080001</v>
      </c>
      <c r="AR661" s="563">
        <v>1.7676000000000001</v>
      </c>
    </row>
    <row r="662" spans="39:44" x14ac:dyDescent="0.25">
      <c r="AM662" s="562">
        <v>45260</v>
      </c>
      <c r="AN662" s="563">
        <v>382.65</v>
      </c>
      <c r="AO662" s="563">
        <v>2163097</v>
      </c>
      <c r="AP662" s="563">
        <v>288.00058000000001</v>
      </c>
      <c r="AQ662" s="563">
        <v>110203.42193699999</v>
      </c>
      <c r="AR662" s="563">
        <v>1.8243</v>
      </c>
    </row>
    <row r="663" spans="39:44" x14ac:dyDescent="0.25">
      <c r="AM663" s="562">
        <v>45259</v>
      </c>
      <c r="AN663" s="563">
        <v>380.33</v>
      </c>
      <c r="AO663" s="563">
        <v>2198785</v>
      </c>
      <c r="AP663" s="563">
        <v>288.00058000000001</v>
      </c>
      <c r="AQ663" s="563">
        <v>109535.2605914</v>
      </c>
      <c r="AR663" s="563">
        <v>1.8131999999999999</v>
      </c>
    </row>
    <row r="664" spans="39:44" x14ac:dyDescent="0.25">
      <c r="AM664" s="562">
        <v>45258</v>
      </c>
      <c r="AN664" s="563">
        <v>384.15</v>
      </c>
      <c r="AO664" s="563">
        <v>1342869</v>
      </c>
      <c r="AP664" s="563">
        <v>288.00058000000001</v>
      </c>
      <c r="AQ664" s="563">
        <v>110635.422807</v>
      </c>
      <c r="AR664" s="563">
        <v>1.8314999999999999</v>
      </c>
    </row>
    <row r="665" spans="39:44" x14ac:dyDescent="0.25">
      <c r="AM665" s="562">
        <v>45257</v>
      </c>
      <c r="AN665" s="563">
        <v>384.15</v>
      </c>
      <c r="AO665" s="563">
        <v>1342869</v>
      </c>
      <c r="AP665" s="563">
        <v>288.00058000000001</v>
      </c>
      <c r="AQ665" s="563">
        <v>110635.422807</v>
      </c>
      <c r="AR665" s="563">
        <v>1.8314999999999999</v>
      </c>
    </row>
    <row r="666" spans="39:44" x14ac:dyDescent="0.25">
      <c r="AM666" s="562">
        <v>45256</v>
      </c>
      <c r="AN666" s="563">
        <v>384.15</v>
      </c>
      <c r="AO666" s="563">
        <v>1342869</v>
      </c>
      <c r="AP666" s="563">
        <v>288.00058000000001</v>
      </c>
      <c r="AQ666" s="563">
        <v>110635.422807</v>
      </c>
      <c r="AR666" s="563">
        <v>1.8314999999999999</v>
      </c>
    </row>
    <row r="667" spans="39:44" x14ac:dyDescent="0.25">
      <c r="AM667" s="562">
        <v>45255</v>
      </c>
      <c r="AN667" s="563">
        <v>378.56</v>
      </c>
      <c r="AO667" s="563">
        <v>1736210</v>
      </c>
      <c r="AP667" s="563">
        <v>288.00058000000001</v>
      </c>
      <c r="AQ667" s="563">
        <v>109025.4995648</v>
      </c>
      <c r="AR667" s="563">
        <v>1.8048</v>
      </c>
    </row>
    <row r="668" spans="39:44" x14ac:dyDescent="0.25">
      <c r="AM668" s="562">
        <v>45254</v>
      </c>
      <c r="AN668" s="563">
        <v>380.87</v>
      </c>
      <c r="AO668" s="563">
        <v>1515546</v>
      </c>
      <c r="AP668" s="563">
        <v>288.00058000000001</v>
      </c>
      <c r="AQ668" s="563">
        <v>109690.7809046</v>
      </c>
      <c r="AR668" s="563">
        <v>1.8158000000000001</v>
      </c>
    </row>
    <row r="669" spans="39:44" x14ac:dyDescent="0.25">
      <c r="AM669" s="562">
        <v>45253</v>
      </c>
      <c r="AN669" s="563">
        <v>374.96</v>
      </c>
      <c r="AO669" s="563">
        <v>2115848</v>
      </c>
      <c r="AP669" s="563">
        <v>288.00058000000001</v>
      </c>
      <c r="AQ669" s="563">
        <v>107988.69747679999</v>
      </c>
      <c r="AR669" s="563">
        <v>1.7876000000000001</v>
      </c>
    </row>
    <row r="670" spans="39:44" x14ac:dyDescent="0.25">
      <c r="AM670" s="562">
        <v>45252</v>
      </c>
      <c r="AN670" s="563">
        <v>369.76</v>
      </c>
      <c r="AO670" s="563">
        <v>1418119</v>
      </c>
      <c r="AP670" s="563">
        <v>288.00058000000001</v>
      </c>
      <c r="AQ670" s="563">
        <v>106491.0944608</v>
      </c>
      <c r="AR670" s="563">
        <v>1.7628999999999999</v>
      </c>
    </row>
    <row r="671" spans="39:44" x14ac:dyDescent="0.25">
      <c r="AM671" s="562">
        <v>45251</v>
      </c>
      <c r="AN671" s="563">
        <v>373.99</v>
      </c>
      <c r="AO671" s="563">
        <v>1311894</v>
      </c>
      <c r="AP671" s="563">
        <v>288.00058000000001</v>
      </c>
      <c r="AQ671" s="563">
        <v>107709.3369142</v>
      </c>
      <c r="AR671" s="563">
        <v>1.7829999999999999</v>
      </c>
    </row>
    <row r="672" spans="39:44" x14ac:dyDescent="0.25">
      <c r="AM672" s="562">
        <v>45250</v>
      </c>
      <c r="AN672" s="563">
        <v>373.99</v>
      </c>
      <c r="AO672" s="563">
        <v>1311894</v>
      </c>
      <c r="AP672" s="563">
        <v>288.00058000000001</v>
      </c>
      <c r="AQ672" s="563">
        <v>107709.3369142</v>
      </c>
      <c r="AR672" s="563">
        <v>1.7829999999999999</v>
      </c>
    </row>
    <row r="673" spans="39:44" x14ac:dyDescent="0.25">
      <c r="AM673" s="562">
        <v>45249</v>
      </c>
      <c r="AN673" s="563">
        <v>373.99</v>
      </c>
      <c r="AO673" s="563">
        <v>1311894</v>
      </c>
      <c r="AP673" s="563">
        <v>288.00058000000001</v>
      </c>
      <c r="AQ673" s="563">
        <v>107709.3369142</v>
      </c>
      <c r="AR673" s="563">
        <v>1.7829999999999999</v>
      </c>
    </row>
    <row r="674" spans="39:44" x14ac:dyDescent="0.25">
      <c r="AM674" s="562">
        <v>45248</v>
      </c>
      <c r="AN674" s="563">
        <v>369.62</v>
      </c>
      <c r="AO674" s="563">
        <v>1094908</v>
      </c>
      <c r="AP674" s="563">
        <v>288.00058000000001</v>
      </c>
      <c r="AQ674" s="563">
        <v>106450.7743796</v>
      </c>
      <c r="AR674" s="563">
        <v>1.7622</v>
      </c>
    </row>
    <row r="675" spans="39:44" x14ac:dyDescent="0.25">
      <c r="AM675" s="562">
        <v>45247</v>
      </c>
      <c r="AN675" s="563">
        <v>369.37</v>
      </c>
      <c r="AO675" s="563">
        <v>1178232</v>
      </c>
      <c r="AP675" s="563">
        <v>288.00058000000001</v>
      </c>
      <c r="AQ675" s="563">
        <v>106378.7742346</v>
      </c>
      <c r="AR675" s="563">
        <v>1.7609999999999999</v>
      </c>
    </row>
    <row r="676" spans="39:44" x14ac:dyDescent="0.25">
      <c r="AM676" s="562">
        <v>45246</v>
      </c>
      <c r="AN676" s="563">
        <v>369.24</v>
      </c>
      <c r="AO676" s="563">
        <v>1711526</v>
      </c>
      <c r="AP676" s="563">
        <v>288.00058000000001</v>
      </c>
      <c r="AQ676" s="563">
        <v>106341.33415920001</v>
      </c>
      <c r="AR676" s="563">
        <v>1.7604</v>
      </c>
    </row>
    <row r="677" spans="39:44" x14ac:dyDescent="0.25">
      <c r="AM677" s="562">
        <v>45245</v>
      </c>
      <c r="AN677" s="563">
        <v>378.25</v>
      </c>
      <c r="AO677" s="563">
        <v>925877</v>
      </c>
      <c r="AP677" s="563">
        <v>288.00058000000001</v>
      </c>
      <c r="AQ677" s="563">
        <v>108936.219385</v>
      </c>
      <c r="AR677" s="563">
        <v>1.8032999999999999</v>
      </c>
    </row>
    <row r="678" spans="39:44" x14ac:dyDescent="0.25">
      <c r="AM678" s="562">
        <v>45244</v>
      </c>
      <c r="AN678" s="563">
        <v>382.2</v>
      </c>
      <c r="AO678" s="563">
        <v>1173200</v>
      </c>
      <c r="AP678" s="563">
        <v>288.00058000000001</v>
      </c>
      <c r="AQ678" s="563">
        <v>110073.82167600001</v>
      </c>
      <c r="AR678" s="563">
        <v>1.8222</v>
      </c>
    </row>
    <row r="679" spans="39:44" x14ac:dyDescent="0.25">
      <c r="AM679" s="562">
        <v>45243</v>
      </c>
      <c r="AN679" s="563">
        <v>382.2</v>
      </c>
      <c r="AO679" s="563">
        <v>1173200</v>
      </c>
      <c r="AP679" s="563">
        <v>288.00058000000001</v>
      </c>
      <c r="AQ679" s="563">
        <v>110073.82167600001</v>
      </c>
      <c r="AR679" s="563">
        <v>1.8222</v>
      </c>
    </row>
    <row r="680" spans="39:44" x14ac:dyDescent="0.25">
      <c r="AM680" s="562">
        <v>45242</v>
      </c>
      <c r="AN680" s="563">
        <v>382.2</v>
      </c>
      <c r="AO680" s="563">
        <v>1173200</v>
      </c>
      <c r="AP680" s="563">
        <v>288.00058000000001</v>
      </c>
      <c r="AQ680" s="563">
        <v>110073.82167600001</v>
      </c>
      <c r="AR680" s="563">
        <v>1.8222</v>
      </c>
    </row>
    <row r="681" spans="39:44" x14ac:dyDescent="0.25">
      <c r="AM681" s="562">
        <v>45241</v>
      </c>
      <c r="AN681" s="563">
        <v>373.56</v>
      </c>
      <c r="AO681" s="563">
        <v>1259251</v>
      </c>
      <c r="AP681" s="563">
        <v>288.00058000000001</v>
      </c>
      <c r="AQ681" s="563">
        <v>107585.49666480001</v>
      </c>
      <c r="AR681" s="563">
        <v>1.7809999999999999</v>
      </c>
    </row>
    <row r="682" spans="39:44" x14ac:dyDescent="0.25">
      <c r="AM682" s="562">
        <v>45240</v>
      </c>
      <c r="AN682" s="563">
        <v>370.47</v>
      </c>
      <c r="AO682" s="563">
        <v>1073059</v>
      </c>
      <c r="AP682" s="563">
        <v>288.00058000000001</v>
      </c>
      <c r="AQ682" s="563">
        <v>106695.57487260002</v>
      </c>
      <c r="AR682" s="563">
        <v>1.7662</v>
      </c>
    </row>
    <row r="683" spans="39:44" x14ac:dyDescent="0.25">
      <c r="AM683" s="562">
        <v>45239</v>
      </c>
      <c r="AN683" s="563">
        <v>365.36</v>
      </c>
      <c r="AO683" s="563">
        <v>1233423</v>
      </c>
      <c r="AP683" s="563">
        <v>288.00058000000001</v>
      </c>
      <c r="AQ683" s="563">
        <v>105223.89190880001</v>
      </c>
      <c r="AR683" s="563">
        <v>1.7419</v>
      </c>
    </row>
    <row r="684" spans="39:44" x14ac:dyDescent="0.25">
      <c r="AM684" s="562">
        <v>45238</v>
      </c>
      <c r="AN684" s="563">
        <v>367.8</v>
      </c>
      <c r="AO684" s="563">
        <v>1277508</v>
      </c>
      <c r="AP684" s="563">
        <v>288.00058000000001</v>
      </c>
      <c r="AQ684" s="563">
        <v>105926.61332400001</v>
      </c>
      <c r="AR684" s="563">
        <v>1.7535000000000001</v>
      </c>
    </row>
    <row r="685" spans="39:44" x14ac:dyDescent="0.25">
      <c r="AM685" s="562">
        <v>45237</v>
      </c>
      <c r="AN685" s="563">
        <v>361.15</v>
      </c>
      <c r="AO685" s="563">
        <v>1436436</v>
      </c>
      <c r="AP685" s="563">
        <v>288.00058000000001</v>
      </c>
      <c r="AQ685" s="563">
        <v>104011.409467</v>
      </c>
      <c r="AR685" s="563">
        <v>1.7408999999999999</v>
      </c>
    </row>
    <row r="686" spans="39:44" x14ac:dyDescent="0.25">
      <c r="AM686" s="562">
        <v>45236</v>
      </c>
      <c r="AN686" s="563">
        <v>361.15</v>
      </c>
      <c r="AO686" s="563">
        <v>1436436</v>
      </c>
      <c r="AP686" s="563">
        <v>288.00058000000001</v>
      </c>
      <c r="AQ686" s="563">
        <v>104011.409467</v>
      </c>
      <c r="AR686" s="563">
        <v>1.7408999999999999</v>
      </c>
    </row>
    <row r="687" spans="39:44" x14ac:dyDescent="0.25">
      <c r="AM687" s="562">
        <v>45235</v>
      </c>
      <c r="AN687" s="563">
        <v>361.15</v>
      </c>
      <c r="AO687" s="563">
        <v>1436436</v>
      </c>
      <c r="AP687" s="563">
        <v>288.00058000000001</v>
      </c>
      <c r="AQ687" s="563">
        <v>104011.409467</v>
      </c>
      <c r="AR687" s="563">
        <v>1.7408999999999999</v>
      </c>
    </row>
    <row r="688" spans="39:44" x14ac:dyDescent="0.25">
      <c r="AM688" s="562">
        <v>45234</v>
      </c>
      <c r="AN688" s="563">
        <v>369.54</v>
      </c>
      <c r="AO688" s="563">
        <v>1124933</v>
      </c>
      <c r="AP688" s="563">
        <v>288.00058000000001</v>
      </c>
      <c r="AQ688" s="563">
        <v>106427.73433320002</v>
      </c>
      <c r="AR688" s="563">
        <v>1.7813000000000001</v>
      </c>
    </row>
    <row r="689" spans="39:44" x14ac:dyDescent="0.25">
      <c r="AM689" s="562">
        <v>45233</v>
      </c>
      <c r="AN689" s="563">
        <v>371.91</v>
      </c>
      <c r="AO689" s="563">
        <v>773913</v>
      </c>
      <c r="AP689" s="563">
        <v>288.00058000000001</v>
      </c>
      <c r="AQ689" s="563">
        <v>107110.29570780002</v>
      </c>
      <c r="AR689" s="563">
        <v>1.7927999999999999</v>
      </c>
    </row>
    <row r="690" spans="39:44" x14ac:dyDescent="0.25">
      <c r="AM690" s="562">
        <v>45232</v>
      </c>
      <c r="AN690" s="563">
        <v>373.57</v>
      </c>
      <c r="AO690" s="563">
        <v>899080</v>
      </c>
      <c r="AP690" s="563">
        <v>288.00058000000001</v>
      </c>
      <c r="AQ690" s="563">
        <v>107588.3766706</v>
      </c>
      <c r="AR690" s="563">
        <v>1.8008</v>
      </c>
    </row>
    <row r="691" spans="39:44" x14ac:dyDescent="0.25">
      <c r="AM691" s="562">
        <v>45231</v>
      </c>
      <c r="AN691" s="563">
        <v>373.27</v>
      </c>
      <c r="AO691" s="563">
        <v>1308132</v>
      </c>
      <c r="AP691" s="563">
        <v>288.00058000000001</v>
      </c>
      <c r="AQ691" s="563">
        <v>107501.97649659999</v>
      </c>
      <c r="AR691" s="563">
        <v>1.7992999999999999</v>
      </c>
    </row>
    <row r="692" spans="39:44" x14ac:dyDescent="0.25">
      <c r="AM692" s="562">
        <v>45230</v>
      </c>
      <c r="AN692" s="563">
        <v>375.15</v>
      </c>
      <c r="AO692" s="563">
        <v>1468239</v>
      </c>
      <c r="AP692" s="563">
        <v>288.00058000000001</v>
      </c>
      <c r="AQ692" s="563">
        <v>108043.417587</v>
      </c>
      <c r="AR692" s="563">
        <v>1.8084</v>
      </c>
    </row>
    <row r="693" spans="39:44" x14ac:dyDescent="0.25">
      <c r="AM693" s="562">
        <v>45229</v>
      </c>
      <c r="AN693" s="563">
        <v>375.15</v>
      </c>
      <c r="AO693" s="563">
        <v>1468239</v>
      </c>
      <c r="AP693" s="563">
        <v>288.00058000000001</v>
      </c>
      <c r="AQ693" s="563">
        <v>108043.417587</v>
      </c>
      <c r="AR693" s="563">
        <v>1.8084</v>
      </c>
    </row>
    <row r="694" spans="39:44" x14ac:dyDescent="0.25">
      <c r="AM694" s="562">
        <v>45228</v>
      </c>
      <c r="AN694" s="563">
        <v>375.15</v>
      </c>
      <c r="AO694" s="563">
        <v>1468239</v>
      </c>
      <c r="AP694" s="563">
        <v>288.00058000000001</v>
      </c>
      <c r="AQ694" s="563">
        <v>108043.417587</v>
      </c>
      <c r="AR694" s="563">
        <v>1.8084</v>
      </c>
    </row>
    <row r="695" spans="39:44" x14ac:dyDescent="0.25">
      <c r="AM695" s="562">
        <v>45227</v>
      </c>
      <c r="AN695" s="563">
        <v>381.37</v>
      </c>
      <c r="AO695" s="563">
        <v>1348063</v>
      </c>
      <c r="AP695" s="563">
        <v>288.00058000000001</v>
      </c>
      <c r="AQ695" s="563">
        <v>109834.7811946</v>
      </c>
      <c r="AR695" s="563">
        <v>1.8384</v>
      </c>
    </row>
    <row r="696" spans="39:44" x14ac:dyDescent="0.25">
      <c r="AM696" s="562">
        <v>45226</v>
      </c>
      <c r="AN696" s="563">
        <v>382.23</v>
      </c>
      <c r="AO696" s="563">
        <v>1495038</v>
      </c>
      <c r="AP696" s="563">
        <v>288.00058000000001</v>
      </c>
      <c r="AQ696" s="563">
        <v>110082.46169340001</v>
      </c>
      <c r="AR696" s="563">
        <v>1.8425</v>
      </c>
    </row>
    <row r="697" spans="39:44" x14ac:dyDescent="0.25">
      <c r="AM697" s="562">
        <v>45225</v>
      </c>
      <c r="AN697" s="563">
        <v>391.12</v>
      </c>
      <c r="AO697" s="563">
        <v>899864</v>
      </c>
      <c r="AP697" s="563">
        <v>288.00058000000001</v>
      </c>
      <c r="AQ697" s="563">
        <v>112642.7868496</v>
      </c>
      <c r="AR697" s="563">
        <v>1.8854</v>
      </c>
    </row>
    <row r="698" spans="39:44" x14ac:dyDescent="0.25">
      <c r="AM698" s="562">
        <v>45224</v>
      </c>
      <c r="AN698" s="563">
        <v>390.54</v>
      </c>
      <c r="AO698" s="563">
        <v>1202806</v>
      </c>
      <c r="AP698" s="563">
        <v>288.00058000000001</v>
      </c>
      <c r="AQ698" s="563">
        <v>112475.74651320001</v>
      </c>
      <c r="AR698" s="563">
        <v>1.8826000000000001</v>
      </c>
    </row>
    <row r="699" spans="39:44" x14ac:dyDescent="0.25">
      <c r="AM699" s="562">
        <v>45223</v>
      </c>
      <c r="AN699" s="563">
        <v>380.66</v>
      </c>
      <c r="AO699" s="563">
        <v>1074244</v>
      </c>
      <c r="AP699" s="563">
        <v>288.00058000000001</v>
      </c>
      <c r="AQ699" s="563">
        <v>109630.30078280001</v>
      </c>
      <c r="AR699" s="563">
        <v>1.8349</v>
      </c>
    </row>
    <row r="700" spans="39:44" x14ac:dyDescent="0.25">
      <c r="AM700" s="562">
        <v>45222</v>
      </c>
      <c r="AN700" s="563">
        <v>380.66</v>
      </c>
      <c r="AO700" s="563">
        <v>1074244</v>
      </c>
      <c r="AP700" s="563">
        <v>288.00058000000001</v>
      </c>
      <c r="AQ700" s="563">
        <v>109630.30078280001</v>
      </c>
      <c r="AR700" s="563">
        <v>1.8349</v>
      </c>
    </row>
    <row r="701" spans="39:44" x14ac:dyDescent="0.25">
      <c r="AM701" s="562">
        <v>45221</v>
      </c>
      <c r="AN701" s="563">
        <v>380.66</v>
      </c>
      <c r="AO701" s="563">
        <v>1074244</v>
      </c>
      <c r="AP701" s="563">
        <v>288.00058000000001</v>
      </c>
      <c r="AQ701" s="563">
        <v>109630.30078280001</v>
      </c>
      <c r="AR701" s="563">
        <v>1.8349</v>
      </c>
    </row>
    <row r="702" spans="39:44" x14ac:dyDescent="0.25">
      <c r="AM702" s="562">
        <v>45220</v>
      </c>
      <c r="AN702" s="563">
        <v>382.28</v>
      </c>
      <c r="AO702" s="563">
        <v>1375426</v>
      </c>
      <c r="AP702" s="563">
        <v>288.00058000000001</v>
      </c>
      <c r="AQ702" s="563">
        <v>110096.8617224</v>
      </c>
      <c r="AR702" s="563">
        <v>1.8427</v>
      </c>
    </row>
    <row r="703" spans="39:44" x14ac:dyDescent="0.25">
      <c r="AM703" s="562">
        <v>45219</v>
      </c>
      <c r="AN703" s="563">
        <v>389.36</v>
      </c>
      <c r="AO703" s="563">
        <v>942613</v>
      </c>
      <c r="AP703" s="563">
        <v>288.00058000000001</v>
      </c>
      <c r="AQ703" s="563">
        <v>112135.90582880001</v>
      </c>
      <c r="AR703" s="563">
        <v>1.8769</v>
      </c>
    </row>
    <row r="704" spans="39:44" x14ac:dyDescent="0.25">
      <c r="AM704" s="562">
        <v>45218</v>
      </c>
      <c r="AN704" s="563">
        <v>390.84</v>
      </c>
      <c r="AO704" s="563">
        <v>1317365</v>
      </c>
      <c r="AP704" s="563">
        <v>288.00058000000001</v>
      </c>
      <c r="AQ704" s="563">
        <v>112562.1466872</v>
      </c>
      <c r="AR704" s="563">
        <v>1.8839999999999999</v>
      </c>
    </row>
    <row r="705" spans="39:44" x14ac:dyDescent="0.25">
      <c r="AM705" s="562">
        <v>45217</v>
      </c>
      <c r="AN705" s="563">
        <v>382.94</v>
      </c>
      <c r="AO705" s="563">
        <v>831227</v>
      </c>
      <c r="AP705" s="563">
        <v>288.00058000000001</v>
      </c>
      <c r="AQ705" s="563">
        <v>110286.94210520001</v>
      </c>
      <c r="AR705" s="563">
        <v>1.8459000000000001</v>
      </c>
    </row>
    <row r="706" spans="39:44" x14ac:dyDescent="0.25">
      <c r="AM706" s="562">
        <v>45216</v>
      </c>
      <c r="AN706" s="563">
        <v>378.54</v>
      </c>
      <c r="AO706" s="563">
        <v>1203467</v>
      </c>
      <c r="AP706" s="563">
        <v>288.00058000000001</v>
      </c>
      <c r="AQ706" s="563">
        <v>109019.73955320001</v>
      </c>
      <c r="AR706" s="563">
        <v>1.8247</v>
      </c>
    </row>
    <row r="707" spans="39:44" x14ac:dyDescent="0.25">
      <c r="AM707" s="562">
        <v>45215</v>
      </c>
      <c r="AN707" s="563">
        <v>378.54</v>
      </c>
      <c r="AO707" s="563">
        <v>1203467</v>
      </c>
      <c r="AP707" s="563">
        <v>288.00058000000001</v>
      </c>
      <c r="AQ707" s="563">
        <v>109019.73955320001</v>
      </c>
      <c r="AR707" s="563">
        <v>1.8247</v>
      </c>
    </row>
    <row r="708" spans="39:44" x14ac:dyDescent="0.25">
      <c r="AM708" s="562">
        <v>45214</v>
      </c>
      <c r="AN708" s="563">
        <v>378.54</v>
      </c>
      <c r="AO708" s="563">
        <v>1203467</v>
      </c>
      <c r="AP708" s="563">
        <v>288.00058000000001</v>
      </c>
      <c r="AQ708" s="563">
        <v>109019.73955320001</v>
      </c>
      <c r="AR708" s="563">
        <v>1.8247</v>
      </c>
    </row>
    <row r="709" spans="39:44" x14ac:dyDescent="0.25">
      <c r="AM709" s="562">
        <v>45213</v>
      </c>
      <c r="AN709" s="563">
        <v>375.69</v>
      </c>
      <c r="AO709" s="563">
        <v>997211</v>
      </c>
      <c r="AP709" s="563">
        <v>288.00058000000001</v>
      </c>
      <c r="AQ709" s="563">
        <v>108198.93790020001</v>
      </c>
      <c r="AR709" s="563">
        <v>1.8109999999999999</v>
      </c>
    </row>
    <row r="710" spans="39:44" x14ac:dyDescent="0.25">
      <c r="AM710" s="562">
        <v>45212</v>
      </c>
      <c r="AN710" s="563">
        <v>377</v>
      </c>
      <c r="AO710" s="563">
        <v>1219051</v>
      </c>
      <c r="AP710" s="563">
        <v>288.00058000000001</v>
      </c>
      <c r="AQ710" s="563">
        <v>108576.21866</v>
      </c>
      <c r="AR710" s="563">
        <v>1.8172999999999999</v>
      </c>
    </row>
    <row r="711" spans="39:44" x14ac:dyDescent="0.25">
      <c r="AM711" s="562">
        <v>45211</v>
      </c>
      <c r="AN711" s="563">
        <v>372.78</v>
      </c>
      <c r="AO711" s="563">
        <v>1212337</v>
      </c>
      <c r="AP711" s="563">
        <v>288.00058000000001</v>
      </c>
      <c r="AQ711" s="563">
        <v>107360.8562124</v>
      </c>
      <c r="AR711" s="563">
        <v>1.7968999999999999</v>
      </c>
    </row>
    <row r="712" spans="39:44" x14ac:dyDescent="0.25">
      <c r="AM712" s="562">
        <v>45210</v>
      </c>
      <c r="AN712" s="563">
        <v>373.84</v>
      </c>
      <c r="AO712" s="563">
        <v>1989775</v>
      </c>
      <c r="AP712" s="563">
        <v>288.00058000000001</v>
      </c>
      <c r="AQ712" s="563">
        <v>107666.1368272</v>
      </c>
      <c r="AR712" s="563">
        <v>1.8021</v>
      </c>
    </row>
    <row r="713" spans="39:44" x14ac:dyDescent="0.25">
      <c r="AM713" s="562">
        <v>45209</v>
      </c>
      <c r="AN713" s="563">
        <v>377.38</v>
      </c>
      <c r="AO713" s="563">
        <v>2124313</v>
      </c>
      <c r="AP713" s="563">
        <v>288.00058000000001</v>
      </c>
      <c r="AQ713" s="563">
        <v>108685.65888040001</v>
      </c>
      <c r="AR713" s="563">
        <v>1.8190999999999999</v>
      </c>
    </row>
    <row r="714" spans="39:44" x14ac:dyDescent="0.25">
      <c r="AM714" s="562">
        <v>45208</v>
      </c>
      <c r="AN714" s="563">
        <v>377.38</v>
      </c>
      <c r="AO714" s="563">
        <v>2124313</v>
      </c>
      <c r="AP714" s="563">
        <v>288.00058000000001</v>
      </c>
      <c r="AQ714" s="563">
        <v>108685.65888040001</v>
      </c>
      <c r="AR714" s="563">
        <v>1.8190999999999999</v>
      </c>
    </row>
    <row r="715" spans="39:44" x14ac:dyDescent="0.25">
      <c r="AM715" s="562">
        <v>45207</v>
      </c>
      <c r="AN715" s="563">
        <v>377.38</v>
      </c>
      <c r="AO715" s="563">
        <v>2124313</v>
      </c>
      <c r="AP715" s="563">
        <v>288.00058000000001</v>
      </c>
      <c r="AQ715" s="563">
        <v>108685.65888040001</v>
      </c>
      <c r="AR715" s="563">
        <v>1.8190999999999999</v>
      </c>
    </row>
    <row r="716" spans="39:44" x14ac:dyDescent="0.25">
      <c r="AM716" s="562">
        <v>45206</v>
      </c>
      <c r="AN716" s="563">
        <v>384.73</v>
      </c>
      <c r="AO716" s="563">
        <v>1309308</v>
      </c>
      <c r="AP716" s="563">
        <v>288.00058000000001</v>
      </c>
      <c r="AQ716" s="563">
        <v>110802.4631434</v>
      </c>
      <c r="AR716" s="563">
        <v>1.8545</v>
      </c>
    </row>
    <row r="717" spans="39:44" x14ac:dyDescent="0.25">
      <c r="AM717" s="562">
        <v>45205</v>
      </c>
      <c r="AN717" s="563">
        <v>384.36</v>
      </c>
      <c r="AO717" s="563">
        <v>1403883</v>
      </c>
      <c r="AP717" s="563">
        <v>288.00058000000001</v>
      </c>
      <c r="AQ717" s="563">
        <v>110695.9029288</v>
      </c>
      <c r="AR717" s="563">
        <v>1.8528</v>
      </c>
    </row>
    <row r="718" spans="39:44" x14ac:dyDescent="0.25">
      <c r="AM718" s="562">
        <v>45204</v>
      </c>
      <c r="AN718" s="563">
        <v>379.63</v>
      </c>
      <c r="AO718" s="563">
        <v>1270471</v>
      </c>
      <c r="AP718" s="563">
        <v>288.00058000000001</v>
      </c>
      <c r="AQ718" s="563">
        <v>109333.6601854</v>
      </c>
      <c r="AR718" s="563">
        <v>1.83</v>
      </c>
    </row>
    <row r="719" spans="39:44" x14ac:dyDescent="0.25">
      <c r="AM719" s="562">
        <v>45203</v>
      </c>
      <c r="AN719" s="563">
        <v>384.39</v>
      </c>
      <c r="AO719" s="563">
        <v>1383569</v>
      </c>
      <c r="AP719" s="563">
        <v>288.00058000000001</v>
      </c>
      <c r="AQ719" s="563">
        <v>110704.5429462</v>
      </c>
      <c r="AR719" s="563">
        <v>1.8529</v>
      </c>
    </row>
    <row r="720" spans="39:44" x14ac:dyDescent="0.25">
      <c r="AM720" s="562">
        <v>45202</v>
      </c>
      <c r="AN720" s="563">
        <v>380.87</v>
      </c>
      <c r="AO720" s="563">
        <v>2412180</v>
      </c>
      <c r="AP720" s="563">
        <v>288.00058000000001</v>
      </c>
      <c r="AQ720" s="563">
        <v>109690.7809046</v>
      </c>
      <c r="AR720" s="563">
        <v>1.8359000000000001</v>
      </c>
    </row>
    <row r="721" spans="39:44" x14ac:dyDescent="0.25">
      <c r="AM721" s="562">
        <v>45201</v>
      </c>
      <c r="AN721" s="563">
        <v>380.87</v>
      </c>
      <c r="AO721" s="563">
        <v>2412180</v>
      </c>
      <c r="AP721" s="563">
        <v>288.00058000000001</v>
      </c>
      <c r="AQ721" s="563">
        <v>109690.7809046</v>
      </c>
      <c r="AR721" s="563">
        <v>1.8359000000000001</v>
      </c>
    </row>
    <row r="722" spans="39:44" x14ac:dyDescent="0.25">
      <c r="AM722" s="562">
        <v>45200</v>
      </c>
      <c r="AN722" s="563">
        <v>380.87</v>
      </c>
      <c r="AO722" s="563">
        <v>2412180</v>
      </c>
      <c r="AP722" s="563">
        <v>288.00058000000001</v>
      </c>
      <c r="AQ722" s="563">
        <v>109690.7809046</v>
      </c>
      <c r="AR722" s="563">
        <v>1.8359000000000001</v>
      </c>
    </row>
    <row r="723" spans="39:44" x14ac:dyDescent="0.25">
      <c r="AM723" s="562">
        <v>45199</v>
      </c>
      <c r="AN723" s="563">
        <v>387.64</v>
      </c>
      <c r="AO723" s="563">
        <v>2209999</v>
      </c>
      <c r="AP723" s="563">
        <v>288.00058000000001</v>
      </c>
      <c r="AQ723" s="563">
        <v>111640.54483120001</v>
      </c>
      <c r="AR723" s="563">
        <v>1.8686</v>
      </c>
    </row>
    <row r="724" spans="39:44" x14ac:dyDescent="0.25">
      <c r="AM724" s="562">
        <v>45198</v>
      </c>
      <c r="AN724" s="563">
        <v>402.33</v>
      </c>
      <c r="AO724" s="563">
        <v>1289769</v>
      </c>
      <c r="AP724" s="563">
        <v>288.00058000000001</v>
      </c>
      <c r="AQ724" s="563">
        <v>115871.2733514</v>
      </c>
      <c r="AR724" s="563">
        <v>1.9394</v>
      </c>
    </row>
    <row r="725" spans="39:44" x14ac:dyDescent="0.25">
      <c r="AM725" s="562">
        <v>45197</v>
      </c>
      <c r="AN725" s="563">
        <v>398.69</v>
      </c>
      <c r="AO725" s="563">
        <v>1957836</v>
      </c>
      <c r="AP725" s="563">
        <v>288.00058000000001</v>
      </c>
      <c r="AQ725" s="563">
        <v>114822.95124020001</v>
      </c>
      <c r="AR725" s="563">
        <v>1.9218</v>
      </c>
    </row>
    <row r="726" spans="39:44" x14ac:dyDescent="0.25">
      <c r="AM726" s="562">
        <v>45196</v>
      </c>
      <c r="AN726" s="563">
        <v>410.84</v>
      </c>
      <c r="AO726" s="563">
        <v>969344</v>
      </c>
      <c r="AP726" s="563">
        <v>288.00058000000001</v>
      </c>
      <c r="AQ726" s="563">
        <v>118322.1582872</v>
      </c>
      <c r="AR726" s="563">
        <v>1.9803999999999999</v>
      </c>
    </row>
    <row r="727" spans="39:44" x14ac:dyDescent="0.25">
      <c r="AM727" s="562">
        <v>45195</v>
      </c>
      <c r="AN727" s="563">
        <v>412.11</v>
      </c>
      <c r="AO727" s="563">
        <v>1986245</v>
      </c>
      <c r="AP727" s="563">
        <v>288.00058000000001</v>
      </c>
      <c r="AQ727" s="563">
        <v>118687.91902380002</v>
      </c>
      <c r="AR727" s="563">
        <v>1.9864999999999999</v>
      </c>
    </row>
    <row r="728" spans="39:44" x14ac:dyDescent="0.25">
      <c r="AM728" s="562">
        <v>45194</v>
      </c>
      <c r="AN728" s="563">
        <v>412.11</v>
      </c>
      <c r="AO728" s="563">
        <v>1986245</v>
      </c>
      <c r="AP728" s="563">
        <v>288.00058000000001</v>
      </c>
      <c r="AQ728" s="563">
        <v>118687.91902380002</v>
      </c>
      <c r="AR728" s="563">
        <v>1.9864999999999999</v>
      </c>
    </row>
    <row r="729" spans="39:44" x14ac:dyDescent="0.25">
      <c r="AM729" s="562">
        <v>45193</v>
      </c>
      <c r="AN729" s="563">
        <v>412.11</v>
      </c>
      <c r="AO729" s="563">
        <v>1986245</v>
      </c>
      <c r="AP729" s="563">
        <v>288.00058000000001</v>
      </c>
      <c r="AQ729" s="563">
        <v>118687.91902380002</v>
      </c>
      <c r="AR729" s="563">
        <v>1.9864999999999999</v>
      </c>
    </row>
    <row r="730" spans="39:44" x14ac:dyDescent="0.25">
      <c r="AM730" s="562">
        <v>45192</v>
      </c>
      <c r="AN730" s="563">
        <v>411.68</v>
      </c>
      <c r="AO730" s="563">
        <v>1272434</v>
      </c>
      <c r="AP730" s="563">
        <v>288.00058000000001</v>
      </c>
      <c r="AQ730" s="563">
        <v>118564.07877440001</v>
      </c>
      <c r="AR730" s="563">
        <v>1.9844999999999999</v>
      </c>
    </row>
    <row r="731" spans="39:44" x14ac:dyDescent="0.25">
      <c r="AM731" s="562">
        <v>45191</v>
      </c>
      <c r="AN731" s="563">
        <v>402.23</v>
      </c>
      <c r="AO731" s="563">
        <v>1104362</v>
      </c>
      <c r="AP731" s="563">
        <v>288.00058000000001</v>
      </c>
      <c r="AQ731" s="563">
        <v>115842.47329340001</v>
      </c>
      <c r="AR731" s="563">
        <v>1.9389000000000001</v>
      </c>
    </row>
    <row r="732" spans="39:44" x14ac:dyDescent="0.25">
      <c r="AM732" s="562">
        <v>45190</v>
      </c>
      <c r="AN732" s="563">
        <v>402.26</v>
      </c>
      <c r="AO732" s="563">
        <v>1127762</v>
      </c>
      <c r="AP732" s="563">
        <v>288.00058000000001</v>
      </c>
      <c r="AQ732" s="563">
        <v>115851.11331080001</v>
      </c>
      <c r="AR732" s="563">
        <v>1.9391</v>
      </c>
    </row>
    <row r="733" spans="39:44" x14ac:dyDescent="0.25">
      <c r="AM733" s="562">
        <v>45189</v>
      </c>
      <c r="AN733" s="563">
        <v>400.37</v>
      </c>
      <c r="AO733" s="563">
        <v>1428265</v>
      </c>
      <c r="AP733" s="563">
        <v>288.00058000000001</v>
      </c>
      <c r="AQ733" s="563">
        <v>115306.79221460001</v>
      </c>
      <c r="AR733" s="563">
        <v>1.9298999999999999</v>
      </c>
    </row>
    <row r="734" spans="39:44" x14ac:dyDescent="0.25">
      <c r="AM734" s="562">
        <v>45188</v>
      </c>
      <c r="AN734" s="563">
        <v>399.66</v>
      </c>
      <c r="AO734" s="563">
        <v>1838748</v>
      </c>
      <c r="AP734" s="563">
        <v>288.00058000000001</v>
      </c>
      <c r="AQ734" s="563">
        <v>115102.31180280002</v>
      </c>
      <c r="AR734" s="563">
        <v>1.9265000000000001</v>
      </c>
    </row>
    <row r="735" spans="39:44" x14ac:dyDescent="0.25">
      <c r="AM735" s="562">
        <v>45187</v>
      </c>
      <c r="AN735" s="563">
        <v>399.66</v>
      </c>
      <c r="AO735" s="563">
        <v>1838748</v>
      </c>
      <c r="AP735" s="563">
        <v>288.00058000000001</v>
      </c>
      <c r="AQ735" s="563">
        <v>115102.31180280002</v>
      </c>
      <c r="AR735" s="563">
        <v>1.9265000000000001</v>
      </c>
    </row>
    <row r="736" spans="39:44" x14ac:dyDescent="0.25">
      <c r="AM736" s="562">
        <v>45186</v>
      </c>
      <c r="AN736" s="563">
        <v>399.66</v>
      </c>
      <c r="AO736" s="563">
        <v>1838748</v>
      </c>
      <c r="AP736" s="563">
        <v>288.00058000000001</v>
      </c>
      <c r="AQ736" s="563">
        <v>115102.31180280002</v>
      </c>
      <c r="AR736" s="563">
        <v>1.9265000000000001</v>
      </c>
    </row>
    <row r="737" spans="39:44" x14ac:dyDescent="0.25">
      <c r="AM737" s="562">
        <v>45185</v>
      </c>
      <c r="AN737" s="563">
        <v>411.73</v>
      </c>
      <c r="AO737" s="563">
        <v>1028834</v>
      </c>
      <c r="AP737" s="563">
        <v>288.00058000000001</v>
      </c>
      <c r="AQ737" s="563">
        <v>118578.47880340001</v>
      </c>
      <c r="AR737" s="563">
        <v>1.9846999999999999</v>
      </c>
    </row>
    <row r="738" spans="39:44" x14ac:dyDescent="0.25">
      <c r="AM738" s="562">
        <v>45184</v>
      </c>
      <c r="AN738" s="563">
        <v>414.29</v>
      </c>
      <c r="AO738" s="563">
        <v>1002557</v>
      </c>
      <c r="AP738" s="563">
        <v>288.00058000000001</v>
      </c>
      <c r="AQ738" s="563">
        <v>119315.76028820001</v>
      </c>
      <c r="AR738" s="563">
        <v>1.9970000000000001</v>
      </c>
    </row>
    <row r="739" spans="39:44" x14ac:dyDescent="0.25">
      <c r="AM739" s="562">
        <v>45183</v>
      </c>
      <c r="AN739" s="563">
        <v>414.43</v>
      </c>
      <c r="AO739" s="563">
        <v>1474085</v>
      </c>
      <c r="AP739" s="563">
        <v>288.00058000000001</v>
      </c>
      <c r="AQ739" s="563">
        <v>119356.08036940001</v>
      </c>
      <c r="AR739" s="563">
        <v>1.9977</v>
      </c>
    </row>
    <row r="740" spans="39:44" x14ac:dyDescent="0.25">
      <c r="AM740" s="562">
        <v>45182</v>
      </c>
      <c r="AN740" s="563">
        <v>418.9</v>
      </c>
      <c r="AO740" s="563">
        <v>1249731</v>
      </c>
      <c r="AP740" s="563">
        <v>288.00058000000001</v>
      </c>
      <c r="AQ740" s="563">
        <v>120643.442962</v>
      </c>
      <c r="AR740" s="563">
        <v>2.0192999999999999</v>
      </c>
    </row>
    <row r="741" spans="39:44" x14ac:dyDescent="0.25">
      <c r="AM741" s="562">
        <v>45181</v>
      </c>
      <c r="AN741" s="563">
        <v>418.9</v>
      </c>
      <c r="AO741" s="563">
        <v>1249731</v>
      </c>
      <c r="AP741" s="563">
        <v>288.00058000000001</v>
      </c>
      <c r="AQ741" s="563">
        <v>120643.442962</v>
      </c>
      <c r="AR741" s="563">
        <v>2.0192999999999999</v>
      </c>
    </row>
    <row r="742" spans="39:44" x14ac:dyDescent="0.25">
      <c r="AM742" s="562">
        <v>45180</v>
      </c>
      <c r="AN742" s="563">
        <v>418.9</v>
      </c>
      <c r="AO742" s="563">
        <v>1249731</v>
      </c>
      <c r="AP742" s="563">
        <v>288.00058000000001</v>
      </c>
      <c r="AQ742" s="563">
        <v>120643.442962</v>
      </c>
      <c r="AR742" s="563">
        <v>2.0192999999999999</v>
      </c>
    </row>
    <row r="743" spans="39:44" x14ac:dyDescent="0.25">
      <c r="AM743" s="562">
        <v>45179</v>
      </c>
      <c r="AN743" s="563">
        <v>418.9</v>
      </c>
      <c r="AO743" s="563">
        <v>1249731</v>
      </c>
      <c r="AP743" s="563">
        <v>288.00058000000001</v>
      </c>
      <c r="AQ743" s="563">
        <v>120643.442962</v>
      </c>
      <c r="AR743" s="563">
        <v>2.0192999999999999</v>
      </c>
    </row>
    <row r="744" spans="39:44" x14ac:dyDescent="0.25">
      <c r="AM744" s="562">
        <v>45178</v>
      </c>
      <c r="AN744" s="563">
        <v>410.94</v>
      </c>
      <c r="AO744" s="563">
        <v>1515564</v>
      </c>
      <c r="AP744" s="563">
        <v>288.00058000000001</v>
      </c>
      <c r="AQ744" s="563">
        <v>118350.95834520001</v>
      </c>
      <c r="AR744" s="563">
        <v>1.9809000000000001</v>
      </c>
    </row>
    <row r="745" spans="39:44" x14ac:dyDescent="0.25">
      <c r="AM745" s="562">
        <v>45177</v>
      </c>
      <c r="AN745" s="563">
        <v>413.27</v>
      </c>
      <c r="AO745" s="563">
        <v>1815610</v>
      </c>
      <c r="AP745" s="563">
        <v>293.19213999999999</v>
      </c>
      <c r="AQ745" s="563">
        <v>121167.51569779999</v>
      </c>
      <c r="AR745" s="563">
        <v>1.9921</v>
      </c>
    </row>
    <row r="746" spans="39:44" x14ac:dyDescent="0.25">
      <c r="AM746" s="562">
        <v>45176</v>
      </c>
      <c r="AN746" s="563">
        <v>404.1</v>
      </c>
      <c r="AO746" s="563">
        <v>1875662</v>
      </c>
      <c r="AP746" s="563">
        <v>293.19213999999999</v>
      </c>
      <c r="AQ746" s="563">
        <v>118478.943774</v>
      </c>
      <c r="AR746" s="563">
        <v>1.9479</v>
      </c>
    </row>
    <row r="747" spans="39:44" x14ac:dyDescent="0.25">
      <c r="AM747" s="562">
        <v>45175</v>
      </c>
      <c r="AN747" s="563">
        <v>394.69</v>
      </c>
      <c r="AO747" s="563">
        <v>1247178</v>
      </c>
      <c r="AP747" s="563">
        <v>293.19213999999999</v>
      </c>
      <c r="AQ747" s="563">
        <v>115720.0057366</v>
      </c>
      <c r="AR747" s="563">
        <v>1.9026000000000001</v>
      </c>
    </row>
    <row r="748" spans="39:44" x14ac:dyDescent="0.25">
      <c r="AM748" s="562">
        <v>45174</v>
      </c>
      <c r="AN748" s="563">
        <v>390.21</v>
      </c>
      <c r="AO748" s="563">
        <v>1099939</v>
      </c>
      <c r="AP748" s="563">
        <v>293.19213999999999</v>
      </c>
      <c r="AQ748" s="563">
        <v>114406.5049494</v>
      </c>
      <c r="AR748" s="563">
        <v>1.881</v>
      </c>
    </row>
    <row r="749" spans="39:44" x14ac:dyDescent="0.25">
      <c r="AM749" s="562">
        <v>45173</v>
      </c>
      <c r="AN749" s="563">
        <v>390.21</v>
      </c>
      <c r="AO749" s="563">
        <v>1099939</v>
      </c>
      <c r="AP749" s="563">
        <v>293.19213999999999</v>
      </c>
      <c r="AQ749" s="563">
        <v>114406.5049494</v>
      </c>
      <c r="AR749" s="563">
        <v>1.881</v>
      </c>
    </row>
    <row r="750" spans="39:44" x14ac:dyDescent="0.25">
      <c r="AM750" s="562">
        <v>45172</v>
      </c>
      <c r="AN750" s="563">
        <v>390.21</v>
      </c>
      <c r="AO750" s="563">
        <v>1099939</v>
      </c>
      <c r="AP750" s="563">
        <v>293.19213999999999</v>
      </c>
      <c r="AQ750" s="563">
        <v>114406.5049494</v>
      </c>
      <c r="AR750" s="563">
        <v>1.881</v>
      </c>
    </row>
    <row r="751" spans="39:44" x14ac:dyDescent="0.25">
      <c r="AM751" s="562">
        <v>45171</v>
      </c>
      <c r="AN751" s="563">
        <v>386.64</v>
      </c>
      <c r="AO751" s="563">
        <v>1380013</v>
      </c>
      <c r="AP751" s="563">
        <v>293.19213999999999</v>
      </c>
      <c r="AQ751" s="563">
        <v>113359.80900959999</v>
      </c>
      <c r="AR751" s="563">
        <v>1.8637999999999999</v>
      </c>
    </row>
    <row r="752" spans="39:44" x14ac:dyDescent="0.25">
      <c r="AM752" s="562">
        <v>45170</v>
      </c>
      <c r="AN752" s="563">
        <v>394.28</v>
      </c>
      <c r="AO752" s="563">
        <v>1582187</v>
      </c>
      <c r="AP752" s="563">
        <v>293.19213999999999</v>
      </c>
      <c r="AQ752" s="563">
        <v>115599.79695919999</v>
      </c>
      <c r="AR752" s="563">
        <v>1.9006000000000001</v>
      </c>
    </row>
    <row r="753" spans="39:44" x14ac:dyDescent="0.25">
      <c r="AM753" s="562">
        <v>45169</v>
      </c>
      <c r="AN753" s="563">
        <v>385.21</v>
      </c>
      <c r="AO753" s="563">
        <v>1664375</v>
      </c>
      <c r="AP753" s="563">
        <v>293.19213999999999</v>
      </c>
      <c r="AQ753" s="563">
        <v>112940.54424939999</v>
      </c>
      <c r="AR753" s="563">
        <v>1.8569</v>
      </c>
    </row>
    <row r="754" spans="39:44" x14ac:dyDescent="0.25">
      <c r="AM754" s="562">
        <v>45168</v>
      </c>
      <c r="AN754" s="563">
        <v>390.79</v>
      </c>
      <c r="AO754" s="563">
        <v>2549068</v>
      </c>
      <c r="AP754" s="563">
        <v>293.19213999999999</v>
      </c>
      <c r="AQ754" s="563">
        <v>114576.5563906</v>
      </c>
      <c r="AR754" s="563">
        <v>1.8837999999999999</v>
      </c>
    </row>
    <row r="755" spans="39:44" x14ac:dyDescent="0.25">
      <c r="AM755" s="562">
        <v>45167</v>
      </c>
      <c r="AN755" s="563">
        <v>397.02</v>
      </c>
      <c r="AO755" s="563">
        <v>4233748</v>
      </c>
      <c r="AP755" s="563">
        <v>293.19213999999999</v>
      </c>
      <c r="AQ755" s="563">
        <v>116403.1434228</v>
      </c>
      <c r="AR755" s="563">
        <v>1.9137999999999999</v>
      </c>
    </row>
    <row r="756" spans="39:44" x14ac:dyDescent="0.25">
      <c r="AM756" s="562">
        <v>45166</v>
      </c>
      <c r="AN756" s="563">
        <v>397.02</v>
      </c>
      <c r="AO756" s="563">
        <v>4233748</v>
      </c>
      <c r="AP756" s="563">
        <v>293.19213999999999</v>
      </c>
      <c r="AQ756" s="563">
        <v>116403.1434228</v>
      </c>
      <c r="AR756" s="563">
        <v>1.9137999999999999</v>
      </c>
    </row>
    <row r="757" spans="39:44" x14ac:dyDescent="0.25">
      <c r="AM757" s="562">
        <v>45165</v>
      </c>
      <c r="AN757" s="563">
        <v>397.02</v>
      </c>
      <c r="AO757" s="563">
        <v>4233748</v>
      </c>
      <c r="AP757" s="563">
        <v>293.19213999999999</v>
      </c>
      <c r="AQ757" s="563">
        <v>116403.1434228</v>
      </c>
      <c r="AR757" s="563">
        <v>1.9137999999999999</v>
      </c>
    </row>
    <row r="758" spans="39:44" x14ac:dyDescent="0.25">
      <c r="AM758" s="562">
        <v>45164</v>
      </c>
      <c r="AN758" s="563">
        <v>419.16</v>
      </c>
      <c r="AO758" s="563">
        <v>2149243</v>
      </c>
      <c r="AP758" s="563">
        <v>293.19213999999999</v>
      </c>
      <c r="AQ758" s="563">
        <v>122894.41740240001</v>
      </c>
      <c r="AR758" s="563">
        <v>2.0205000000000002</v>
      </c>
    </row>
    <row r="759" spans="39:44" x14ac:dyDescent="0.25">
      <c r="AM759" s="562">
        <v>45163</v>
      </c>
      <c r="AN759" s="563">
        <v>423.94</v>
      </c>
      <c r="AO759" s="563">
        <v>1870346</v>
      </c>
      <c r="AP759" s="563">
        <v>293.19213999999999</v>
      </c>
      <c r="AQ759" s="563">
        <v>124295.8758316</v>
      </c>
      <c r="AR759" s="563">
        <v>2.0436000000000001</v>
      </c>
    </row>
    <row r="760" spans="39:44" x14ac:dyDescent="0.25">
      <c r="AM760" s="562">
        <v>45162</v>
      </c>
      <c r="AN760" s="563">
        <v>431.68</v>
      </c>
      <c r="AO760" s="563">
        <v>1576804</v>
      </c>
      <c r="AP760" s="563">
        <v>293.19213999999999</v>
      </c>
      <c r="AQ760" s="563">
        <v>126565.1829952</v>
      </c>
      <c r="AR760" s="563">
        <v>2.0809000000000002</v>
      </c>
    </row>
    <row r="761" spans="39:44" x14ac:dyDescent="0.25">
      <c r="AM761" s="562">
        <v>45161</v>
      </c>
      <c r="AN761" s="563">
        <v>437.64</v>
      </c>
      <c r="AO761" s="563">
        <v>1058651</v>
      </c>
      <c r="AP761" s="563">
        <v>293.19213999999999</v>
      </c>
      <c r="AQ761" s="563">
        <v>128312.6081496</v>
      </c>
      <c r="AR761" s="563">
        <v>2.1095999999999999</v>
      </c>
    </row>
    <row r="762" spans="39:44" x14ac:dyDescent="0.25">
      <c r="AM762" s="562">
        <v>45160</v>
      </c>
      <c r="AN762" s="563">
        <v>435.07</v>
      </c>
      <c r="AO762" s="563">
        <v>1217230</v>
      </c>
      <c r="AP762" s="563">
        <v>293.19213999999999</v>
      </c>
      <c r="AQ762" s="563">
        <v>127559.10434979999</v>
      </c>
      <c r="AR762" s="563">
        <v>2.0972</v>
      </c>
    </row>
    <row r="763" spans="39:44" x14ac:dyDescent="0.25">
      <c r="AM763" s="562">
        <v>45159</v>
      </c>
      <c r="AN763" s="563">
        <v>435.07</v>
      </c>
      <c r="AO763" s="563">
        <v>1217230</v>
      </c>
      <c r="AP763" s="563">
        <v>293.19213999999999</v>
      </c>
      <c r="AQ763" s="563">
        <v>127559.10434979999</v>
      </c>
      <c r="AR763" s="563">
        <v>2.0972</v>
      </c>
    </row>
    <row r="764" spans="39:44" x14ac:dyDescent="0.25">
      <c r="AM764" s="562">
        <v>45158</v>
      </c>
      <c r="AN764" s="563">
        <v>435.07</v>
      </c>
      <c r="AO764" s="563">
        <v>1217230</v>
      </c>
      <c r="AP764" s="563">
        <v>293.19213999999999</v>
      </c>
      <c r="AQ764" s="563">
        <v>127559.10434979999</v>
      </c>
      <c r="AR764" s="563">
        <v>2.0972</v>
      </c>
    </row>
    <row r="765" spans="39:44" x14ac:dyDescent="0.25">
      <c r="AM765" s="562">
        <v>45157</v>
      </c>
      <c r="AN765" s="563">
        <v>434.57</v>
      </c>
      <c r="AO765" s="563">
        <v>1284022</v>
      </c>
      <c r="AP765" s="563">
        <v>293.19213999999999</v>
      </c>
      <c r="AQ765" s="563">
        <v>127412.50827979999</v>
      </c>
      <c r="AR765" s="563">
        <v>2.0948000000000002</v>
      </c>
    </row>
    <row r="766" spans="39:44" x14ac:dyDescent="0.25">
      <c r="AM766" s="562">
        <v>45156</v>
      </c>
      <c r="AN766" s="563">
        <v>436.09</v>
      </c>
      <c r="AO766" s="563">
        <v>1361284</v>
      </c>
      <c r="AP766" s="563">
        <v>293.19213999999999</v>
      </c>
      <c r="AQ766" s="563">
        <v>127858.16033259999</v>
      </c>
      <c r="AR766" s="563">
        <v>2.1021000000000001</v>
      </c>
    </row>
    <row r="767" spans="39:44" x14ac:dyDescent="0.25">
      <c r="AM767" s="562">
        <v>45155</v>
      </c>
      <c r="AN767" s="563">
        <v>430.46</v>
      </c>
      <c r="AO767" s="563">
        <v>1354516</v>
      </c>
      <c r="AP767" s="563">
        <v>293.19213999999999</v>
      </c>
      <c r="AQ767" s="563">
        <v>126207.48858439999</v>
      </c>
      <c r="AR767" s="563">
        <v>2.0750000000000002</v>
      </c>
    </row>
    <row r="768" spans="39:44" x14ac:dyDescent="0.25">
      <c r="AM768" s="562">
        <v>45154</v>
      </c>
      <c r="AN768" s="563">
        <v>431.31</v>
      </c>
      <c r="AO768" s="563">
        <v>1009610</v>
      </c>
      <c r="AP768" s="563">
        <v>293.19213999999999</v>
      </c>
      <c r="AQ768" s="563">
        <v>126456.7019034</v>
      </c>
      <c r="AR768" s="563">
        <v>2.0790999999999999</v>
      </c>
    </row>
    <row r="769" spans="39:44" x14ac:dyDescent="0.25">
      <c r="AM769" s="562">
        <v>45153</v>
      </c>
      <c r="AN769" s="563">
        <v>424.04</v>
      </c>
      <c r="AO769" s="563">
        <v>961226</v>
      </c>
      <c r="AP769" s="563">
        <v>293.19213999999999</v>
      </c>
      <c r="AQ769" s="563">
        <v>124325.1950456</v>
      </c>
      <c r="AR769" s="563">
        <v>2.044</v>
      </c>
    </row>
    <row r="770" spans="39:44" x14ac:dyDescent="0.25">
      <c r="AM770" s="562">
        <v>45152</v>
      </c>
      <c r="AN770" s="563">
        <v>424.04</v>
      </c>
      <c r="AO770" s="563">
        <v>961226</v>
      </c>
      <c r="AP770" s="563">
        <v>293.19213999999999</v>
      </c>
      <c r="AQ770" s="563">
        <v>124325.1950456</v>
      </c>
      <c r="AR770" s="563">
        <v>2.044</v>
      </c>
    </row>
    <row r="771" spans="39:44" x14ac:dyDescent="0.25">
      <c r="AM771" s="562">
        <v>45151</v>
      </c>
      <c r="AN771" s="563">
        <v>424.04</v>
      </c>
      <c r="AO771" s="563">
        <v>961226</v>
      </c>
      <c r="AP771" s="563">
        <v>293.19213999999999</v>
      </c>
      <c r="AQ771" s="563">
        <v>124325.1950456</v>
      </c>
      <c r="AR771" s="563">
        <v>2.044</v>
      </c>
    </row>
    <row r="772" spans="39:44" x14ac:dyDescent="0.25">
      <c r="AM772" s="562">
        <v>45150</v>
      </c>
      <c r="AN772" s="563">
        <v>423.94</v>
      </c>
      <c r="AO772" s="563">
        <v>1083904</v>
      </c>
      <c r="AP772" s="563">
        <v>293.19213999999999</v>
      </c>
      <c r="AQ772" s="563">
        <v>124295.8758316</v>
      </c>
      <c r="AR772" s="563">
        <v>2.0436000000000001</v>
      </c>
    </row>
    <row r="773" spans="39:44" x14ac:dyDescent="0.25">
      <c r="AM773" s="562">
        <v>45149</v>
      </c>
      <c r="AN773" s="563">
        <v>430.53</v>
      </c>
      <c r="AO773" s="563">
        <v>1078063</v>
      </c>
      <c r="AP773" s="563">
        <v>293.19213999999999</v>
      </c>
      <c r="AQ773" s="563">
        <v>126228.01203419999</v>
      </c>
      <c r="AR773" s="563">
        <v>2.0752999999999999</v>
      </c>
    </row>
    <row r="774" spans="39:44" x14ac:dyDescent="0.25">
      <c r="AM774" s="562">
        <v>45148</v>
      </c>
      <c r="AN774" s="563">
        <v>433.44</v>
      </c>
      <c r="AO774" s="563">
        <v>1116353</v>
      </c>
      <c r="AP774" s="563">
        <v>293.19213999999999</v>
      </c>
      <c r="AQ774" s="563">
        <v>127081.20116159999</v>
      </c>
      <c r="AR774" s="563">
        <v>2.0893999999999999</v>
      </c>
    </row>
    <row r="775" spans="39:44" x14ac:dyDescent="0.25">
      <c r="AM775" s="562">
        <v>45147</v>
      </c>
      <c r="AN775" s="563">
        <v>429.6</v>
      </c>
      <c r="AO775" s="563">
        <v>1169864</v>
      </c>
      <c r="AP775" s="563">
        <v>293.19213999999999</v>
      </c>
      <c r="AQ775" s="563">
        <v>125955.34334400001</v>
      </c>
      <c r="AR775" s="563">
        <v>2.0708000000000002</v>
      </c>
    </row>
    <row r="776" spans="39:44" x14ac:dyDescent="0.25">
      <c r="AM776" s="562">
        <v>45146</v>
      </c>
      <c r="AN776" s="563">
        <v>427.11</v>
      </c>
      <c r="AO776" s="563">
        <v>1194822</v>
      </c>
      <c r="AP776" s="563">
        <v>293.19213999999999</v>
      </c>
      <c r="AQ776" s="563">
        <v>125225.29491540001</v>
      </c>
      <c r="AR776" s="563">
        <v>2.141</v>
      </c>
    </row>
    <row r="777" spans="39:44" x14ac:dyDescent="0.25">
      <c r="AM777" s="562">
        <v>45145</v>
      </c>
      <c r="AN777" s="563">
        <v>427.11</v>
      </c>
      <c r="AO777" s="563">
        <v>1194822</v>
      </c>
      <c r="AP777" s="563">
        <v>293.19213999999999</v>
      </c>
      <c r="AQ777" s="563">
        <v>125225.29491540001</v>
      </c>
      <c r="AR777" s="563">
        <v>2.141</v>
      </c>
    </row>
    <row r="778" spans="39:44" x14ac:dyDescent="0.25">
      <c r="AM778" s="562">
        <v>45144</v>
      </c>
      <c r="AN778" s="563">
        <v>427.11</v>
      </c>
      <c r="AO778" s="563">
        <v>1194822</v>
      </c>
      <c r="AP778" s="563">
        <v>293.19213999999999</v>
      </c>
      <c r="AQ778" s="563">
        <v>125225.29491540001</v>
      </c>
      <c r="AR778" s="563">
        <v>2.141</v>
      </c>
    </row>
    <row r="779" spans="39:44" x14ac:dyDescent="0.25">
      <c r="AM779" s="562">
        <v>45143</v>
      </c>
      <c r="AN779" s="563">
        <v>428.62</v>
      </c>
      <c r="AO779" s="563">
        <v>1977058</v>
      </c>
      <c r="AP779" s="563">
        <v>293.19213999999999</v>
      </c>
      <c r="AQ779" s="563">
        <v>125668.01504679999</v>
      </c>
      <c r="AR779" s="563">
        <v>2.1486000000000001</v>
      </c>
    </row>
    <row r="780" spans="39:44" x14ac:dyDescent="0.25">
      <c r="AM780" s="562">
        <v>45142</v>
      </c>
      <c r="AN780" s="563">
        <v>432.95</v>
      </c>
      <c r="AO780" s="563">
        <v>1759451</v>
      </c>
      <c r="AP780" s="563">
        <v>293.19213999999999</v>
      </c>
      <c r="AQ780" s="563">
        <v>126937.53701299999</v>
      </c>
      <c r="AR780" s="563">
        <v>2.1703000000000001</v>
      </c>
    </row>
    <row r="781" spans="39:44" x14ac:dyDescent="0.25">
      <c r="AM781" s="562">
        <v>45141</v>
      </c>
      <c r="AN781" s="563">
        <v>446.33</v>
      </c>
      <c r="AO781" s="563">
        <v>1160650</v>
      </c>
      <c r="AP781" s="563">
        <v>293.19213999999999</v>
      </c>
      <c r="AQ781" s="563">
        <v>130860.4478462</v>
      </c>
      <c r="AR781" s="563">
        <v>2.2374000000000001</v>
      </c>
    </row>
    <row r="782" spans="39:44" x14ac:dyDescent="0.25">
      <c r="AM782" s="562">
        <v>45140</v>
      </c>
      <c r="AN782" s="563">
        <v>442.59</v>
      </c>
      <c r="AO782" s="563">
        <v>1301819</v>
      </c>
      <c r="AP782" s="563">
        <v>293.19213999999999</v>
      </c>
      <c r="AQ782" s="563">
        <v>129763.90924259998</v>
      </c>
      <c r="AR782" s="563">
        <v>2.2185999999999999</v>
      </c>
    </row>
    <row r="783" spans="39:44" x14ac:dyDescent="0.25">
      <c r="AM783" s="562">
        <v>45139</v>
      </c>
      <c r="AN783" s="563">
        <v>436.93</v>
      </c>
      <c r="AO783" s="563">
        <v>1195560</v>
      </c>
      <c r="AP783" s="563">
        <v>293.19213999999999</v>
      </c>
      <c r="AQ783" s="563">
        <v>128104.44173019999</v>
      </c>
      <c r="AR783" s="563">
        <v>2.1901999999999999</v>
      </c>
    </row>
    <row r="784" spans="39:44" x14ac:dyDescent="0.25">
      <c r="AM784" s="562">
        <v>45138</v>
      </c>
      <c r="AN784" s="563">
        <v>436.93</v>
      </c>
      <c r="AO784" s="563">
        <v>1195560</v>
      </c>
      <c r="AP784" s="563">
        <v>293.19213999999999</v>
      </c>
      <c r="AQ784" s="563">
        <v>128104.44173019999</v>
      </c>
      <c r="AR784" s="563">
        <v>2.1901999999999999</v>
      </c>
    </row>
    <row r="785" spans="39:44" x14ac:dyDescent="0.25">
      <c r="AM785" s="562">
        <v>45137</v>
      </c>
      <c r="AN785" s="563">
        <v>436.93</v>
      </c>
      <c r="AO785" s="563">
        <v>1195560</v>
      </c>
      <c r="AP785" s="563">
        <v>293.19213999999999</v>
      </c>
      <c r="AQ785" s="563">
        <v>128104.44173019999</v>
      </c>
      <c r="AR785" s="563">
        <v>2.1901999999999999</v>
      </c>
    </row>
    <row r="786" spans="39:44" x14ac:dyDescent="0.25">
      <c r="AM786" s="562">
        <v>45136</v>
      </c>
      <c r="AN786" s="563">
        <v>439.63</v>
      </c>
      <c r="AO786" s="563">
        <v>1285142</v>
      </c>
      <c r="AP786" s="563">
        <v>293.19213999999999</v>
      </c>
      <c r="AQ786" s="563">
        <v>128896.0605082</v>
      </c>
      <c r="AR786" s="563">
        <v>2.2038000000000002</v>
      </c>
    </row>
    <row r="787" spans="39:44" x14ac:dyDescent="0.25">
      <c r="AM787" s="562">
        <v>45135</v>
      </c>
      <c r="AN787" s="563">
        <v>436.17</v>
      </c>
      <c r="AO787" s="563">
        <v>1664826</v>
      </c>
      <c r="AP787" s="563">
        <v>293.19213999999999</v>
      </c>
      <c r="AQ787" s="563">
        <v>127881.61570380001</v>
      </c>
      <c r="AR787" s="563">
        <v>2.1863999999999999</v>
      </c>
    </row>
    <row r="788" spans="39:44" x14ac:dyDescent="0.25">
      <c r="AM788" s="562">
        <v>45134</v>
      </c>
      <c r="AN788" s="563">
        <v>431.56</v>
      </c>
      <c r="AO788" s="563">
        <v>1575876</v>
      </c>
      <c r="AP788" s="563">
        <v>293.19213999999999</v>
      </c>
      <c r="AQ788" s="563">
        <v>126529.9999384</v>
      </c>
      <c r="AR788" s="563">
        <v>2.1633</v>
      </c>
    </row>
    <row r="789" spans="39:44" x14ac:dyDescent="0.25">
      <c r="AM789" s="562">
        <v>45133</v>
      </c>
      <c r="AN789" s="563">
        <v>420.6</v>
      </c>
      <c r="AO789" s="563">
        <v>1509540</v>
      </c>
      <c r="AP789" s="563">
        <v>293.19213999999999</v>
      </c>
      <c r="AQ789" s="563">
        <v>123316.614084</v>
      </c>
      <c r="AR789" s="563">
        <v>2.1084000000000001</v>
      </c>
    </row>
    <row r="790" spans="39:44" x14ac:dyDescent="0.25">
      <c r="AM790" s="562">
        <v>45132</v>
      </c>
      <c r="AN790" s="563">
        <v>414.61</v>
      </c>
      <c r="AO790" s="563">
        <v>984373</v>
      </c>
      <c r="AP790" s="563">
        <v>293.19213999999999</v>
      </c>
      <c r="AQ790" s="563">
        <v>121560.3931654</v>
      </c>
      <c r="AR790" s="563">
        <v>2.0783999999999998</v>
      </c>
    </row>
    <row r="791" spans="39:44" x14ac:dyDescent="0.25">
      <c r="AM791" s="562">
        <v>45131</v>
      </c>
      <c r="AN791" s="563">
        <v>414.61</v>
      </c>
      <c r="AO791" s="563">
        <v>984373</v>
      </c>
      <c r="AP791" s="563">
        <v>293.19213999999999</v>
      </c>
      <c r="AQ791" s="563">
        <v>121560.3931654</v>
      </c>
      <c r="AR791" s="563">
        <v>2.0783999999999998</v>
      </c>
    </row>
    <row r="792" spans="39:44" x14ac:dyDescent="0.25">
      <c r="AM792" s="562">
        <v>45130</v>
      </c>
      <c r="AN792" s="563">
        <v>414.61</v>
      </c>
      <c r="AO792" s="563">
        <v>984373</v>
      </c>
      <c r="AP792" s="563">
        <v>293.19213999999999</v>
      </c>
      <c r="AQ792" s="563">
        <v>121560.3931654</v>
      </c>
      <c r="AR792" s="563">
        <v>2.0783999999999998</v>
      </c>
    </row>
    <row r="793" spans="39:44" x14ac:dyDescent="0.25">
      <c r="AM793" s="562">
        <v>45129</v>
      </c>
      <c r="AN793" s="563">
        <v>409.55</v>
      </c>
      <c r="AO793" s="563">
        <v>999604</v>
      </c>
      <c r="AP793" s="563">
        <v>293.19213999999999</v>
      </c>
      <c r="AQ793" s="563">
        <v>120076.840937</v>
      </c>
      <c r="AR793" s="563">
        <v>2.0529999999999999</v>
      </c>
    </row>
    <row r="794" spans="39:44" x14ac:dyDescent="0.25">
      <c r="AM794" s="562">
        <v>45128</v>
      </c>
      <c r="AN794" s="563">
        <v>407.67</v>
      </c>
      <c r="AO794" s="563">
        <v>1375960</v>
      </c>
      <c r="AP794" s="563">
        <v>293.19213999999999</v>
      </c>
      <c r="AQ794" s="563">
        <v>119525.6397138</v>
      </c>
      <c r="AR794" s="563">
        <v>2.0436000000000001</v>
      </c>
    </row>
    <row r="795" spans="39:44" x14ac:dyDescent="0.25">
      <c r="AM795" s="562">
        <v>45127</v>
      </c>
      <c r="AN795" s="563">
        <v>413.8</v>
      </c>
      <c r="AO795" s="563">
        <v>1131255</v>
      </c>
      <c r="AP795" s="563">
        <v>293.19213999999999</v>
      </c>
      <c r="AQ795" s="563">
        <v>121322.907532</v>
      </c>
      <c r="AR795" s="563">
        <v>2.0743</v>
      </c>
    </row>
    <row r="796" spans="39:44" x14ac:dyDescent="0.25">
      <c r="AM796" s="562">
        <v>45126</v>
      </c>
      <c r="AN796" s="563">
        <v>407.09</v>
      </c>
      <c r="AO796" s="563">
        <v>1005476</v>
      </c>
      <c r="AP796" s="563">
        <v>293.19213999999999</v>
      </c>
      <c r="AQ796" s="563">
        <v>119355.58827259998</v>
      </c>
      <c r="AR796" s="563">
        <v>2.0407000000000002</v>
      </c>
    </row>
    <row r="797" spans="39:44" x14ac:dyDescent="0.25">
      <c r="AM797" s="562">
        <v>45125</v>
      </c>
      <c r="AN797" s="563">
        <v>405.28</v>
      </c>
      <c r="AO797" s="563">
        <v>1013910</v>
      </c>
      <c r="AP797" s="563">
        <v>293.19213999999999</v>
      </c>
      <c r="AQ797" s="563">
        <v>118824.91049919999</v>
      </c>
      <c r="AR797" s="563">
        <v>2.0316000000000001</v>
      </c>
    </row>
    <row r="798" spans="39:44" x14ac:dyDescent="0.25">
      <c r="AM798" s="562">
        <v>45124</v>
      </c>
      <c r="AN798" s="563">
        <v>405.28</v>
      </c>
      <c r="AO798" s="563">
        <v>1013910</v>
      </c>
      <c r="AP798" s="563">
        <v>293.19213999999999</v>
      </c>
      <c r="AQ798" s="563">
        <v>118824.91049919999</v>
      </c>
      <c r="AR798" s="563">
        <v>2.0316000000000001</v>
      </c>
    </row>
    <row r="799" spans="39:44" x14ac:dyDescent="0.25">
      <c r="AM799" s="562">
        <v>45123</v>
      </c>
      <c r="AN799" s="563">
        <v>405.28</v>
      </c>
      <c r="AO799" s="563">
        <v>1013910</v>
      </c>
      <c r="AP799" s="563">
        <v>293.19213999999999</v>
      </c>
      <c r="AQ799" s="563">
        <v>118824.91049919999</v>
      </c>
      <c r="AR799" s="563">
        <v>2.0316000000000001</v>
      </c>
    </row>
    <row r="800" spans="39:44" x14ac:dyDescent="0.25">
      <c r="AM800" s="562">
        <v>45122</v>
      </c>
      <c r="AN800" s="563">
        <v>401.17</v>
      </c>
      <c r="AO800" s="563">
        <v>1391430</v>
      </c>
      <c r="AP800" s="563">
        <v>293.19213999999999</v>
      </c>
      <c r="AQ800" s="563">
        <v>117619.89080380001</v>
      </c>
      <c r="AR800" s="563">
        <v>2.0110000000000001</v>
      </c>
    </row>
    <row r="801" spans="39:44" x14ac:dyDescent="0.25">
      <c r="AM801" s="562">
        <v>45121</v>
      </c>
      <c r="AN801" s="563">
        <v>404.66</v>
      </c>
      <c r="AO801" s="563">
        <v>1399248</v>
      </c>
      <c r="AP801" s="563">
        <v>293.19213999999999</v>
      </c>
      <c r="AQ801" s="563">
        <v>118643.13137240001</v>
      </c>
      <c r="AR801" s="563">
        <v>2.0285000000000002</v>
      </c>
    </row>
    <row r="802" spans="39:44" x14ac:dyDescent="0.25">
      <c r="AM802" s="562">
        <v>45120</v>
      </c>
      <c r="AN802" s="563">
        <v>406.48</v>
      </c>
      <c r="AO802" s="563">
        <v>652570</v>
      </c>
      <c r="AP802" s="563">
        <v>293.19213999999999</v>
      </c>
      <c r="AQ802" s="563">
        <v>119176.7410672</v>
      </c>
      <c r="AR802" s="563">
        <v>2.0375999999999999</v>
      </c>
    </row>
    <row r="803" spans="39:44" x14ac:dyDescent="0.25">
      <c r="AM803" s="562">
        <v>45119</v>
      </c>
      <c r="AN803" s="563">
        <v>406.48</v>
      </c>
      <c r="AO803" s="563">
        <v>652570</v>
      </c>
      <c r="AP803" s="563">
        <v>293.19213999999999</v>
      </c>
      <c r="AQ803" s="563">
        <v>119176.7410672</v>
      </c>
      <c r="AR803" s="563">
        <v>2.0375999999999999</v>
      </c>
    </row>
    <row r="804" spans="39:44" x14ac:dyDescent="0.25">
      <c r="AM804" s="562">
        <v>45118</v>
      </c>
      <c r="AN804" s="563">
        <v>405.19</v>
      </c>
      <c r="AO804" s="563">
        <v>1848796</v>
      </c>
      <c r="AP804" s="563">
        <v>293.19213999999999</v>
      </c>
      <c r="AQ804" s="563">
        <v>118798.5232066</v>
      </c>
      <c r="AR804" s="563">
        <v>2.0310999999999999</v>
      </c>
    </row>
    <row r="805" spans="39:44" x14ac:dyDescent="0.25">
      <c r="AM805" s="562">
        <v>45117</v>
      </c>
      <c r="AN805" s="563">
        <v>405.19</v>
      </c>
      <c r="AO805" s="563">
        <v>1848796</v>
      </c>
      <c r="AP805" s="563">
        <v>293.19213999999999</v>
      </c>
      <c r="AQ805" s="563">
        <v>118798.5232066</v>
      </c>
      <c r="AR805" s="563">
        <v>2.0310999999999999</v>
      </c>
    </row>
    <row r="806" spans="39:44" x14ac:dyDescent="0.25">
      <c r="AM806" s="562">
        <v>45116</v>
      </c>
      <c r="AN806" s="563">
        <v>405.19</v>
      </c>
      <c r="AO806" s="563">
        <v>1848796</v>
      </c>
      <c r="AP806" s="563">
        <v>293.19213999999999</v>
      </c>
      <c r="AQ806" s="563">
        <v>118798.5232066</v>
      </c>
      <c r="AR806" s="563">
        <v>2.0310999999999999</v>
      </c>
    </row>
    <row r="807" spans="39:44" x14ac:dyDescent="0.25">
      <c r="AM807" s="562">
        <v>45115</v>
      </c>
      <c r="AN807" s="563">
        <v>401.63</v>
      </c>
      <c r="AO807" s="563">
        <v>1871721</v>
      </c>
      <c r="AP807" s="563">
        <v>293.19213999999999</v>
      </c>
      <c r="AQ807" s="563">
        <v>117754.7591882</v>
      </c>
      <c r="AR807" s="563">
        <v>2.0133000000000001</v>
      </c>
    </row>
    <row r="808" spans="39:44" x14ac:dyDescent="0.25">
      <c r="AM808" s="562">
        <v>45114</v>
      </c>
      <c r="AN808" s="563">
        <v>405.2</v>
      </c>
      <c r="AO808" s="563">
        <v>1676148</v>
      </c>
      <c r="AP808" s="563">
        <v>293.19213999999999</v>
      </c>
      <c r="AQ808" s="563">
        <v>118801.455128</v>
      </c>
      <c r="AR808" s="563">
        <v>2.0312000000000001</v>
      </c>
    </row>
    <row r="809" spans="39:44" x14ac:dyDescent="0.25">
      <c r="AM809" s="562">
        <v>45113</v>
      </c>
      <c r="AN809" s="563">
        <v>409.51</v>
      </c>
      <c r="AO809" s="563">
        <v>1405068</v>
      </c>
      <c r="AP809" s="563">
        <v>293.19213999999999</v>
      </c>
      <c r="AQ809" s="563">
        <v>120065.11325139999</v>
      </c>
      <c r="AR809" s="563">
        <v>2.0528</v>
      </c>
    </row>
    <row r="810" spans="39:44" x14ac:dyDescent="0.25">
      <c r="AM810" s="562">
        <v>45112</v>
      </c>
      <c r="AN810" s="563">
        <v>410.19</v>
      </c>
      <c r="AO810" s="563">
        <v>1360477</v>
      </c>
      <c r="AP810" s="563">
        <v>293.19213999999999</v>
      </c>
      <c r="AQ810" s="563">
        <v>120264.4839066</v>
      </c>
      <c r="AR810" s="563">
        <v>2.0562</v>
      </c>
    </row>
    <row r="811" spans="39:44" x14ac:dyDescent="0.25">
      <c r="AM811" s="562">
        <v>45111</v>
      </c>
      <c r="AN811" s="563">
        <v>404.45</v>
      </c>
      <c r="AO811" s="563">
        <v>2033407</v>
      </c>
      <c r="AP811" s="563">
        <v>293.19213999999999</v>
      </c>
      <c r="AQ811" s="563">
        <v>118581.56102299999</v>
      </c>
      <c r="AR811" s="563">
        <v>2.0274000000000001</v>
      </c>
    </row>
    <row r="812" spans="39:44" x14ac:dyDescent="0.25">
      <c r="AM812" s="562">
        <v>45110</v>
      </c>
      <c r="AN812" s="563">
        <v>404.45</v>
      </c>
      <c r="AO812" s="563">
        <v>2033407</v>
      </c>
      <c r="AP812" s="563">
        <v>293.19213999999999</v>
      </c>
      <c r="AQ812" s="563">
        <v>118581.56102299999</v>
      </c>
      <c r="AR812" s="563">
        <v>2.0274000000000001</v>
      </c>
    </row>
    <row r="813" spans="39:44" x14ac:dyDescent="0.25">
      <c r="AM813" s="562">
        <v>45109</v>
      </c>
      <c r="AN813" s="563">
        <v>404.45</v>
      </c>
      <c r="AO813" s="563">
        <v>2033407</v>
      </c>
      <c r="AP813" s="563">
        <v>293.19213999999999</v>
      </c>
      <c r="AQ813" s="563">
        <v>118581.56102299999</v>
      </c>
      <c r="AR813" s="563">
        <v>2.0274000000000001</v>
      </c>
    </row>
    <row r="814" spans="39:44" x14ac:dyDescent="0.25">
      <c r="AM814" s="562">
        <v>45108</v>
      </c>
      <c r="AN814" s="563">
        <v>415.69</v>
      </c>
      <c r="AO814" s="563">
        <v>1518031</v>
      </c>
      <c r="AP814" s="563">
        <v>293.19213999999999</v>
      </c>
      <c r="AQ814" s="563">
        <v>121877.04067659999</v>
      </c>
      <c r="AR814" s="563">
        <v>2.0838000000000001</v>
      </c>
    </row>
    <row r="815" spans="39:44" x14ac:dyDescent="0.25">
      <c r="AM815" s="562">
        <v>45107</v>
      </c>
      <c r="AN815" s="563">
        <v>416.59</v>
      </c>
      <c r="AO815" s="563">
        <v>1868179</v>
      </c>
      <c r="AP815" s="563">
        <v>293.19213999999999</v>
      </c>
      <c r="AQ815" s="563">
        <v>122140.91360259999</v>
      </c>
      <c r="AR815" s="563">
        <v>2.0882999999999998</v>
      </c>
    </row>
    <row r="816" spans="39:44" x14ac:dyDescent="0.25">
      <c r="AM816" s="562">
        <v>45106</v>
      </c>
      <c r="AN816" s="563">
        <v>407.98</v>
      </c>
      <c r="AO816" s="563">
        <v>1701027</v>
      </c>
      <c r="AP816" s="563">
        <v>293.19213999999999</v>
      </c>
      <c r="AQ816" s="563">
        <v>119616.52927720001</v>
      </c>
      <c r="AR816" s="563">
        <v>2.0451000000000001</v>
      </c>
    </row>
    <row r="817" spans="39:44" x14ac:dyDescent="0.25">
      <c r="AM817" s="562">
        <v>45105</v>
      </c>
      <c r="AN817" s="563">
        <v>407.63</v>
      </c>
      <c r="AO817" s="563">
        <v>2120086</v>
      </c>
      <c r="AP817" s="563">
        <v>293.19213999999999</v>
      </c>
      <c r="AQ817" s="563">
        <v>119513.91202819999</v>
      </c>
      <c r="AR817" s="563">
        <v>2.0434000000000001</v>
      </c>
    </row>
    <row r="818" spans="39:44" x14ac:dyDescent="0.25">
      <c r="AM818" s="562">
        <v>45104</v>
      </c>
      <c r="AN818" s="563">
        <v>407.63</v>
      </c>
      <c r="AO818" s="563">
        <v>2120086</v>
      </c>
      <c r="AP818" s="563">
        <v>293.19213999999999</v>
      </c>
      <c r="AQ818" s="563">
        <v>119513.91202819999</v>
      </c>
      <c r="AR818" s="563">
        <v>2.0434000000000001</v>
      </c>
    </row>
    <row r="819" spans="39:44" x14ac:dyDescent="0.25">
      <c r="AM819" s="562">
        <v>45103</v>
      </c>
      <c r="AN819" s="563">
        <v>407.63</v>
      </c>
      <c r="AO819" s="563">
        <v>2120086</v>
      </c>
      <c r="AP819" s="563">
        <v>293.19213999999999</v>
      </c>
      <c r="AQ819" s="563">
        <v>119513.91202819999</v>
      </c>
      <c r="AR819" s="563">
        <v>2.0434000000000001</v>
      </c>
    </row>
    <row r="820" spans="39:44" x14ac:dyDescent="0.25">
      <c r="AM820" s="562">
        <v>45102</v>
      </c>
      <c r="AN820" s="563">
        <v>407.63</v>
      </c>
      <c r="AO820" s="563">
        <v>2120086</v>
      </c>
      <c r="AP820" s="563">
        <v>293.19213999999999</v>
      </c>
      <c r="AQ820" s="563">
        <v>119513.91202819999</v>
      </c>
      <c r="AR820" s="563">
        <v>2.0434000000000001</v>
      </c>
    </row>
    <row r="821" spans="39:44" x14ac:dyDescent="0.25">
      <c r="AM821" s="562">
        <v>45101</v>
      </c>
      <c r="AN821" s="563">
        <v>406.52</v>
      </c>
      <c r="AO821" s="563">
        <v>1471197</v>
      </c>
      <c r="AP821" s="563">
        <v>293.19213999999999</v>
      </c>
      <c r="AQ821" s="563">
        <v>119188.46875279999</v>
      </c>
      <c r="AR821" s="563">
        <v>2.0377999999999998</v>
      </c>
    </row>
    <row r="822" spans="39:44" x14ac:dyDescent="0.25">
      <c r="AM822" s="562">
        <v>45100</v>
      </c>
      <c r="AN822" s="563">
        <v>399.05</v>
      </c>
      <c r="AO822" s="563">
        <v>1900315</v>
      </c>
      <c r="AP822" s="563">
        <v>293.19213999999999</v>
      </c>
      <c r="AQ822" s="563">
        <v>116998.32346699999</v>
      </c>
      <c r="AR822" s="563">
        <v>2.0004</v>
      </c>
    </row>
    <row r="823" spans="39:44" x14ac:dyDescent="0.25">
      <c r="AM823" s="562">
        <v>45099</v>
      </c>
      <c r="AN823" s="563">
        <v>398.24</v>
      </c>
      <c r="AO823" s="563">
        <v>2141687</v>
      </c>
      <c r="AP823" s="563">
        <v>293.19213999999999</v>
      </c>
      <c r="AQ823" s="563">
        <v>116760.8378336</v>
      </c>
      <c r="AR823" s="563">
        <v>1.9963</v>
      </c>
    </row>
    <row r="824" spans="39:44" x14ac:dyDescent="0.25">
      <c r="AM824" s="562">
        <v>45098</v>
      </c>
      <c r="AN824" s="563">
        <v>387.13</v>
      </c>
      <c r="AO824" s="563">
        <v>1527815</v>
      </c>
      <c r="AP824" s="563">
        <v>293.19213999999999</v>
      </c>
      <c r="AQ824" s="563">
        <v>113503.47315819999</v>
      </c>
      <c r="AR824" s="563">
        <v>1.9406000000000001</v>
      </c>
    </row>
    <row r="825" spans="39:44" x14ac:dyDescent="0.25">
      <c r="AM825" s="562">
        <v>45097</v>
      </c>
      <c r="AN825" s="563">
        <v>378.87</v>
      </c>
      <c r="AO825" s="563">
        <v>1254953</v>
      </c>
      <c r="AP825" s="563">
        <v>293.19213999999999</v>
      </c>
      <c r="AQ825" s="563">
        <v>111081.7060818</v>
      </c>
      <c r="AR825" s="563">
        <v>1.8992</v>
      </c>
    </row>
    <row r="826" spans="39:44" x14ac:dyDescent="0.25">
      <c r="AM826" s="562">
        <v>45096</v>
      </c>
      <c r="AN826" s="563">
        <v>378.87</v>
      </c>
      <c r="AO826" s="563">
        <v>1254953</v>
      </c>
      <c r="AP826" s="563">
        <v>293.19213999999999</v>
      </c>
      <c r="AQ826" s="563">
        <v>111081.7060818</v>
      </c>
      <c r="AR826" s="563">
        <v>1.8992</v>
      </c>
    </row>
    <row r="827" spans="39:44" x14ac:dyDescent="0.25">
      <c r="AM827" s="562">
        <v>45095</v>
      </c>
      <c r="AN827" s="563">
        <v>378.87</v>
      </c>
      <c r="AO827" s="563">
        <v>1254953</v>
      </c>
      <c r="AP827" s="563">
        <v>293.19213999999999</v>
      </c>
      <c r="AQ827" s="563">
        <v>111081.7060818</v>
      </c>
      <c r="AR827" s="563">
        <v>1.8992</v>
      </c>
    </row>
    <row r="828" spans="39:44" x14ac:dyDescent="0.25">
      <c r="AM828" s="562">
        <v>45094</v>
      </c>
      <c r="AN828" s="563">
        <v>380.77</v>
      </c>
      <c r="AO828" s="563">
        <v>1317332</v>
      </c>
      <c r="AP828" s="563">
        <v>293.19213999999999</v>
      </c>
      <c r="AQ828" s="563">
        <v>111638.7711478</v>
      </c>
      <c r="AR828" s="563">
        <v>1.9087000000000001</v>
      </c>
    </row>
    <row r="829" spans="39:44" x14ac:dyDescent="0.25">
      <c r="AM829" s="562">
        <v>45093</v>
      </c>
      <c r="AN829" s="563">
        <v>381.82</v>
      </c>
      <c r="AO829" s="563">
        <v>1928790</v>
      </c>
      <c r="AP829" s="563">
        <v>293.19213999999999</v>
      </c>
      <c r="AQ829" s="563">
        <v>111946.62289479999</v>
      </c>
      <c r="AR829" s="563">
        <v>1.9139999999999999</v>
      </c>
    </row>
    <row r="830" spans="39:44" x14ac:dyDescent="0.25">
      <c r="AM830" s="562">
        <v>45092</v>
      </c>
      <c r="AN830" s="563">
        <v>373.69</v>
      </c>
      <c r="AO830" s="563">
        <v>1927597</v>
      </c>
      <c r="AP830" s="563">
        <v>293.19213999999999</v>
      </c>
      <c r="AQ830" s="563">
        <v>109562.9707966</v>
      </c>
      <c r="AR830" s="563">
        <v>1.8732</v>
      </c>
    </row>
    <row r="831" spans="39:44" x14ac:dyDescent="0.25">
      <c r="AM831" s="562">
        <v>45091</v>
      </c>
      <c r="AN831" s="563">
        <v>363.65</v>
      </c>
      <c r="AO831" s="563">
        <v>1656740</v>
      </c>
      <c r="AP831" s="563">
        <v>293.19213999999999</v>
      </c>
      <c r="AQ831" s="563">
        <v>106619.321711</v>
      </c>
      <c r="AR831" s="563">
        <v>1.8229</v>
      </c>
    </row>
    <row r="832" spans="39:44" x14ac:dyDescent="0.25">
      <c r="AM832" s="562">
        <v>45090</v>
      </c>
      <c r="AN832" s="563">
        <v>371.07</v>
      </c>
      <c r="AO832" s="563">
        <v>2855589</v>
      </c>
      <c r="AP832" s="563">
        <v>293.19213999999999</v>
      </c>
      <c r="AQ832" s="563">
        <v>108794.8073898</v>
      </c>
      <c r="AR832" s="563">
        <v>1.8601000000000001</v>
      </c>
    </row>
    <row r="833" spans="39:44" x14ac:dyDescent="0.25">
      <c r="AM833" s="562">
        <v>45089</v>
      </c>
      <c r="AN833" s="563">
        <v>371.07</v>
      </c>
      <c r="AO833" s="563">
        <v>2855589</v>
      </c>
      <c r="AP833" s="563">
        <v>293.19213999999999</v>
      </c>
      <c r="AQ833" s="563">
        <v>108794.8073898</v>
      </c>
      <c r="AR833" s="563">
        <v>1.8601000000000001</v>
      </c>
    </row>
    <row r="834" spans="39:44" x14ac:dyDescent="0.25">
      <c r="AM834" s="562">
        <v>45088</v>
      </c>
      <c r="AN834" s="563">
        <v>371.07</v>
      </c>
      <c r="AO834" s="563">
        <v>2855589</v>
      </c>
      <c r="AP834" s="563">
        <v>293.19213999999999</v>
      </c>
      <c r="AQ834" s="563">
        <v>108794.8073898</v>
      </c>
      <c r="AR834" s="563">
        <v>1.8601000000000001</v>
      </c>
    </row>
    <row r="835" spans="39:44" x14ac:dyDescent="0.25">
      <c r="AM835" s="562">
        <v>45087</v>
      </c>
      <c r="AN835" s="563">
        <v>352.57</v>
      </c>
      <c r="AO835" s="563">
        <v>2116838</v>
      </c>
      <c r="AP835" s="563">
        <v>293.19213999999999</v>
      </c>
      <c r="AQ835" s="563">
        <v>103370.7527998</v>
      </c>
      <c r="AR835" s="563">
        <v>1.7674000000000001</v>
      </c>
    </row>
    <row r="836" spans="39:44" x14ac:dyDescent="0.25">
      <c r="AM836" s="562">
        <v>45086</v>
      </c>
      <c r="AN836" s="563">
        <v>345.98</v>
      </c>
      <c r="AO836" s="563">
        <v>3384676</v>
      </c>
      <c r="AP836" s="563">
        <v>296.32227</v>
      </c>
      <c r="AQ836" s="563">
        <v>102521.57897460001</v>
      </c>
      <c r="AR836" s="563">
        <v>1.7343</v>
      </c>
    </row>
    <row r="837" spans="39:44" x14ac:dyDescent="0.25">
      <c r="AM837" s="562">
        <v>45085</v>
      </c>
      <c r="AN837" s="563">
        <v>350.63</v>
      </c>
      <c r="AO837" s="563">
        <v>2094898</v>
      </c>
      <c r="AP837" s="563">
        <v>296.32227</v>
      </c>
      <c r="AQ837" s="563">
        <v>103899.4775301</v>
      </c>
      <c r="AR837" s="563">
        <v>1.7576000000000001</v>
      </c>
    </row>
    <row r="838" spans="39:44" x14ac:dyDescent="0.25">
      <c r="AM838" s="562">
        <v>45084</v>
      </c>
      <c r="AN838" s="563">
        <v>357.21</v>
      </c>
      <c r="AO838" s="563">
        <v>1413105</v>
      </c>
      <c r="AP838" s="563">
        <v>296.32227</v>
      </c>
      <c r="AQ838" s="563">
        <v>105849.27806669999</v>
      </c>
      <c r="AR838" s="563">
        <v>1.7906</v>
      </c>
    </row>
    <row r="839" spans="39:44" x14ac:dyDescent="0.25">
      <c r="AM839" s="562">
        <v>45083</v>
      </c>
      <c r="AN839" s="563">
        <v>357.21</v>
      </c>
      <c r="AO839" s="563">
        <v>1413105</v>
      </c>
      <c r="AP839" s="563">
        <v>296.32227</v>
      </c>
      <c r="AQ839" s="563">
        <v>105849.27806669999</v>
      </c>
      <c r="AR839" s="563">
        <v>1.7906</v>
      </c>
    </row>
    <row r="840" spans="39:44" x14ac:dyDescent="0.25">
      <c r="AM840" s="562">
        <v>45082</v>
      </c>
      <c r="AN840" s="563">
        <v>357.21</v>
      </c>
      <c r="AO840" s="563">
        <v>1413105</v>
      </c>
      <c r="AP840" s="563">
        <v>296.32227</v>
      </c>
      <c r="AQ840" s="563">
        <v>105849.27806669999</v>
      </c>
      <c r="AR840" s="563">
        <v>1.7906</v>
      </c>
    </row>
    <row r="841" spans="39:44" x14ac:dyDescent="0.25">
      <c r="AM841" s="562">
        <v>45081</v>
      </c>
      <c r="AN841" s="563">
        <v>357.21</v>
      </c>
      <c r="AO841" s="563">
        <v>1413105</v>
      </c>
      <c r="AP841" s="563">
        <v>296.32227</v>
      </c>
      <c r="AQ841" s="563">
        <v>105849.27806669999</v>
      </c>
      <c r="AR841" s="563">
        <v>1.7906</v>
      </c>
    </row>
    <row r="842" spans="39:44" x14ac:dyDescent="0.25">
      <c r="AM842" s="562">
        <v>45080</v>
      </c>
      <c r="AN842" s="563">
        <v>354.88</v>
      </c>
      <c r="AO842" s="563">
        <v>1540218</v>
      </c>
      <c r="AP842" s="563">
        <v>296.32227</v>
      </c>
      <c r="AQ842" s="563">
        <v>105158.84717759999</v>
      </c>
      <c r="AR842" s="563">
        <v>1.7788999999999999</v>
      </c>
    </row>
    <row r="843" spans="39:44" x14ac:dyDescent="0.25">
      <c r="AM843" s="562">
        <v>45079</v>
      </c>
      <c r="AN843" s="563">
        <v>354.08</v>
      </c>
      <c r="AO843" s="563">
        <v>1716976</v>
      </c>
      <c r="AP843" s="563">
        <v>296.32227</v>
      </c>
      <c r="AQ843" s="563">
        <v>104921.78936159999</v>
      </c>
      <c r="AR843" s="563">
        <v>1.7748999999999999</v>
      </c>
    </row>
    <row r="844" spans="39:44" x14ac:dyDescent="0.25">
      <c r="AM844" s="562">
        <v>45078</v>
      </c>
      <c r="AN844" s="563">
        <v>360.48</v>
      </c>
      <c r="AO844" s="563">
        <v>2111424</v>
      </c>
      <c r="AP844" s="563">
        <v>296.32227</v>
      </c>
      <c r="AQ844" s="563">
        <v>106818.25188960001</v>
      </c>
      <c r="AR844" s="563">
        <v>1.8069999999999999</v>
      </c>
    </row>
    <row r="845" spans="39:44" x14ac:dyDescent="0.25">
      <c r="AM845" s="562">
        <v>45077</v>
      </c>
      <c r="AN845" s="563">
        <v>360.5</v>
      </c>
      <c r="AO845" s="563">
        <v>2936244</v>
      </c>
      <c r="AP845" s="563">
        <v>296.32227</v>
      </c>
      <c r="AQ845" s="563">
        <v>106824.178335</v>
      </c>
      <c r="AR845" s="563">
        <v>1.8070999999999999</v>
      </c>
    </row>
    <row r="846" spans="39:44" x14ac:dyDescent="0.25">
      <c r="AM846" s="562">
        <v>45076</v>
      </c>
      <c r="AN846" s="563">
        <v>363.55</v>
      </c>
      <c r="AO846" s="563">
        <v>7522054</v>
      </c>
      <c r="AP846" s="563">
        <v>296.32227</v>
      </c>
      <c r="AQ846" s="563">
        <v>107727.9612585</v>
      </c>
      <c r="AR846" s="563">
        <v>1.8224</v>
      </c>
    </row>
    <row r="847" spans="39:44" x14ac:dyDescent="0.25">
      <c r="AM847" s="562">
        <v>45075</v>
      </c>
      <c r="AN847" s="563">
        <v>363.55</v>
      </c>
      <c r="AO847" s="563">
        <v>7522054</v>
      </c>
      <c r="AP847" s="563">
        <v>296.32227</v>
      </c>
      <c r="AQ847" s="563">
        <v>107727.9612585</v>
      </c>
      <c r="AR847" s="563">
        <v>1.8224</v>
      </c>
    </row>
    <row r="848" spans="39:44" x14ac:dyDescent="0.25">
      <c r="AM848" s="562">
        <v>45074</v>
      </c>
      <c r="AN848" s="563">
        <v>363.55</v>
      </c>
      <c r="AO848" s="563">
        <v>7522054</v>
      </c>
      <c r="AP848" s="563">
        <v>296.32227</v>
      </c>
      <c r="AQ848" s="563">
        <v>107727.9612585</v>
      </c>
      <c r="AR848" s="563">
        <v>1.8224</v>
      </c>
    </row>
    <row r="849" spans="39:44" x14ac:dyDescent="0.25">
      <c r="AM849" s="562">
        <v>45073</v>
      </c>
      <c r="AN849" s="563">
        <v>370.52</v>
      </c>
      <c r="AO849" s="563">
        <v>2034280</v>
      </c>
      <c r="AP849" s="563">
        <v>296.32227</v>
      </c>
      <c r="AQ849" s="563">
        <v>109793.3274804</v>
      </c>
      <c r="AR849" s="563">
        <v>1.8573</v>
      </c>
    </row>
    <row r="850" spans="39:44" x14ac:dyDescent="0.25">
      <c r="AM850" s="562">
        <v>45072</v>
      </c>
      <c r="AN850" s="563">
        <v>368.07</v>
      </c>
      <c r="AO850" s="563">
        <v>1843948</v>
      </c>
      <c r="AP850" s="563">
        <v>296.32227</v>
      </c>
      <c r="AQ850" s="563">
        <v>109067.3379189</v>
      </c>
      <c r="AR850" s="563">
        <v>1.8451</v>
      </c>
    </row>
    <row r="851" spans="39:44" x14ac:dyDescent="0.25">
      <c r="AM851" s="562">
        <v>45071</v>
      </c>
      <c r="AN851" s="563">
        <v>362.68</v>
      </c>
      <c r="AO851" s="563">
        <v>2181388</v>
      </c>
      <c r="AP851" s="563">
        <v>296.32227</v>
      </c>
      <c r="AQ851" s="563">
        <v>107470.16088360001</v>
      </c>
      <c r="AR851" s="563">
        <v>1.8180000000000001</v>
      </c>
    </row>
    <row r="852" spans="39:44" x14ac:dyDescent="0.25">
      <c r="AM852" s="562">
        <v>45070</v>
      </c>
      <c r="AN852" s="563">
        <v>370.21</v>
      </c>
      <c r="AO852" s="563">
        <v>1466486</v>
      </c>
      <c r="AP852" s="563">
        <v>296.32227</v>
      </c>
      <c r="AQ852" s="563">
        <v>109701.4675767</v>
      </c>
      <c r="AR852" s="563">
        <v>1.8557999999999999</v>
      </c>
    </row>
    <row r="853" spans="39:44" x14ac:dyDescent="0.25">
      <c r="AM853" s="562">
        <v>45069</v>
      </c>
      <c r="AN853" s="563">
        <v>373.98</v>
      </c>
      <c r="AO853" s="563">
        <v>1331985</v>
      </c>
      <c r="AP853" s="563">
        <v>296.32227</v>
      </c>
      <c r="AQ853" s="563">
        <v>110818.60253460001</v>
      </c>
      <c r="AR853" s="563">
        <v>1.8747</v>
      </c>
    </row>
    <row r="854" spans="39:44" x14ac:dyDescent="0.25">
      <c r="AM854" s="562">
        <v>45068</v>
      </c>
      <c r="AN854" s="563">
        <v>373.98</v>
      </c>
      <c r="AO854" s="563">
        <v>1331985</v>
      </c>
      <c r="AP854" s="563">
        <v>296.32227</v>
      </c>
      <c r="AQ854" s="563">
        <v>110818.60253460001</v>
      </c>
      <c r="AR854" s="563">
        <v>1.8747</v>
      </c>
    </row>
    <row r="855" spans="39:44" x14ac:dyDescent="0.25">
      <c r="AM855" s="562">
        <v>45067</v>
      </c>
      <c r="AN855" s="563">
        <v>373.98</v>
      </c>
      <c r="AO855" s="563">
        <v>1331985</v>
      </c>
      <c r="AP855" s="563">
        <v>296.32227</v>
      </c>
      <c r="AQ855" s="563">
        <v>110818.60253460001</v>
      </c>
      <c r="AR855" s="563">
        <v>1.8747</v>
      </c>
    </row>
    <row r="856" spans="39:44" x14ac:dyDescent="0.25">
      <c r="AM856" s="562">
        <v>45066</v>
      </c>
      <c r="AN856" s="563">
        <v>372.79</v>
      </c>
      <c r="AO856" s="563">
        <v>1825102</v>
      </c>
      <c r="AP856" s="563">
        <v>296.32227</v>
      </c>
      <c r="AQ856" s="563">
        <v>110465.97903330001</v>
      </c>
      <c r="AR856" s="563">
        <v>1.8687</v>
      </c>
    </row>
    <row r="857" spans="39:44" x14ac:dyDescent="0.25">
      <c r="AM857" s="562">
        <v>45065</v>
      </c>
      <c r="AN857" s="563">
        <v>380.39</v>
      </c>
      <c r="AO857" s="563">
        <v>1014781</v>
      </c>
      <c r="AP857" s="563">
        <v>296.32227</v>
      </c>
      <c r="AQ857" s="563">
        <v>112718.0282853</v>
      </c>
      <c r="AR857" s="563">
        <v>1.9068000000000001</v>
      </c>
    </row>
    <row r="858" spans="39:44" x14ac:dyDescent="0.25">
      <c r="AM858" s="562">
        <v>45064</v>
      </c>
      <c r="AN858" s="563">
        <v>381.44</v>
      </c>
      <c r="AO858" s="563">
        <v>1478795</v>
      </c>
      <c r="AP858" s="563">
        <v>296.32227</v>
      </c>
      <c r="AQ858" s="563">
        <v>113029.1666688</v>
      </c>
      <c r="AR858" s="563">
        <v>1.9120999999999999</v>
      </c>
    </row>
    <row r="859" spans="39:44" x14ac:dyDescent="0.25">
      <c r="AM859" s="562">
        <v>45063</v>
      </c>
      <c r="AN859" s="563">
        <v>380.25</v>
      </c>
      <c r="AO859" s="563">
        <v>1106586</v>
      </c>
      <c r="AP859" s="563">
        <v>296.32227</v>
      </c>
      <c r="AQ859" s="563">
        <v>112676.5431675</v>
      </c>
      <c r="AR859" s="563">
        <v>1.9060999999999999</v>
      </c>
    </row>
    <row r="860" spans="39:44" x14ac:dyDescent="0.25">
      <c r="AM860" s="562">
        <v>45062</v>
      </c>
      <c r="AN860" s="563">
        <v>381.09</v>
      </c>
      <c r="AO860" s="563">
        <v>1862923</v>
      </c>
      <c r="AP860" s="563">
        <v>296.32227</v>
      </c>
      <c r="AQ860" s="563">
        <v>112925.45387429999</v>
      </c>
      <c r="AR860" s="563">
        <v>1.9103000000000001</v>
      </c>
    </row>
    <row r="861" spans="39:44" x14ac:dyDescent="0.25">
      <c r="AM861" s="562">
        <v>45061</v>
      </c>
      <c r="AN861" s="563">
        <v>381.09</v>
      </c>
      <c r="AO861" s="563">
        <v>1862923</v>
      </c>
      <c r="AP861" s="563">
        <v>296.32227</v>
      </c>
      <c r="AQ861" s="563">
        <v>112925.45387429999</v>
      </c>
      <c r="AR861" s="563">
        <v>1.9103000000000001</v>
      </c>
    </row>
    <row r="862" spans="39:44" x14ac:dyDescent="0.25">
      <c r="AM862" s="562">
        <v>45060</v>
      </c>
      <c r="AN862" s="563">
        <v>381.09</v>
      </c>
      <c r="AO862" s="563">
        <v>1862923</v>
      </c>
      <c r="AP862" s="563">
        <v>296.32227</v>
      </c>
      <c r="AQ862" s="563">
        <v>112925.45387429999</v>
      </c>
      <c r="AR862" s="563">
        <v>1.9103000000000001</v>
      </c>
    </row>
    <row r="863" spans="39:44" x14ac:dyDescent="0.25">
      <c r="AM863" s="562">
        <v>45059</v>
      </c>
      <c r="AN863" s="563">
        <v>373.59</v>
      </c>
      <c r="AO863" s="563">
        <v>1383068</v>
      </c>
      <c r="AP863" s="563">
        <v>296.32227</v>
      </c>
      <c r="AQ863" s="563">
        <v>110703.0368493</v>
      </c>
      <c r="AR863" s="563">
        <v>1.8727</v>
      </c>
    </row>
    <row r="864" spans="39:44" x14ac:dyDescent="0.25">
      <c r="AM864" s="562">
        <v>45058</v>
      </c>
      <c r="AN864" s="563">
        <v>382.22</v>
      </c>
      <c r="AO864" s="563">
        <v>1235387</v>
      </c>
      <c r="AP864" s="563">
        <v>296.32227</v>
      </c>
      <c r="AQ864" s="563">
        <v>113260.2980394</v>
      </c>
      <c r="AR864" s="563">
        <v>1.9159999999999999</v>
      </c>
    </row>
    <row r="865" spans="39:44" x14ac:dyDescent="0.25">
      <c r="AM865" s="562">
        <v>45057</v>
      </c>
      <c r="AN865" s="563">
        <v>383.8</v>
      </c>
      <c r="AO865" s="563">
        <v>1547826</v>
      </c>
      <c r="AP865" s="563">
        <v>296.32227</v>
      </c>
      <c r="AQ865" s="563">
        <v>113728.487226</v>
      </c>
      <c r="AR865" s="563">
        <v>1.9238999999999999</v>
      </c>
    </row>
    <row r="866" spans="39:44" x14ac:dyDescent="0.25">
      <c r="AM866" s="562">
        <v>45056</v>
      </c>
      <c r="AN866" s="563">
        <v>382.12</v>
      </c>
      <c r="AO866" s="563">
        <v>1184131</v>
      </c>
      <c r="AP866" s="563">
        <v>296.32227</v>
      </c>
      <c r="AQ866" s="563">
        <v>113230.66581240001</v>
      </c>
      <c r="AR866" s="563">
        <v>1.9155</v>
      </c>
    </row>
    <row r="867" spans="39:44" x14ac:dyDescent="0.25">
      <c r="AM867" s="562">
        <v>45055</v>
      </c>
      <c r="AN867" s="563">
        <v>378.02</v>
      </c>
      <c r="AO867" s="563">
        <v>1987689</v>
      </c>
      <c r="AP867" s="563">
        <v>296.32227</v>
      </c>
      <c r="AQ867" s="563">
        <v>112015.7445054</v>
      </c>
      <c r="AR867" s="563">
        <v>2.0518000000000001</v>
      </c>
    </row>
    <row r="868" spans="39:44" x14ac:dyDescent="0.25">
      <c r="AM868" s="562">
        <v>45054</v>
      </c>
      <c r="AN868" s="563">
        <v>378.02</v>
      </c>
      <c r="AO868" s="563">
        <v>1987689</v>
      </c>
      <c r="AP868" s="563">
        <v>296.32227</v>
      </c>
      <c r="AQ868" s="563">
        <v>112015.7445054</v>
      </c>
      <c r="AR868" s="563">
        <v>2.0518000000000001</v>
      </c>
    </row>
    <row r="869" spans="39:44" x14ac:dyDescent="0.25">
      <c r="AM869" s="562">
        <v>45053</v>
      </c>
      <c r="AN869" s="563">
        <v>378.02</v>
      </c>
      <c r="AO869" s="563">
        <v>1987689</v>
      </c>
      <c r="AP869" s="563">
        <v>296.32227</v>
      </c>
      <c r="AQ869" s="563">
        <v>112015.7445054</v>
      </c>
      <c r="AR869" s="563">
        <v>2.0518000000000001</v>
      </c>
    </row>
    <row r="870" spans="39:44" x14ac:dyDescent="0.25">
      <c r="AM870" s="562">
        <v>45052</v>
      </c>
      <c r="AN870" s="563">
        <v>371.85</v>
      </c>
      <c r="AO870" s="563">
        <v>2741555</v>
      </c>
      <c r="AP870" s="563">
        <v>296.32227</v>
      </c>
      <c r="AQ870" s="563">
        <v>110187.4360995</v>
      </c>
      <c r="AR870" s="563">
        <v>2.0184000000000002</v>
      </c>
    </row>
    <row r="871" spans="39:44" x14ac:dyDescent="0.25">
      <c r="AM871" s="562">
        <v>45051</v>
      </c>
      <c r="AN871" s="563">
        <v>374.61</v>
      </c>
      <c r="AO871" s="563">
        <v>1416536</v>
      </c>
      <c r="AP871" s="563">
        <v>296.32227</v>
      </c>
      <c r="AQ871" s="563">
        <v>111005.28556470001</v>
      </c>
      <c r="AR871" s="563">
        <v>2.0333000000000001</v>
      </c>
    </row>
    <row r="872" spans="39:44" x14ac:dyDescent="0.25">
      <c r="AM872" s="562">
        <v>45050</v>
      </c>
      <c r="AN872" s="563">
        <v>379.47</v>
      </c>
      <c r="AO872" s="563">
        <v>1688394</v>
      </c>
      <c r="AP872" s="563">
        <v>296.32227</v>
      </c>
      <c r="AQ872" s="563">
        <v>112445.41179690001</v>
      </c>
      <c r="AR872" s="563">
        <v>2.0596999999999999</v>
      </c>
    </row>
    <row r="873" spans="39:44" x14ac:dyDescent="0.25">
      <c r="AM873" s="562">
        <v>45049</v>
      </c>
      <c r="AN873" s="563">
        <v>388.04</v>
      </c>
      <c r="AO873" s="563">
        <v>1132839</v>
      </c>
      <c r="AP873" s="563">
        <v>296.32227</v>
      </c>
      <c r="AQ873" s="563">
        <v>114984.8936508</v>
      </c>
      <c r="AR873" s="563">
        <v>2.1061999999999999</v>
      </c>
    </row>
    <row r="874" spans="39:44" x14ac:dyDescent="0.25">
      <c r="AM874" s="562">
        <v>45048</v>
      </c>
      <c r="AN874" s="563">
        <v>386.7</v>
      </c>
      <c r="AO874" s="563">
        <v>2556939</v>
      </c>
      <c r="AP874" s="563">
        <v>296.32227</v>
      </c>
      <c r="AQ874" s="563">
        <v>114587.821809</v>
      </c>
      <c r="AR874" s="563">
        <v>2.0990000000000002</v>
      </c>
    </row>
    <row r="875" spans="39:44" x14ac:dyDescent="0.25">
      <c r="AM875" s="562">
        <v>45047</v>
      </c>
      <c r="AN875" s="563">
        <v>386.7</v>
      </c>
      <c r="AO875" s="563">
        <v>2556939</v>
      </c>
      <c r="AP875" s="563">
        <v>296.32227</v>
      </c>
      <c r="AQ875" s="563">
        <v>114587.821809</v>
      </c>
      <c r="AR875" s="563">
        <v>2.0990000000000002</v>
      </c>
    </row>
    <row r="876" spans="39:44" x14ac:dyDescent="0.25">
      <c r="AM876" s="562">
        <v>45046</v>
      </c>
      <c r="AN876" s="563">
        <v>386.7</v>
      </c>
      <c r="AO876" s="563">
        <v>2556939</v>
      </c>
      <c r="AP876" s="563">
        <v>296.32227</v>
      </c>
      <c r="AQ876" s="563">
        <v>114587.821809</v>
      </c>
      <c r="AR876" s="563">
        <v>2.0990000000000002</v>
      </c>
    </row>
    <row r="877" spans="39:44" x14ac:dyDescent="0.25">
      <c r="AM877" s="562">
        <v>45045</v>
      </c>
      <c r="AN877" s="563">
        <v>390.36</v>
      </c>
      <c r="AO877" s="563">
        <v>1336266</v>
      </c>
      <c r="AP877" s="563">
        <v>296.32227</v>
      </c>
      <c r="AQ877" s="563">
        <v>115672.3613172</v>
      </c>
      <c r="AR877" s="563">
        <v>2.1187999999999998</v>
      </c>
    </row>
    <row r="878" spans="39:44" x14ac:dyDescent="0.25">
      <c r="AM878" s="562">
        <v>45044</v>
      </c>
      <c r="AN878" s="563">
        <v>392.77</v>
      </c>
      <c r="AO878" s="563">
        <v>860049</v>
      </c>
      <c r="AP878" s="563">
        <v>296.32227</v>
      </c>
      <c r="AQ878" s="563">
        <v>116386.4979879</v>
      </c>
      <c r="AR878" s="563">
        <v>2.1318999999999999</v>
      </c>
    </row>
    <row r="879" spans="39:44" x14ac:dyDescent="0.25">
      <c r="AM879" s="562">
        <v>45043</v>
      </c>
      <c r="AN879" s="563">
        <v>396.69</v>
      </c>
      <c r="AO879" s="563">
        <v>1402026</v>
      </c>
      <c r="AP879" s="563">
        <v>296.32227</v>
      </c>
      <c r="AQ879" s="563">
        <v>117548.0812863</v>
      </c>
      <c r="AR879" s="563">
        <v>2.1532</v>
      </c>
    </row>
    <row r="880" spans="39:44" x14ac:dyDescent="0.25">
      <c r="AM880" s="562">
        <v>45042</v>
      </c>
      <c r="AN880" s="563">
        <v>391.42</v>
      </c>
      <c r="AO880" s="563">
        <v>1116645</v>
      </c>
      <c r="AP880" s="563">
        <v>296.32227</v>
      </c>
      <c r="AQ880" s="563">
        <v>115986.4629234</v>
      </c>
      <c r="AR880" s="563">
        <v>2.1246</v>
      </c>
    </row>
    <row r="881" spans="39:44" x14ac:dyDescent="0.25">
      <c r="AM881" s="562">
        <v>45041</v>
      </c>
      <c r="AN881" s="563">
        <v>387.77</v>
      </c>
      <c r="AO881" s="563">
        <v>1113204</v>
      </c>
      <c r="AP881" s="563">
        <v>296.32227</v>
      </c>
      <c r="AQ881" s="563">
        <v>114904.8866379</v>
      </c>
      <c r="AR881" s="563">
        <v>2.1048</v>
      </c>
    </row>
    <row r="882" spans="39:44" x14ac:dyDescent="0.25">
      <c r="AM882" s="562">
        <v>45040</v>
      </c>
      <c r="AN882" s="563">
        <v>387.77</v>
      </c>
      <c r="AO882" s="563">
        <v>1113204</v>
      </c>
      <c r="AP882" s="563">
        <v>296.32227</v>
      </c>
      <c r="AQ882" s="563">
        <v>114904.8866379</v>
      </c>
      <c r="AR882" s="563">
        <v>2.1048</v>
      </c>
    </row>
    <row r="883" spans="39:44" x14ac:dyDescent="0.25">
      <c r="AM883" s="562">
        <v>45039</v>
      </c>
      <c r="AN883" s="563">
        <v>387.77</v>
      </c>
      <c r="AO883" s="563">
        <v>1113204</v>
      </c>
      <c r="AP883" s="563">
        <v>296.32227</v>
      </c>
      <c r="AQ883" s="563">
        <v>114904.8866379</v>
      </c>
      <c r="AR883" s="563">
        <v>2.1048</v>
      </c>
    </row>
    <row r="884" spans="39:44" x14ac:dyDescent="0.25">
      <c r="AM884" s="562">
        <v>45038</v>
      </c>
      <c r="AN884" s="563">
        <v>384.74</v>
      </c>
      <c r="AO884" s="563">
        <v>1626988</v>
      </c>
      <c r="AP884" s="563">
        <v>296.32227</v>
      </c>
      <c r="AQ884" s="563">
        <v>114007.03015980001</v>
      </c>
      <c r="AR884" s="563">
        <v>2.0882999999999998</v>
      </c>
    </row>
    <row r="885" spans="39:44" x14ac:dyDescent="0.25">
      <c r="AM885" s="562">
        <v>45037</v>
      </c>
      <c r="AN885" s="563">
        <v>384.39</v>
      </c>
      <c r="AO885" s="563">
        <v>2166169</v>
      </c>
      <c r="AP885" s="563">
        <v>296.32227</v>
      </c>
      <c r="AQ885" s="563">
        <v>113903.3173653</v>
      </c>
      <c r="AR885" s="563">
        <v>2.0863999999999998</v>
      </c>
    </row>
    <row r="886" spans="39:44" x14ac:dyDescent="0.25">
      <c r="AM886" s="562">
        <v>45036</v>
      </c>
      <c r="AN886" s="563">
        <v>380.83</v>
      </c>
      <c r="AO886" s="563">
        <v>1543991</v>
      </c>
      <c r="AP886" s="563">
        <v>296.32227</v>
      </c>
      <c r="AQ886" s="563">
        <v>112848.4100841</v>
      </c>
      <c r="AR886" s="563">
        <v>2.0670999999999999</v>
      </c>
    </row>
    <row r="887" spans="39:44" x14ac:dyDescent="0.25">
      <c r="AM887" s="562">
        <v>45035</v>
      </c>
      <c r="AN887" s="563">
        <v>377.33</v>
      </c>
      <c r="AO887" s="563">
        <v>1486501</v>
      </c>
      <c r="AP887" s="563">
        <v>296.32227</v>
      </c>
      <c r="AQ887" s="563">
        <v>111811.2821391</v>
      </c>
      <c r="AR887" s="563">
        <v>2.0480999999999998</v>
      </c>
    </row>
    <row r="888" spans="39:44" x14ac:dyDescent="0.25">
      <c r="AM888" s="562">
        <v>45034</v>
      </c>
      <c r="AN888" s="563">
        <v>369.65</v>
      </c>
      <c r="AO888" s="563">
        <v>1848473</v>
      </c>
      <c r="AP888" s="563">
        <v>296.32227</v>
      </c>
      <c r="AQ888" s="563">
        <v>109535.52710549999</v>
      </c>
      <c r="AR888" s="563">
        <v>2.0064000000000002</v>
      </c>
    </row>
    <row r="889" spans="39:44" x14ac:dyDescent="0.25">
      <c r="AM889" s="562">
        <v>45033</v>
      </c>
      <c r="AN889" s="563">
        <v>369.65</v>
      </c>
      <c r="AO889" s="563">
        <v>1848473</v>
      </c>
      <c r="AP889" s="563">
        <v>296.32227</v>
      </c>
      <c r="AQ889" s="563">
        <v>109535.52710549999</v>
      </c>
      <c r="AR889" s="563">
        <v>2.0064000000000002</v>
      </c>
    </row>
    <row r="890" spans="39:44" x14ac:dyDescent="0.25">
      <c r="AM890" s="562">
        <v>45032</v>
      </c>
      <c r="AN890" s="563">
        <v>369.65</v>
      </c>
      <c r="AO890" s="563">
        <v>1848473</v>
      </c>
      <c r="AP890" s="563">
        <v>296.32227</v>
      </c>
      <c r="AQ890" s="563">
        <v>109535.52710549999</v>
      </c>
      <c r="AR890" s="563">
        <v>2.0064000000000002</v>
      </c>
    </row>
    <row r="891" spans="39:44" x14ac:dyDescent="0.25">
      <c r="AM891" s="562">
        <v>45031</v>
      </c>
      <c r="AN891" s="563">
        <v>369.65</v>
      </c>
      <c r="AO891" s="563">
        <v>1848473</v>
      </c>
      <c r="AP891" s="563">
        <v>296.32227</v>
      </c>
      <c r="AQ891" s="563">
        <v>109535.52710549999</v>
      </c>
      <c r="AR891" s="563">
        <v>2.0064000000000002</v>
      </c>
    </row>
    <row r="892" spans="39:44" x14ac:dyDescent="0.25">
      <c r="AM892" s="562">
        <v>45030</v>
      </c>
      <c r="AN892" s="563">
        <v>373.82</v>
      </c>
      <c r="AO892" s="563">
        <v>3265696</v>
      </c>
      <c r="AP892" s="563">
        <v>296.32227</v>
      </c>
      <c r="AQ892" s="563">
        <v>110771.19097139999</v>
      </c>
      <c r="AR892" s="563">
        <v>2.0291000000000001</v>
      </c>
    </row>
    <row r="893" spans="39:44" x14ac:dyDescent="0.25">
      <c r="AM893" s="562">
        <v>45029</v>
      </c>
      <c r="AN893" s="563">
        <v>397.66</v>
      </c>
      <c r="AO893" s="563">
        <v>1801589</v>
      </c>
      <c r="AP893" s="563">
        <v>296.32227</v>
      </c>
      <c r="AQ893" s="563">
        <v>117835.5138882</v>
      </c>
      <c r="AR893" s="563">
        <v>2.1585000000000001</v>
      </c>
    </row>
    <row r="894" spans="39:44" x14ac:dyDescent="0.25">
      <c r="AM894" s="562">
        <v>45028</v>
      </c>
      <c r="AN894" s="563">
        <v>414.99</v>
      </c>
      <c r="AO894" s="563">
        <v>1632336</v>
      </c>
      <c r="AP894" s="563">
        <v>296.32227</v>
      </c>
      <c r="AQ894" s="563">
        <v>122970.7788273</v>
      </c>
      <c r="AR894" s="563">
        <v>2.2524999999999999</v>
      </c>
    </row>
    <row r="895" spans="39:44" x14ac:dyDescent="0.25">
      <c r="AM895" s="562">
        <v>45027</v>
      </c>
      <c r="AN895" s="563">
        <v>412.88</v>
      </c>
      <c r="AO895" s="563">
        <v>1779199</v>
      </c>
      <c r="AP895" s="563">
        <v>296.32227</v>
      </c>
      <c r="AQ895" s="563">
        <v>122345.5388376</v>
      </c>
      <c r="AR895" s="563">
        <v>2.2410999999999999</v>
      </c>
    </row>
    <row r="896" spans="39:44" x14ac:dyDescent="0.25">
      <c r="AM896" s="562">
        <v>45026</v>
      </c>
      <c r="AN896" s="563">
        <v>412.88</v>
      </c>
      <c r="AO896" s="563">
        <v>1779199</v>
      </c>
      <c r="AP896" s="563">
        <v>296.32227</v>
      </c>
      <c r="AQ896" s="563">
        <v>122345.5388376</v>
      </c>
      <c r="AR896" s="563">
        <v>2.2410999999999999</v>
      </c>
    </row>
    <row r="897" spans="39:44" x14ac:dyDescent="0.25">
      <c r="AM897" s="562">
        <v>45025</v>
      </c>
      <c r="AN897" s="563">
        <v>412.88</v>
      </c>
      <c r="AO897" s="563">
        <v>1779199</v>
      </c>
      <c r="AP897" s="563">
        <v>296.32227</v>
      </c>
      <c r="AQ897" s="563">
        <v>122345.5388376</v>
      </c>
      <c r="AR897" s="563">
        <v>2.2410999999999999</v>
      </c>
    </row>
    <row r="898" spans="39:44" x14ac:dyDescent="0.25">
      <c r="AM898" s="562">
        <v>45024</v>
      </c>
      <c r="AN898" s="563">
        <v>403.7</v>
      </c>
      <c r="AO898" s="563">
        <v>1267986</v>
      </c>
      <c r="AP898" s="563">
        <v>296.32227</v>
      </c>
      <c r="AQ898" s="563">
        <v>119625.300399</v>
      </c>
      <c r="AR898" s="563">
        <v>2.1911999999999998</v>
      </c>
    </row>
    <row r="899" spans="39:44" x14ac:dyDescent="0.25">
      <c r="AM899" s="562">
        <v>45023</v>
      </c>
      <c r="AN899" s="563">
        <v>400.79</v>
      </c>
      <c r="AO899" s="563">
        <v>1455126</v>
      </c>
      <c r="AP899" s="563">
        <v>296.32227</v>
      </c>
      <c r="AQ899" s="563">
        <v>118763.00259330001</v>
      </c>
      <c r="AR899" s="563">
        <v>2.1753999999999998</v>
      </c>
    </row>
    <row r="900" spans="39:44" x14ac:dyDescent="0.25">
      <c r="AM900" s="562">
        <v>45022</v>
      </c>
      <c r="AN900" s="563">
        <v>395.35</v>
      </c>
      <c r="AO900" s="563">
        <v>982190</v>
      </c>
      <c r="AP900" s="563">
        <v>296.32227</v>
      </c>
      <c r="AQ900" s="563">
        <v>117151.00944450001</v>
      </c>
      <c r="AR900" s="563">
        <v>2.1459000000000001</v>
      </c>
    </row>
    <row r="901" spans="39:44" x14ac:dyDescent="0.25">
      <c r="AM901" s="562">
        <v>45021</v>
      </c>
      <c r="AN901" s="563">
        <v>393.01</v>
      </c>
      <c r="AO901" s="563">
        <v>1392727</v>
      </c>
      <c r="AP901" s="563">
        <v>296.32227</v>
      </c>
      <c r="AQ901" s="563">
        <v>116457.61533269999</v>
      </c>
      <c r="AR901" s="563">
        <v>2.1332</v>
      </c>
    </row>
    <row r="902" spans="39:44" x14ac:dyDescent="0.25">
      <c r="AM902" s="562">
        <v>45020</v>
      </c>
      <c r="AN902" s="563">
        <v>386.5</v>
      </c>
      <c r="AO902" s="563">
        <v>1361806</v>
      </c>
      <c r="AP902" s="563">
        <v>296.32227</v>
      </c>
      <c r="AQ902" s="563">
        <v>114528.557355</v>
      </c>
      <c r="AR902" s="563">
        <v>2.0979000000000001</v>
      </c>
    </row>
    <row r="903" spans="39:44" x14ac:dyDescent="0.25">
      <c r="AM903" s="562">
        <v>45019</v>
      </c>
      <c r="AN903" s="563">
        <v>386.5</v>
      </c>
      <c r="AO903" s="563">
        <v>1361806</v>
      </c>
      <c r="AP903" s="563">
        <v>296.32227</v>
      </c>
      <c r="AQ903" s="563">
        <v>114528.557355</v>
      </c>
      <c r="AR903" s="563">
        <v>2.0979000000000001</v>
      </c>
    </row>
    <row r="904" spans="39:44" x14ac:dyDescent="0.25">
      <c r="AM904" s="562">
        <v>45018</v>
      </c>
      <c r="AN904" s="563">
        <v>386.5</v>
      </c>
      <c r="AO904" s="563">
        <v>1361806</v>
      </c>
      <c r="AP904" s="563">
        <v>296.32227</v>
      </c>
      <c r="AQ904" s="563">
        <v>114528.557355</v>
      </c>
      <c r="AR904" s="563">
        <v>2.0979000000000001</v>
      </c>
    </row>
    <row r="905" spans="39:44" x14ac:dyDescent="0.25">
      <c r="AM905" s="562">
        <v>45017</v>
      </c>
      <c r="AN905" s="563">
        <v>391.85</v>
      </c>
      <c r="AO905" s="563">
        <v>1566984</v>
      </c>
      <c r="AP905" s="563">
        <v>296.32227</v>
      </c>
      <c r="AQ905" s="563">
        <v>116113.88149950001</v>
      </c>
      <c r="AR905" s="563">
        <v>2.1269</v>
      </c>
    </row>
    <row r="906" spans="39:44" x14ac:dyDescent="0.25">
      <c r="AM906" s="562">
        <v>45016</v>
      </c>
      <c r="AN906" s="563">
        <v>394.97</v>
      </c>
      <c r="AO906" s="563">
        <v>1202562</v>
      </c>
      <c r="AP906" s="563">
        <v>296.32227</v>
      </c>
      <c r="AQ906" s="563">
        <v>117038.40698190001</v>
      </c>
      <c r="AR906" s="563">
        <v>2.1438999999999999</v>
      </c>
    </row>
    <row r="907" spans="39:44" x14ac:dyDescent="0.25">
      <c r="AM907" s="562">
        <v>45015</v>
      </c>
      <c r="AN907" s="563">
        <v>402.59</v>
      </c>
      <c r="AO907" s="563">
        <v>1341878</v>
      </c>
      <c r="AP907" s="563">
        <v>296.32227</v>
      </c>
      <c r="AQ907" s="563">
        <v>119296.38267929999</v>
      </c>
      <c r="AR907" s="563">
        <v>2.1852</v>
      </c>
    </row>
    <row r="908" spans="39:44" x14ac:dyDescent="0.25">
      <c r="AM908" s="562">
        <v>45014</v>
      </c>
      <c r="AN908" s="563">
        <v>394.5</v>
      </c>
      <c r="AO908" s="563">
        <v>1325118</v>
      </c>
      <c r="AP908" s="563">
        <v>296.32227</v>
      </c>
      <c r="AQ908" s="563">
        <v>116899.135515</v>
      </c>
      <c r="AR908" s="563">
        <v>2.1413000000000002</v>
      </c>
    </row>
    <row r="909" spans="39:44" x14ac:dyDescent="0.25">
      <c r="AM909" s="562">
        <v>45013</v>
      </c>
      <c r="AN909" s="563">
        <v>385.5</v>
      </c>
      <c r="AO909" s="563">
        <v>3124604</v>
      </c>
      <c r="AP909" s="563">
        <v>296.32227</v>
      </c>
      <c r="AQ909" s="563">
        <v>114232.23508500001</v>
      </c>
      <c r="AR909" s="563">
        <v>2.0924</v>
      </c>
    </row>
    <row r="910" spans="39:44" x14ac:dyDescent="0.25">
      <c r="AM910" s="562">
        <v>45012</v>
      </c>
      <c r="AN910" s="563">
        <v>385.5</v>
      </c>
      <c r="AO910" s="563">
        <v>3124604</v>
      </c>
      <c r="AP910" s="563">
        <v>296.32227</v>
      </c>
      <c r="AQ910" s="563">
        <v>114232.23508500001</v>
      </c>
      <c r="AR910" s="563">
        <v>2.0924</v>
      </c>
    </row>
    <row r="911" spans="39:44" x14ac:dyDescent="0.25">
      <c r="AM911" s="562">
        <v>45011</v>
      </c>
      <c r="AN911" s="563">
        <v>385.5</v>
      </c>
      <c r="AO911" s="563">
        <v>3124604</v>
      </c>
      <c r="AP911" s="563">
        <v>296.32227</v>
      </c>
      <c r="AQ911" s="563">
        <v>114232.23508500001</v>
      </c>
      <c r="AR911" s="563">
        <v>2.0924</v>
      </c>
    </row>
    <row r="912" spans="39:44" x14ac:dyDescent="0.25">
      <c r="AM912" s="562">
        <v>45010</v>
      </c>
      <c r="AN912" s="563">
        <v>391.11</v>
      </c>
      <c r="AO912" s="563">
        <v>1623085</v>
      </c>
      <c r="AP912" s="563">
        <v>296.32227</v>
      </c>
      <c r="AQ912" s="563">
        <v>115894.60301970001</v>
      </c>
      <c r="AR912" s="563">
        <v>2.1229</v>
      </c>
    </row>
    <row r="913" spans="39:44" x14ac:dyDescent="0.25">
      <c r="AM913" s="562">
        <v>45009</v>
      </c>
      <c r="AN913" s="563">
        <v>390.48</v>
      </c>
      <c r="AO913" s="563">
        <v>1964131</v>
      </c>
      <c r="AP913" s="563">
        <v>296.32227</v>
      </c>
      <c r="AQ913" s="563">
        <v>115707.91998960001</v>
      </c>
      <c r="AR913" s="563">
        <v>2.1194999999999999</v>
      </c>
    </row>
    <row r="914" spans="39:44" x14ac:dyDescent="0.25">
      <c r="AM914" s="562">
        <v>45008</v>
      </c>
      <c r="AN914" s="563">
        <v>402.45</v>
      </c>
      <c r="AO914" s="563">
        <v>1636606</v>
      </c>
      <c r="AP914" s="563">
        <v>296.32227</v>
      </c>
      <c r="AQ914" s="563">
        <v>119254.89756149999</v>
      </c>
      <c r="AR914" s="563">
        <v>2.1844999999999999</v>
      </c>
    </row>
    <row r="915" spans="39:44" x14ac:dyDescent="0.25">
      <c r="AM915" s="562">
        <v>45007</v>
      </c>
      <c r="AN915" s="563">
        <v>398.22</v>
      </c>
      <c r="AO915" s="563">
        <v>2000717</v>
      </c>
      <c r="AP915" s="563">
        <v>296.32227</v>
      </c>
      <c r="AQ915" s="563">
        <v>118001.45435940001</v>
      </c>
      <c r="AR915" s="563">
        <v>2.1615000000000002</v>
      </c>
    </row>
    <row r="916" spans="39:44" x14ac:dyDescent="0.25">
      <c r="AM916" s="562">
        <v>45006</v>
      </c>
      <c r="AN916" s="563">
        <v>395.93</v>
      </c>
      <c r="AO916" s="563">
        <v>2354256</v>
      </c>
      <c r="AP916" s="563">
        <v>296.32227</v>
      </c>
      <c r="AQ916" s="563">
        <v>117322.8763611</v>
      </c>
      <c r="AR916" s="563">
        <v>2.1490999999999998</v>
      </c>
    </row>
    <row r="917" spans="39:44" x14ac:dyDescent="0.25">
      <c r="AM917" s="562">
        <v>45005</v>
      </c>
      <c r="AN917" s="563">
        <v>395.93</v>
      </c>
      <c r="AO917" s="563">
        <v>2354256</v>
      </c>
      <c r="AP917" s="563">
        <v>296.32227</v>
      </c>
      <c r="AQ917" s="563">
        <v>117322.8763611</v>
      </c>
      <c r="AR917" s="563">
        <v>2.1490999999999998</v>
      </c>
    </row>
    <row r="918" spans="39:44" x14ac:dyDescent="0.25">
      <c r="AM918" s="562">
        <v>45004</v>
      </c>
      <c r="AN918" s="563">
        <v>395.93</v>
      </c>
      <c r="AO918" s="563">
        <v>2354256</v>
      </c>
      <c r="AP918" s="563">
        <v>296.32227</v>
      </c>
      <c r="AQ918" s="563">
        <v>117322.8763611</v>
      </c>
      <c r="AR918" s="563">
        <v>2.1490999999999998</v>
      </c>
    </row>
    <row r="919" spans="39:44" x14ac:dyDescent="0.25">
      <c r="AM919" s="562">
        <v>45003</v>
      </c>
      <c r="AN919" s="563">
        <v>421.42</v>
      </c>
      <c r="AO919" s="563">
        <v>2082002</v>
      </c>
      <c r="AP919" s="563">
        <v>296.32227</v>
      </c>
      <c r="AQ919" s="563">
        <v>124876.13102340001</v>
      </c>
      <c r="AR919" s="563">
        <v>2.2873999999999999</v>
      </c>
    </row>
    <row r="920" spans="39:44" x14ac:dyDescent="0.25">
      <c r="AM920" s="562">
        <v>45002</v>
      </c>
      <c r="AN920" s="563">
        <v>424.29</v>
      </c>
      <c r="AO920" s="563">
        <v>1366021</v>
      </c>
      <c r="AP920" s="563">
        <v>296.32227</v>
      </c>
      <c r="AQ920" s="563">
        <v>125726.57593830001</v>
      </c>
      <c r="AR920" s="563">
        <v>2.3029999999999999</v>
      </c>
    </row>
    <row r="921" spans="39:44" x14ac:dyDescent="0.25">
      <c r="AM921" s="562">
        <v>45001</v>
      </c>
      <c r="AN921" s="563">
        <v>418.15</v>
      </c>
      <c r="AO921" s="563">
        <v>1181523</v>
      </c>
      <c r="AP921" s="563">
        <v>296.32227</v>
      </c>
      <c r="AQ921" s="563">
        <v>123907.15720049999</v>
      </c>
      <c r="AR921" s="563">
        <v>2.2696999999999998</v>
      </c>
    </row>
    <row r="922" spans="39:44" x14ac:dyDescent="0.25">
      <c r="AM922" s="562">
        <v>45000</v>
      </c>
      <c r="AN922" s="563">
        <v>425.71</v>
      </c>
      <c r="AO922" s="563">
        <v>1007736</v>
      </c>
      <c r="AP922" s="563">
        <v>296.32227</v>
      </c>
      <c r="AQ922" s="563">
        <v>126147.3535617</v>
      </c>
      <c r="AR922" s="563">
        <v>2.3107000000000002</v>
      </c>
    </row>
    <row r="923" spans="39:44" x14ac:dyDescent="0.25">
      <c r="AM923" s="562">
        <v>44999</v>
      </c>
      <c r="AN923" s="563">
        <v>430.28</v>
      </c>
      <c r="AO923" s="563">
        <v>1097638</v>
      </c>
      <c r="AP923" s="563">
        <v>296.32227</v>
      </c>
      <c r="AQ923" s="563">
        <v>127501.5463356</v>
      </c>
      <c r="AR923" s="563">
        <v>2.3355000000000001</v>
      </c>
    </row>
    <row r="924" spans="39:44" x14ac:dyDescent="0.25">
      <c r="AM924" s="562">
        <v>44998</v>
      </c>
      <c r="AN924" s="563">
        <v>430.28</v>
      </c>
      <c r="AO924" s="563">
        <v>1097638</v>
      </c>
      <c r="AP924" s="563">
        <v>296.32227</v>
      </c>
      <c r="AQ924" s="563">
        <v>127501.5463356</v>
      </c>
      <c r="AR924" s="563">
        <v>2.3355000000000001</v>
      </c>
    </row>
    <row r="925" spans="39:44" x14ac:dyDescent="0.25">
      <c r="AM925" s="562">
        <v>44997</v>
      </c>
      <c r="AN925" s="563">
        <v>430.28</v>
      </c>
      <c r="AO925" s="563">
        <v>1097638</v>
      </c>
      <c r="AP925" s="563">
        <v>296.32227</v>
      </c>
      <c r="AQ925" s="563">
        <v>127501.5463356</v>
      </c>
      <c r="AR925" s="563">
        <v>2.3355000000000001</v>
      </c>
    </row>
    <row r="926" spans="39:44" x14ac:dyDescent="0.25">
      <c r="AM926" s="562">
        <v>44996</v>
      </c>
      <c r="AN926" s="563">
        <v>421.34</v>
      </c>
      <c r="AO926" s="563">
        <v>959851</v>
      </c>
      <c r="AP926" s="563">
        <v>296.32227</v>
      </c>
      <c r="AQ926" s="563">
        <v>124852.4252418</v>
      </c>
      <c r="AR926" s="563">
        <v>2.2869999999999999</v>
      </c>
    </row>
    <row r="927" spans="39:44" x14ac:dyDescent="0.25">
      <c r="AM927" s="562">
        <v>44995</v>
      </c>
      <c r="AN927" s="563">
        <v>419.75</v>
      </c>
      <c r="AO927" s="563">
        <v>1354162</v>
      </c>
      <c r="AP927" s="563">
        <v>296.32227</v>
      </c>
      <c r="AQ927" s="563">
        <v>124381.27283250001</v>
      </c>
      <c r="AR927" s="563">
        <v>2.2784</v>
      </c>
    </row>
    <row r="928" spans="39:44" x14ac:dyDescent="0.25">
      <c r="AM928" s="562">
        <v>44994</v>
      </c>
      <c r="AN928" s="563">
        <v>419.24</v>
      </c>
      <c r="AO928" s="563">
        <v>1465265</v>
      </c>
      <c r="AP928" s="563">
        <v>296.32227</v>
      </c>
      <c r="AQ928" s="563">
        <v>124230.14847480001</v>
      </c>
      <c r="AR928" s="563">
        <v>2.2755999999999998</v>
      </c>
    </row>
    <row r="929" spans="39:44" x14ac:dyDescent="0.25">
      <c r="AM929" s="562">
        <v>44993</v>
      </c>
      <c r="AN929" s="563">
        <v>421.63</v>
      </c>
      <c r="AO929" s="563">
        <v>920270</v>
      </c>
      <c r="AP929" s="563">
        <v>296.32227</v>
      </c>
      <c r="AQ929" s="563">
        <v>124938.3587001</v>
      </c>
      <c r="AR929" s="563">
        <v>2.2886000000000002</v>
      </c>
    </row>
    <row r="930" spans="39:44" x14ac:dyDescent="0.25">
      <c r="AM930" s="562">
        <v>44992</v>
      </c>
      <c r="AN930" s="563">
        <v>417.42</v>
      </c>
      <c r="AO930" s="563">
        <v>1031191</v>
      </c>
      <c r="AP930" s="563">
        <v>296.32227</v>
      </c>
      <c r="AQ930" s="563">
        <v>123690.84194340001</v>
      </c>
      <c r="AR930" s="563">
        <v>2.2656999999999998</v>
      </c>
    </row>
    <row r="931" spans="39:44" x14ac:dyDescent="0.25">
      <c r="AM931" s="562">
        <v>44991</v>
      </c>
      <c r="AN931" s="563">
        <v>417.42</v>
      </c>
      <c r="AO931" s="563">
        <v>1031191</v>
      </c>
      <c r="AP931" s="563">
        <v>296.32227</v>
      </c>
      <c r="AQ931" s="563">
        <v>123690.84194340001</v>
      </c>
      <c r="AR931" s="563">
        <v>2.2656999999999998</v>
      </c>
    </row>
    <row r="932" spans="39:44" x14ac:dyDescent="0.25">
      <c r="AM932" s="562">
        <v>44990</v>
      </c>
      <c r="AN932" s="563">
        <v>417.42</v>
      </c>
      <c r="AO932" s="563">
        <v>1031191</v>
      </c>
      <c r="AP932" s="563">
        <v>296.32227</v>
      </c>
      <c r="AQ932" s="563">
        <v>123690.84194340001</v>
      </c>
      <c r="AR932" s="563">
        <v>2.2656999999999998</v>
      </c>
    </row>
    <row r="933" spans="39:44" x14ac:dyDescent="0.25">
      <c r="AM933" s="562">
        <v>44989</v>
      </c>
      <c r="AN933" s="563">
        <v>425.05</v>
      </c>
      <c r="AO933" s="563">
        <v>1086909</v>
      </c>
      <c r="AP933" s="563">
        <v>296.32227</v>
      </c>
      <c r="AQ933" s="563">
        <v>125951.78086350001</v>
      </c>
      <c r="AR933" s="563">
        <v>2.3071000000000002</v>
      </c>
    </row>
    <row r="934" spans="39:44" x14ac:dyDescent="0.25">
      <c r="AM934" s="562">
        <v>44988</v>
      </c>
      <c r="AN934" s="563">
        <v>426.41</v>
      </c>
      <c r="AO934" s="563">
        <v>1356315</v>
      </c>
      <c r="AP934" s="563">
        <v>297.15705000000003</v>
      </c>
      <c r="AQ934" s="563">
        <v>126710.73769050001</v>
      </c>
      <c r="AR934" s="563">
        <v>2.3144999999999998</v>
      </c>
    </row>
    <row r="935" spans="39:44" x14ac:dyDescent="0.25">
      <c r="AM935" s="562">
        <v>44987</v>
      </c>
      <c r="AN935" s="563">
        <v>427.17</v>
      </c>
      <c r="AO935" s="563">
        <v>1936287</v>
      </c>
      <c r="AP935" s="563">
        <v>297.15705000000003</v>
      </c>
      <c r="AQ935" s="563">
        <v>126936.57704850001</v>
      </c>
      <c r="AR935" s="563">
        <v>2.3186</v>
      </c>
    </row>
    <row r="936" spans="39:44" x14ac:dyDescent="0.25">
      <c r="AM936" s="562">
        <v>44986</v>
      </c>
      <c r="AN936" s="563">
        <v>433.31</v>
      </c>
      <c r="AO936" s="563">
        <v>4888741</v>
      </c>
      <c r="AP936" s="563">
        <v>297.15705000000003</v>
      </c>
      <c r="AQ936" s="563">
        <v>128761.12133550001</v>
      </c>
      <c r="AR936" s="563">
        <v>2.3519999999999999</v>
      </c>
    </row>
    <row r="937" spans="39:44" x14ac:dyDescent="0.25">
      <c r="AM937" s="562">
        <v>44985</v>
      </c>
      <c r="AN937" s="563">
        <v>433.31</v>
      </c>
      <c r="AO937" s="563">
        <v>4888741</v>
      </c>
      <c r="AP937" s="563">
        <v>297.15705000000003</v>
      </c>
      <c r="AQ937" s="563">
        <v>128761.12133550001</v>
      </c>
      <c r="AR937" s="563">
        <v>2.3519999999999999</v>
      </c>
    </row>
    <row r="938" spans="39:44" x14ac:dyDescent="0.25">
      <c r="AM938" s="562">
        <v>44984</v>
      </c>
      <c r="AN938" s="563">
        <v>433.31</v>
      </c>
      <c r="AO938" s="563">
        <v>4888741</v>
      </c>
      <c r="AP938" s="563">
        <v>297.15705000000003</v>
      </c>
      <c r="AQ938" s="563">
        <v>128761.12133550001</v>
      </c>
      <c r="AR938" s="563">
        <v>2.3519999999999999</v>
      </c>
    </row>
    <row r="939" spans="39:44" x14ac:dyDescent="0.25">
      <c r="AM939" s="562">
        <v>44983</v>
      </c>
      <c r="AN939" s="563">
        <v>433.31</v>
      </c>
      <c r="AO939" s="563">
        <v>4888741</v>
      </c>
      <c r="AP939" s="563">
        <v>297.15705000000003</v>
      </c>
      <c r="AQ939" s="563">
        <v>128761.12133550001</v>
      </c>
      <c r="AR939" s="563">
        <v>2.3519999999999999</v>
      </c>
    </row>
    <row r="940" spans="39:44" x14ac:dyDescent="0.25">
      <c r="AM940" s="562">
        <v>44982</v>
      </c>
      <c r="AN940" s="563">
        <v>402.96</v>
      </c>
      <c r="AO940" s="563">
        <v>2122517</v>
      </c>
      <c r="AP940" s="563">
        <v>297.15705000000003</v>
      </c>
      <c r="AQ940" s="563">
        <v>119742.404868</v>
      </c>
      <c r="AR940" s="563">
        <v>2.1871999999999998</v>
      </c>
    </row>
    <row r="941" spans="39:44" x14ac:dyDescent="0.25">
      <c r="AM941" s="562">
        <v>44981</v>
      </c>
      <c r="AN941" s="563">
        <v>410.04</v>
      </c>
      <c r="AO941" s="563">
        <v>1427213</v>
      </c>
      <c r="AP941" s="563">
        <v>297.15705000000003</v>
      </c>
      <c r="AQ941" s="563">
        <v>121846.27678200002</v>
      </c>
      <c r="AR941" s="563">
        <v>2.2256</v>
      </c>
    </row>
    <row r="942" spans="39:44" x14ac:dyDescent="0.25">
      <c r="AM942" s="562">
        <v>44980</v>
      </c>
      <c r="AN942" s="563">
        <v>409.31</v>
      </c>
      <c r="AO942" s="563">
        <v>1503012</v>
      </c>
      <c r="AP942" s="563">
        <v>297.15705000000003</v>
      </c>
      <c r="AQ942" s="563">
        <v>121629.35213550001</v>
      </c>
      <c r="AR942" s="563">
        <v>2.2216999999999998</v>
      </c>
    </row>
    <row r="943" spans="39:44" x14ac:dyDescent="0.25">
      <c r="AM943" s="562">
        <v>44979</v>
      </c>
      <c r="AN943" s="563">
        <v>415.33</v>
      </c>
      <c r="AO943" s="563">
        <v>1428415</v>
      </c>
      <c r="AP943" s="563">
        <v>297.15705000000003</v>
      </c>
      <c r="AQ943" s="563">
        <v>123418.2375765</v>
      </c>
      <c r="AR943" s="563">
        <v>2.2544</v>
      </c>
    </row>
    <row r="944" spans="39:44" x14ac:dyDescent="0.25">
      <c r="AM944" s="562">
        <v>44978</v>
      </c>
      <c r="AN944" s="563">
        <v>417.79</v>
      </c>
      <c r="AO944" s="563">
        <v>1357031</v>
      </c>
      <c r="AP944" s="563">
        <v>297.15705000000003</v>
      </c>
      <c r="AQ944" s="563">
        <v>124149.24391950002</v>
      </c>
      <c r="AR944" s="563">
        <v>2.2677</v>
      </c>
    </row>
    <row r="945" spans="39:44" x14ac:dyDescent="0.25">
      <c r="AM945" s="562">
        <v>44977</v>
      </c>
      <c r="AN945" s="563">
        <v>417.79</v>
      </c>
      <c r="AO945" s="563">
        <v>1357031</v>
      </c>
      <c r="AP945" s="563">
        <v>297.15705000000003</v>
      </c>
      <c r="AQ945" s="563">
        <v>124149.24391950002</v>
      </c>
      <c r="AR945" s="563">
        <v>2.2677</v>
      </c>
    </row>
    <row r="946" spans="39:44" x14ac:dyDescent="0.25">
      <c r="AM946" s="562">
        <v>44976</v>
      </c>
      <c r="AN946" s="563">
        <v>417.79</v>
      </c>
      <c r="AO946" s="563">
        <v>1357031</v>
      </c>
      <c r="AP946" s="563">
        <v>297.15705000000003</v>
      </c>
      <c r="AQ946" s="563">
        <v>124149.24391950002</v>
      </c>
      <c r="AR946" s="563">
        <v>2.2677</v>
      </c>
    </row>
    <row r="947" spans="39:44" x14ac:dyDescent="0.25">
      <c r="AM947" s="562">
        <v>44975</v>
      </c>
      <c r="AN947" s="563">
        <v>408.01</v>
      </c>
      <c r="AO947" s="563">
        <v>1262724</v>
      </c>
      <c r="AP947" s="563">
        <v>297.15705000000003</v>
      </c>
      <c r="AQ947" s="563">
        <v>121243.0479705</v>
      </c>
      <c r="AR947" s="563">
        <v>2.2145999999999999</v>
      </c>
    </row>
    <row r="948" spans="39:44" x14ac:dyDescent="0.25">
      <c r="AM948" s="562">
        <v>44974</v>
      </c>
      <c r="AN948" s="563">
        <v>407.69</v>
      </c>
      <c r="AO948" s="563">
        <v>1061635</v>
      </c>
      <c r="AP948" s="563">
        <v>297.15705000000003</v>
      </c>
      <c r="AQ948" s="563">
        <v>121147.95771450001</v>
      </c>
      <c r="AR948" s="563">
        <v>2.2128999999999999</v>
      </c>
    </row>
    <row r="949" spans="39:44" x14ac:dyDescent="0.25">
      <c r="AM949" s="562">
        <v>44973</v>
      </c>
      <c r="AN949" s="563">
        <v>409.52</v>
      </c>
      <c r="AO949" s="563">
        <v>1313101</v>
      </c>
      <c r="AP949" s="563">
        <v>297.15705000000003</v>
      </c>
      <c r="AQ949" s="563">
        <v>121691.755116</v>
      </c>
      <c r="AR949" s="563">
        <v>2.2227999999999999</v>
      </c>
    </row>
    <row r="950" spans="39:44" x14ac:dyDescent="0.25">
      <c r="AM950" s="562">
        <v>44972</v>
      </c>
      <c r="AN950" s="563">
        <v>410.23</v>
      </c>
      <c r="AO950" s="563">
        <v>1378222</v>
      </c>
      <c r="AP950" s="563">
        <v>297.15705000000003</v>
      </c>
      <c r="AQ950" s="563">
        <v>121902.73662150002</v>
      </c>
      <c r="AR950" s="563">
        <v>2.2267000000000001</v>
      </c>
    </row>
    <row r="951" spans="39:44" x14ac:dyDescent="0.25">
      <c r="AM951" s="562">
        <v>44971</v>
      </c>
      <c r="AN951" s="563">
        <v>406.06</v>
      </c>
      <c r="AO951" s="563">
        <v>2295555</v>
      </c>
      <c r="AP951" s="563">
        <v>297.15705000000003</v>
      </c>
      <c r="AQ951" s="563">
        <v>120663.59172300001</v>
      </c>
      <c r="AR951" s="563">
        <v>2.2040000000000002</v>
      </c>
    </row>
    <row r="952" spans="39:44" x14ac:dyDescent="0.25">
      <c r="AM952" s="562">
        <v>44970</v>
      </c>
      <c r="AN952" s="563">
        <v>406.06</v>
      </c>
      <c r="AO952" s="563">
        <v>2295555</v>
      </c>
      <c r="AP952" s="563">
        <v>297.15705000000003</v>
      </c>
      <c r="AQ952" s="563">
        <v>120663.59172300001</v>
      </c>
      <c r="AR952" s="563">
        <v>2.2040000000000002</v>
      </c>
    </row>
    <row r="953" spans="39:44" x14ac:dyDescent="0.25">
      <c r="AM953" s="562">
        <v>44969</v>
      </c>
      <c r="AN953" s="563">
        <v>406.06</v>
      </c>
      <c r="AO953" s="563">
        <v>2295555</v>
      </c>
      <c r="AP953" s="563">
        <v>297.15705000000003</v>
      </c>
      <c r="AQ953" s="563">
        <v>120663.59172300001</v>
      </c>
      <c r="AR953" s="563">
        <v>2.2040000000000002</v>
      </c>
    </row>
    <row r="954" spans="39:44" x14ac:dyDescent="0.25">
      <c r="AM954" s="562">
        <v>44968</v>
      </c>
      <c r="AN954" s="563">
        <v>406.55</v>
      </c>
      <c r="AO954" s="563">
        <v>2551299</v>
      </c>
      <c r="AP954" s="563">
        <v>297.15705000000003</v>
      </c>
      <c r="AQ954" s="563">
        <v>120809.19867750001</v>
      </c>
      <c r="AR954" s="563">
        <v>2.2067000000000001</v>
      </c>
    </row>
    <row r="955" spans="39:44" x14ac:dyDescent="0.25">
      <c r="AM955" s="562">
        <v>44967</v>
      </c>
      <c r="AN955" s="563">
        <v>426.99</v>
      </c>
      <c r="AO955" s="563">
        <v>1112216</v>
      </c>
      <c r="AP955" s="563">
        <v>297.15705000000003</v>
      </c>
      <c r="AQ955" s="563">
        <v>126883.08877950002</v>
      </c>
      <c r="AR955" s="563">
        <v>2.3176999999999999</v>
      </c>
    </row>
    <row r="956" spans="39:44" x14ac:dyDescent="0.25">
      <c r="AM956" s="562">
        <v>44966</v>
      </c>
      <c r="AN956" s="563">
        <v>422.84</v>
      </c>
      <c r="AO956" s="563">
        <v>1269810</v>
      </c>
      <c r="AP956" s="563">
        <v>297.15705000000003</v>
      </c>
      <c r="AQ956" s="563">
        <v>125649.88702200001</v>
      </c>
      <c r="AR956" s="563">
        <v>2.2951000000000001</v>
      </c>
    </row>
    <row r="957" spans="39:44" x14ac:dyDescent="0.25">
      <c r="AM957" s="562">
        <v>44965</v>
      </c>
      <c r="AN957" s="563">
        <v>420.6</v>
      </c>
      <c r="AO957" s="563">
        <v>1376197</v>
      </c>
      <c r="AP957" s="563">
        <v>297.15705000000003</v>
      </c>
      <c r="AQ957" s="563">
        <v>124984.25523000002</v>
      </c>
      <c r="AR957" s="563">
        <v>2.2829999999999999</v>
      </c>
    </row>
    <row r="958" spans="39:44" x14ac:dyDescent="0.25">
      <c r="AM958" s="562">
        <v>44964</v>
      </c>
      <c r="AN958" s="563">
        <v>418.18</v>
      </c>
      <c r="AO958" s="563">
        <v>1324532</v>
      </c>
      <c r="AP958" s="563">
        <v>297.15705000000003</v>
      </c>
      <c r="AQ958" s="563">
        <v>124265.13516900002</v>
      </c>
      <c r="AR958" s="563">
        <v>2.4192999999999998</v>
      </c>
    </row>
    <row r="959" spans="39:44" x14ac:dyDescent="0.25">
      <c r="AM959" s="562">
        <v>44963</v>
      </c>
      <c r="AN959" s="563">
        <v>418.18</v>
      </c>
      <c r="AO959" s="563">
        <v>1324532</v>
      </c>
      <c r="AP959" s="563">
        <v>297.15705000000003</v>
      </c>
      <c r="AQ959" s="563">
        <v>124265.13516900002</v>
      </c>
      <c r="AR959" s="563">
        <v>2.4192999999999998</v>
      </c>
    </row>
    <row r="960" spans="39:44" x14ac:dyDescent="0.25">
      <c r="AM960" s="562">
        <v>44962</v>
      </c>
      <c r="AN960" s="563">
        <v>418.18</v>
      </c>
      <c r="AO960" s="563">
        <v>1324532</v>
      </c>
      <c r="AP960" s="563">
        <v>297.15705000000003</v>
      </c>
      <c r="AQ960" s="563">
        <v>124265.13516900002</v>
      </c>
      <c r="AR960" s="563">
        <v>2.4192999999999998</v>
      </c>
    </row>
    <row r="961" spans="39:44" x14ac:dyDescent="0.25">
      <c r="AM961" s="562">
        <v>44961</v>
      </c>
      <c r="AN961" s="563">
        <v>421.2</v>
      </c>
      <c r="AO961" s="563">
        <v>1191128</v>
      </c>
      <c r="AP961" s="563">
        <v>297.15705000000003</v>
      </c>
      <c r="AQ961" s="563">
        <v>125162.54946000001</v>
      </c>
      <c r="AR961" s="563">
        <v>2.4367999999999999</v>
      </c>
    </row>
    <row r="962" spans="39:44" x14ac:dyDescent="0.25">
      <c r="AM962" s="562">
        <v>44960</v>
      </c>
      <c r="AN962" s="563">
        <v>413.64</v>
      </c>
      <c r="AO962" s="563">
        <v>1002076</v>
      </c>
      <c r="AP962" s="563">
        <v>297.15705000000003</v>
      </c>
      <c r="AQ962" s="563">
        <v>122916.04216200001</v>
      </c>
      <c r="AR962" s="563">
        <v>2.3931</v>
      </c>
    </row>
    <row r="963" spans="39:44" x14ac:dyDescent="0.25">
      <c r="AM963" s="562">
        <v>44959</v>
      </c>
      <c r="AN963" s="563">
        <v>416.67</v>
      </c>
      <c r="AO963" s="563">
        <v>1319744</v>
      </c>
      <c r="AP963" s="563">
        <v>297.15705000000003</v>
      </c>
      <c r="AQ963" s="563">
        <v>123816.42802350002</v>
      </c>
      <c r="AR963" s="563">
        <v>2.4106000000000001</v>
      </c>
    </row>
    <row r="964" spans="39:44" x14ac:dyDescent="0.25">
      <c r="AM964" s="562">
        <v>44958</v>
      </c>
      <c r="AN964" s="563">
        <v>409.34</v>
      </c>
      <c r="AO964" s="563">
        <v>1390547</v>
      </c>
      <c r="AP964" s="563">
        <v>297.15705000000003</v>
      </c>
      <c r="AQ964" s="563">
        <v>121638.26684700001</v>
      </c>
      <c r="AR964" s="563">
        <v>2.3681999999999999</v>
      </c>
    </row>
    <row r="965" spans="39:44" x14ac:dyDescent="0.25">
      <c r="AM965" s="562">
        <v>44957</v>
      </c>
      <c r="AN965" s="563">
        <v>410.6</v>
      </c>
      <c r="AO965" s="563">
        <v>2781474</v>
      </c>
      <c r="AP965" s="563">
        <v>297.15705000000003</v>
      </c>
      <c r="AQ965" s="563">
        <v>122012.68473000002</v>
      </c>
      <c r="AR965" s="563">
        <v>2.3755000000000002</v>
      </c>
    </row>
    <row r="966" spans="39:44" x14ac:dyDescent="0.25">
      <c r="AM966" s="562">
        <v>44956</v>
      </c>
      <c r="AN966" s="563">
        <v>410.6</v>
      </c>
      <c r="AO966" s="563">
        <v>2781474</v>
      </c>
      <c r="AP966" s="563">
        <v>297.15705000000003</v>
      </c>
      <c r="AQ966" s="563">
        <v>122012.68473000002</v>
      </c>
      <c r="AR966" s="563">
        <v>2.3755000000000002</v>
      </c>
    </row>
    <row r="967" spans="39:44" x14ac:dyDescent="0.25">
      <c r="AM967" s="562">
        <v>44955</v>
      </c>
      <c r="AN967" s="563">
        <v>410.6</v>
      </c>
      <c r="AO967" s="563">
        <v>2781474</v>
      </c>
      <c r="AP967" s="563">
        <v>297.15705000000003</v>
      </c>
      <c r="AQ967" s="563">
        <v>122012.68473000002</v>
      </c>
      <c r="AR967" s="563">
        <v>2.3755000000000002</v>
      </c>
    </row>
    <row r="968" spans="39:44" x14ac:dyDescent="0.25">
      <c r="AM968" s="562">
        <v>44954</v>
      </c>
      <c r="AN968" s="563">
        <v>408.6</v>
      </c>
      <c r="AO968" s="563">
        <v>2241235</v>
      </c>
      <c r="AP968" s="563">
        <v>297.15705000000003</v>
      </c>
      <c r="AQ968" s="563">
        <v>121418.37063000002</v>
      </c>
      <c r="AR968" s="563">
        <v>2.3639000000000001</v>
      </c>
    </row>
    <row r="969" spans="39:44" x14ac:dyDescent="0.25">
      <c r="AM969" s="562">
        <v>44953</v>
      </c>
      <c r="AN969" s="563">
        <v>425.99</v>
      </c>
      <c r="AO969" s="563">
        <v>1390780</v>
      </c>
      <c r="AP969" s="563">
        <v>297.15705000000003</v>
      </c>
      <c r="AQ969" s="563">
        <v>126585.93172950001</v>
      </c>
      <c r="AR969" s="563">
        <v>2.4645000000000001</v>
      </c>
    </row>
    <row r="970" spans="39:44" x14ac:dyDescent="0.25">
      <c r="AM970" s="562">
        <v>44952</v>
      </c>
      <c r="AN970" s="563">
        <v>438.2</v>
      </c>
      <c r="AO970" s="563">
        <v>1767716</v>
      </c>
      <c r="AP970" s="563">
        <v>297.15705000000003</v>
      </c>
      <c r="AQ970" s="563">
        <v>130214.21931000001</v>
      </c>
      <c r="AR970" s="563">
        <v>2.5352000000000001</v>
      </c>
    </row>
    <row r="971" spans="39:44" x14ac:dyDescent="0.25">
      <c r="AM971" s="562">
        <v>44951</v>
      </c>
      <c r="AN971" s="563">
        <v>439.63</v>
      </c>
      <c r="AO971" s="563">
        <v>985887</v>
      </c>
      <c r="AP971" s="563">
        <v>297.15705000000003</v>
      </c>
      <c r="AQ971" s="563">
        <v>130639.15389150001</v>
      </c>
      <c r="AR971" s="563">
        <v>2.5434000000000001</v>
      </c>
    </row>
    <row r="972" spans="39:44" x14ac:dyDescent="0.25">
      <c r="AM972" s="562">
        <v>44950</v>
      </c>
      <c r="AN972" s="563">
        <v>439.63</v>
      </c>
      <c r="AO972" s="563">
        <v>985887</v>
      </c>
      <c r="AP972" s="563">
        <v>297.15705000000003</v>
      </c>
      <c r="AQ972" s="563">
        <v>130639.15389150001</v>
      </c>
      <c r="AR972" s="563">
        <v>2.5434000000000001</v>
      </c>
    </row>
    <row r="973" spans="39:44" x14ac:dyDescent="0.25">
      <c r="AM973" s="562">
        <v>44949</v>
      </c>
      <c r="AN973" s="563">
        <v>439.63</v>
      </c>
      <c r="AO973" s="563">
        <v>985887</v>
      </c>
      <c r="AP973" s="563">
        <v>297.15705000000003</v>
      </c>
      <c r="AQ973" s="563">
        <v>130639.15389150001</v>
      </c>
      <c r="AR973" s="563">
        <v>2.5434000000000001</v>
      </c>
    </row>
    <row r="974" spans="39:44" x14ac:dyDescent="0.25">
      <c r="AM974" s="562">
        <v>44948</v>
      </c>
      <c r="AN974" s="563">
        <v>439.63</v>
      </c>
      <c r="AO974" s="563">
        <v>985887</v>
      </c>
      <c r="AP974" s="563">
        <v>297.15705000000003</v>
      </c>
      <c r="AQ974" s="563">
        <v>130639.15389150001</v>
      </c>
      <c r="AR974" s="563">
        <v>2.5434000000000001</v>
      </c>
    </row>
    <row r="975" spans="39:44" x14ac:dyDescent="0.25">
      <c r="AM975" s="562">
        <v>44947</v>
      </c>
      <c r="AN975" s="563">
        <v>436.09</v>
      </c>
      <c r="AO975" s="563">
        <v>1205526</v>
      </c>
      <c r="AP975" s="563">
        <v>297.15705000000003</v>
      </c>
      <c r="AQ975" s="563">
        <v>129587.2179345</v>
      </c>
      <c r="AR975" s="563">
        <v>2.5228999999999999</v>
      </c>
    </row>
    <row r="976" spans="39:44" x14ac:dyDescent="0.25">
      <c r="AM976" s="562">
        <v>44946</v>
      </c>
      <c r="AN976" s="563">
        <v>433.48</v>
      </c>
      <c r="AO976" s="563">
        <v>1130067</v>
      </c>
      <c r="AP976" s="563">
        <v>297.15705000000003</v>
      </c>
      <c r="AQ976" s="563">
        <v>128811.63803400002</v>
      </c>
      <c r="AR976" s="563">
        <v>2.5078</v>
      </c>
    </row>
    <row r="977" spans="39:44" x14ac:dyDescent="0.25">
      <c r="AM977" s="562">
        <v>44945</v>
      </c>
      <c r="AN977" s="563">
        <v>437.43</v>
      </c>
      <c r="AO977" s="563">
        <v>1079285</v>
      </c>
      <c r="AP977" s="563">
        <v>298.23725999999999</v>
      </c>
      <c r="AQ977" s="563">
        <v>130457.9246418</v>
      </c>
      <c r="AR977" s="563">
        <v>2.5306999999999999</v>
      </c>
    </row>
    <row r="978" spans="39:44" x14ac:dyDescent="0.25">
      <c r="AM978" s="562">
        <v>44944</v>
      </c>
      <c r="AN978" s="563">
        <v>428.2</v>
      </c>
      <c r="AO978" s="563">
        <v>1200367</v>
      </c>
      <c r="AP978" s="563">
        <v>298.23725999999999</v>
      </c>
      <c r="AQ978" s="563">
        <v>127705.19473199999</v>
      </c>
      <c r="AR978" s="563">
        <v>2.4773000000000001</v>
      </c>
    </row>
    <row r="979" spans="39:44" x14ac:dyDescent="0.25">
      <c r="AM979" s="562">
        <v>44943</v>
      </c>
      <c r="AN979" s="563">
        <v>426.47</v>
      </c>
      <c r="AO979" s="563">
        <v>1042172</v>
      </c>
      <c r="AP979" s="563">
        <v>298.23725999999999</v>
      </c>
      <c r="AQ979" s="563">
        <v>127189.2442722</v>
      </c>
      <c r="AR979" s="563">
        <v>2.4672999999999998</v>
      </c>
    </row>
    <row r="980" spans="39:44" x14ac:dyDescent="0.25">
      <c r="AM980" s="562">
        <v>44942</v>
      </c>
      <c r="AN980" s="563">
        <v>426.47</v>
      </c>
      <c r="AO980" s="563">
        <v>1042172</v>
      </c>
      <c r="AP980" s="563">
        <v>298.23725999999999</v>
      </c>
      <c r="AQ980" s="563">
        <v>127189.2442722</v>
      </c>
      <c r="AR980" s="563">
        <v>2.4672999999999998</v>
      </c>
    </row>
    <row r="981" spans="39:44" x14ac:dyDescent="0.25">
      <c r="AM981" s="562">
        <v>44941</v>
      </c>
      <c r="AN981" s="563">
        <v>426.47</v>
      </c>
      <c r="AO981" s="563">
        <v>1042172</v>
      </c>
      <c r="AP981" s="563">
        <v>298.23725999999999</v>
      </c>
      <c r="AQ981" s="563">
        <v>127189.2442722</v>
      </c>
      <c r="AR981" s="563">
        <v>2.4672999999999998</v>
      </c>
    </row>
    <row r="982" spans="39:44" x14ac:dyDescent="0.25">
      <c r="AM982" s="562">
        <v>44940</v>
      </c>
      <c r="AN982" s="563">
        <v>414.73</v>
      </c>
      <c r="AO982" s="563">
        <v>1484990</v>
      </c>
      <c r="AP982" s="563">
        <v>298.23725999999999</v>
      </c>
      <c r="AQ982" s="563">
        <v>123687.9388398</v>
      </c>
      <c r="AR982" s="563">
        <v>2.3994</v>
      </c>
    </row>
    <row r="983" spans="39:44" x14ac:dyDescent="0.25">
      <c r="AM983" s="562">
        <v>44939</v>
      </c>
      <c r="AN983" s="563">
        <v>423.48</v>
      </c>
      <c r="AO983" s="563">
        <v>1050968</v>
      </c>
      <c r="AP983" s="563">
        <v>298.23725999999999</v>
      </c>
      <c r="AQ983" s="563">
        <v>126297.5148648</v>
      </c>
      <c r="AR983" s="563">
        <v>2.4500000000000002</v>
      </c>
    </row>
    <row r="984" spans="39:44" x14ac:dyDescent="0.25">
      <c r="AM984" s="562">
        <v>44938</v>
      </c>
      <c r="AN984" s="563">
        <v>424.29</v>
      </c>
      <c r="AO984" s="563">
        <v>1166520</v>
      </c>
      <c r="AP984" s="563">
        <v>298.23725999999999</v>
      </c>
      <c r="AQ984" s="563">
        <v>126539.0870454</v>
      </c>
      <c r="AR984" s="563">
        <v>2.4546999999999999</v>
      </c>
    </row>
    <row r="985" spans="39:44" x14ac:dyDescent="0.25">
      <c r="AM985" s="562">
        <v>44937</v>
      </c>
      <c r="AN985" s="563">
        <v>428.76</v>
      </c>
      <c r="AO985" s="563">
        <v>760168</v>
      </c>
      <c r="AP985" s="563">
        <v>298.23725999999999</v>
      </c>
      <c r="AQ985" s="563">
        <v>127872.20759759999</v>
      </c>
      <c r="AR985" s="563">
        <v>2.4805000000000001</v>
      </c>
    </row>
    <row r="986" spans="39:44" x14ac:dyDescent="0.25">
      <c r="AM986" s="562">
        <v>44936</v>
      </c>
      <c r="AN986" s="563">
        <v>428.76</v>
      </c>
      <c r="AO986" s="563">
        <v>760168</v>
      </c>
      <c r="AP986" s="563">
        <v>298.23725999999999</v>
      </c>
      <c r="AQ986" s="563">
        <v>127872.20759759999</v>
      </c>
      <c r="AR986" s="563">
        <v>2.4805000000000001</v>
      </c>
    </row>
    <row r="987" spans="39:44" x14ac:dyDescent="0.25">
      <c r="AM987" s="562">
        <v>44935</v>
      </c>
      <c r="AN987" s="563">
        <v>428.76</v>
      </c>
      <c r="AO987" s="563">
        <v>760168</v>
      </c>
      <c r="AP987" s="563">
        <v>298.23725999999999</v>
      </c>
      <c r="AQ987" s="563">
        <v>127872.20759759999</v>
      </c>
      <c r="AR987" s="563">
        <v>2.4805000000000001</v>
      </c>
    </row>
    <row r="988" spans="39:44" x14ac:dyDescent="0.25">
      <c r="AM988" s="562">
        <v>44934</v>
      </c>
      <c r="AN988" s="563">
        <v>428.76</v>
      </c>
      <c r="AO988" s="563">
        <v>760168</v>
      </c>
      <c r="AP988" s="563">
        <v>298.23725999999999</v>
      </c>
      <c r="AQ988" s="563">
        <v>127872.20759759999</v>
      </c>
      <c r="AR988" s="563">
        <v>2.4805000000000001</v>
      </c>
    </row>
    <row r="989" spans="39:44" x14ac:dyDescent="0.25">
      <c r="AM989" s="562">
        <v>44933</v>
      </c>
      <c r="AN989" s="563">
        <v>428.64</v>
      </c>
      <c r="AO989" s="563">
        <v>835369</v>
      </c>
      <c r="AP989" s="563">
        <v>298.23725999999999</v>
      </c>
      <c r="AQ989" s="563">
        <v>127836.4191264</v>
      </c>
      <c r="AR989" s="563">
        <v>2.4798</v>
      </c>
    </row>
    <row r="990" spans="39:44" x14ac:dyDescent="0.25">
      <c r="AM990" s="562">
        <v>44932</v>
      </c>
      <c r="AN990" s="563">
        <v>430.18</v>
      </c>
      <c r="AO990" s="563">
        <v>821690</v>
      </c>
      <c r="AP990" s="563">
        <v>298.23725999999999</v>
      </c>
      <c r="AQ990" s="563">
        <v>128295.7045068</v>
      </c>
      <c r="AR990" s="563">
        <v>2.4887999999999999</v>
      </c>
    </row>
    <row r="991" spans="39:44" x14ac:dyDescent="0.25">
      <c r="AM991" s="562">
        <v>44931</v>
      </c>
      <c r="AN991" s="563">
        <v>436.15</v>
      </c>
      <c r="AO991" s="563">
        <v>713799</v>
      </c>
      <c r="AP991" s="563">
        <v>298.23725999999999</v>
      </c>
      <c r="AQ991" s="563">
        <v>130076.18094899999</v>
      </c>
      <c r="AR991" s="563">
        <v>2.5232999999999999</v>
      </c>
    </row>
    <row r="992" spans="39:44" x14ac:dyDescent="0.25">
      <c r="AM992" s="562">
        <v>44930</v>
      </c>
      <c r="AN992" s="563">
        <v>436.93</v>
      </c>
      <c r="AO992" s="563">
        <v>735690</v>
      </c>
      <c r="AP992" s="563">
        <v>298.23725999999999</v>
      </c>
      <c r="AQ992" s="563">
        <v>130308.8060118</v>
      </c>
      <c r="AR992" s="563">
        <v>2.5278</v>
      </c>
    </row>
    <row r="993" spans="39:44" x14ac:dyDescent="0.25">
      <c r="AM993" s="562">
        <v>44929</v>
      </c>
      <c r="AN993" s="563">
        <v>436.93</v>
      </c>
      <c r="AO993" s="563">
        <v>735690</v>
      </c>
      <c r="AP993" s="563">
        <v>298.23725999999999</v>
      </c>
      <c r="AQ993" s="563">
        <v>130308.8060118</v>
      </c>
      <c r="AR993" s="563">
        <v>2.5278</v>
      </c>
    </row>
    <row r="994" spans="39:44" x14ac:dyDescent="0.25">
      <c r="AM994" s="562">
        <v>44928</v>
      </c>
      <c r="AN994" s="563">
        <v>436.93</v>
      </c>
      <c r="AO994" s="563">
        <v>735690</v>
      </c>
      <c r="AP994" s="563">
        <v>298.23725999999999</v>
      </c>
      <c r="AQ994" s="563">
        <v>130308.8060118</v>
      </c>
      <c r="AR994" s="563">
        <v>2.5278</v>
      </c>
    </row>
    <row r="995" spans="39:44" x14ac:dyDescent="0.25">
      <c r="AM995" s="562">
        <v>44927</v>
      </c>
      <c r="AN995" s="563">
        <v>436.93</v>
      </c>
      <c r="AO995" s="563">
        <v>735690</v>
      </c>
      <c r="AP995" s="563">
        <v>298.23725999999999</v>
      </c>
      <c r="AQ995" s="563">
        <v>130308.8060118</v>
      </c>
      <c r="AR995" s="563">
        <v>2.5278</v>
      </c>
    </row>
    <row r="996" spans="39:44" x14ac:dyDescent="0.25">
      <c r="AM996" s="562">
        <v>44926</v>
      </c>
      <c r="AN996" s="563">
        <v>435.86</v>
      </c>
      <c r="AO996" s="563">
        <v>1223831</v>
      </c>
      <c r="AP996" s="563">
        <v>298.23725999999999</v>
      </c>
      <c r="AQ996" s="563">
        <v>129989.6921436</v>
      </c>
      <c r="AR996" s="563">
        <v>2.5215999999999998</v>
      </c>
    </row>
    <row r="997" spans="39:44" x14ac:dyDescent="0.25">
      <c r="AM997" s="562">
        <v>44925</v>
      </c>
      <c r="AN997" s="563">
        <v>441.64</v>
      </c>
      <c r="AO997" s="563">
        <v>1220725</v>
      </c>
      <c r="AP997" s="563">
        <v>298.23725999999999</v>
      </c>
      <c r="AQ997" s="563">
        <v>131713.50350639998</v>
      </c>
      <c r="AR997" s="563">
        <v>2.5550999999999999</v>
      </c>
    </row>
    <row r="998" spans="39:44" x14ac:dyDescent="0.25">
      <c r="AM998" s="562">
        <v>44924</v>
      </c>
      <c r="AN998" s="563">
        <v>435.36</v>
      </c>
      <c r="AO998" s="563">
        <v>985226</v>
      </c>
      <c r="AP998" s="563">
        <v>298.23725999999999</v>
      </c>
      <c r="AQ998" s="563">
        <v>129840.5735136</v>
      </c>
      <c r="AR998" s="563">
        <v>2.5186999999999999</v>
      </c>
    </row>
    <row r="999" spans="39:44" x14ac:dyDescent="0.25">
      <c r="AM999" s="562">
        <v>44923</v>
      </c>
      <c r="AN999" s="563">
        <v>432.67</v>
      </c>
      <c r="AO999" s="563">
        <v>1327693</v>
      </c>
      <c r="AP999" s="563">
        <v>298.23725999999999</v>
      </c>
      <c r="AQ999" s="563">
        <v>129038.3152842</v>
      </c>
      <c r="AR999" s="563">
        <v>2.5032000000000001</v>
      </c>
    </row>
    <row r="1000" spans="39:44" x14ac:dyDescent="0.25">
      <c r="AM1000" s="562">
        <v>44922</v>
      </c>
      <c r="AN1000" s="563">
        <v>431.09</v>
      </c>
      <c r="AO1000" s="563">
        <v>3097308</v>
      </c>
      <c r="AP1000" s="563">
        <v>298.23725999999999</v>
      </c>
      <c r="AQ1000" s="563">
        <v>128567.1004134</v>
      </c>
      <c r="AR1000" s="563">
        <v>2.4940000000000002</v>
      </c>
    </row>
    <row r="1001" spans="39:44" x14ac:dyDescent="0.25">
      <c r="AM1001" s="562">
        <v>44921</v>
      </c>
      <c r="AN1001" s="563">
        <v>431.09</v>
      </c>
      <c r="AO1001" s="563">
        <v>3097308</v>
      </c>
      <c r="AP1001" s="563">
        <v>298.23725999999999</v>
      </c>
      <c r="AQ1001" s="563">
        <v>128567.1004134</v>
      </c>
      <c r="AR1001" s="563">
        <v>2.4940000000000002</v>
      </c>
    </row>
    <row r="1002" spans="39:44" x14ac:dyDescent="0.25">
      <c r="AM1002" s="562">
        <v>44920</v>
      </c>
      <c r="AN1002" s="563">
        <v>431.09</v>
      </c>
      <c r="AO1002" s="563">
        <v>3097308</v>
      </c>
      <c r="AP1002" s="563">
        <v>298.23725999999999</v>
      </c>
      <c r="AQ1002" s="563">
        <v>128567.1004134</v>
      </c>
      <c r="AR1002" s="563">
        <v>2.4940000000000002</v>
      </c>
    </row>
    <row r="1003" spans="39:44" x14ac:dyDescent="0.25">
      <c r="AM1003" s="562">
        <v>44919</v>
      </c>
      <c r="AN1003" s="563">
        <v>429.79</v>
      </c>
      <c r="AO1003" s="563">
        <v>1562312</v>
      </c>
      <c r="AP1003" s="563">
        <v>298.23725999999999</v>
      </c>
      <c r="AQ1003" s="563">
        <v>128179.39197540001</v>
      </c>
      <c r="AR1003" s="563">
        <v>2.4864999999999999</v>
      </c>
    </row>
    <row r="1004" spans="39:44" x14ac:dyDescent="0.25">
      <c r="AM1004" s="562">
        <v>44918</v>
      </c>
      <c r="AN1004" s="563">
        <v>438.44</v>
      </c>
      <c r="AO1004" s="563">
        <v>1767498</v>
      </c>
      <c r="AP1004" s="563">
        <v>301.81963000000002</v>
      </c>
      <c r="AQ1004" s="563">
        <v>132329.79857720001</v>
      </c>
      <c r="AR1004" s="563">
        <v>2.5365000000000002</v>
      </c>
    </row>
    <row r="1005" spans="39:44" x14ac:dyDescent="0.25">
      <c r="AM1005" s="562">
        <v>44917</v>
      </c>
      <c r="AN1005" s="563">
        <v>437.19</v>
      </c>
      <c r="AO1005" s="563">
        <v>1675714</v>
      </c>
      <c r="AP1005" s="563">
        <v>301.81963000000002</v>
      </c>
      <c r="AQ1005" s="563">
        <v>131952.52403970002</v>
      </c>
      <c r="AR1005" s="563">
        <v>2.5293000000000001</v>
      </c>
    </row>
    <row r="1006" spans="39:44" x14ac:dyDescent="0.25">
      <c r="AM1006" s="562">
        <v>44916</v>
      </c>
      <c r="AN1006" s="563">
        <v>437.05</v>
      </c>
      <c r="AO1006" s="563">
        <v>1591670</v>
      </c>
      <c r="AP1006" s="563">
        <v>301.81963000000002</v>
      </c>
      <c r="AQ1006" s="563">
        <v>131910.26929150001</v>
      </c>
      <c r="AR1006" s="563">
        <v>2.5285000000000002</v>
      </c>
    </row>
    <row r="1007" spans="39:44" x14ac:dyDescent="0.25">
      <c r="AM1007" s="562">
        <v>44915</v>
      </c>
      <c r="AN1007" s="563">
        <v>434.81</v>
      </c>
      <c r="AO1007" s="563">
        <v>1340607</v>
      </c>
      <c r="AP1007" s="563">
        <v>301.81963000000002</v>
      </c>
      <c r="AQ1007" s="563">
        <v>131234.19332030002</v>
      </c>
      <c r="AR1007" s="563">
        <v>2.5154999999999998</v>
      </c>
    </row>
    <row r="1008" spans="39:44" x14ac:dyDescent="0.25">
      <c r="AM1008" s="562">
        <v>44914</v>
      </c>
      <c r="AN1008" s="563">
        <v>434.81</v>
      </c>
      <c r="AO1008" s="563">
        <v>1340607</v>
      </c>
      <c r="AP1008" s="563">
        <v>301.81963000000002</v>
      </c>
      <c r="AQ1008" s="563">
        <v>131234.19332030002</v>
      </c>
      <c r="AR1008" s="563">
        <v>2.5154999999999998</v>
      </c>
    </row>
    <row r="1009" spans="39:44" x14ac:dyDescent="0.25">
      <c r="AM1009" s="562">
        <v>44913</v>
      </c>
      <c r="AN1009" s="563">
        <v>434.81</v>
      </c>
      <c r="AO1009" s="563">
        <v>1340607</v>
      </c>
      <c r="AP1009" s="563">
        <v>301.81963000000002</v>
      </c>
      <c r="AQ1009" s="563">
        <v>131234.19332030002</v>
      </c>
      <c r="AR1009" s="563">
        <v>2.5154999999999998</v>
      </c>
    </row>
    <row r="1010" spans="39:44" x14ac:dyDescent="0.25">
      <c r="AM1010" s="562">
        <v>44912</v>
      </c>
      <c r="AN1010" s="563">
        <v>442.93</v>
      </c>
      <c r="AO1010" s="563">
        <v>1200395</v>
      </c>
      <c r="AP1010" s="563">
        <v>301.81963000000002</v>
      </c>
      <c r="AQ1010" s="563">
        <v>133684.9687159</v>
      </c>
      <c r="AR1010" s="563">
        <v>2.5625</v>
      </c>
    </row>
    <row r="1011" spans="39:44" x14ac:dyDescent="0.25">
      <c r="AM1011" s="562">
        <v>44911</v>
      </c>
      <c r="AN1011" s="563">
        <v>440.65</v>
      </c>
      <c r="AO1011" s="563">
        <v>1433932</v>
      </c>
      <c r="AP1011" s="563">
        <v>301.81963000000002</v>
      </c>
      <c r="AQ1011" s="563">
        <v>132996.81995949999</v>
      </c>
      <c r="AR1011" s="563">
        <v>2.5493000000000001</v>
      </c>
    </row>
    <row r="1012" spans="39:44" x14ac:dyDescent="0.25">
      <c r="AM1012" s="562">
        <v>44910</v>
      </c>
      <c r="AN1012" s="563">
        <v>438.25</v>
      </c>
      <c r="AO1012" s="563">
        <v>1015905</v>
      </c>
      <c r="AP1012" s="563">
        <v>301.81963000000002</v>
      </c>
      <c r="AQ1012" s="563">
        <v>132272.45284750001</v>
      </c>
      <c r="AR1012" s="563">
        <v>2.5354000000000001</v>
      </c>
    </row>
    <row r="1013" spans="39:44" x14ac:dyDescent="0.25">
      <c r="AM1013" s="562">
        <v>44909</v>
      </c>
      <c r="AN1013" s="563">
        <v>436.89</v>
      </c>
      <c r="AO1013" s="563">
        <v>1467632</v>
      </c>
      <c r="AP1013" s="563">
        <v>301.81963000000002</v>
      </c>
      <c r="AQ1013" s="563">
        <v>131861.97815070002</v>
      </c>
      <c r="AR1013" s="563">
        <v>2.5276000000000001</v>
      </c>
    </row>
    <row r="1014" spans="39:44" x14ac:dyDescent="0.25">
      <c r="AM1014" s="562">
        <v>44908</v>
      </c>
      <c r="AN1014" s="563">
        <v>445.61</v>
      </c>
      <c r="AO1014" s="563">
        <v>1471215</v>
      </c>
      <c r="AP1014" s="563">
        <v>301.81963000000002</v>
      </c>
      <c r="AQ1014" s="563">
        <v>134493.84532430003</v>
      </c>
      <c r="AR1014" s="563">
        <v>2.5779999999999998</v>
      </c>
    </row>
    <row r="1015" spans="39:44" x14ac:dyDescent="0.25">
      <c r="AM1015" s="562">
        <v>44907</v>
      </c>
      <c r="AN1015" s="563">
        <v>445.61</v>
      </c>
      <c r="AO1015" s="563">
        <v>1471215</v>
      </c>
      <c r="AP1015" s="563">
        <v>301.81963000000002</v>
      </c>
      <c r="AQ1015" s="563">
        <v>134493.84532430003</v>
      </c>
      <c r="AR1015" s="563">
        <v>2.5779999999999998</v>
      </c>
    </row>
    <row r="1016" spans="39:44" x14ac:dyDescent="0.25">
      <c r="AM1016" s="562">
        <v>44906</v>
      </c>
      <c r="AN1016" s="563">
        <v>445.61</v>
      </c>
      <c r="AO1016" s="563">
        <v>1471215</v>
      </c>
      <c r="AP1016" s="563">
        <v>301.81963000000002</v>
      </c>
      <c r="AQ1016" s="563">
        <v>134493.84532430003</v>
      </c>
      <c r="AR1016" s="563">
        <v>2.5779999999999998</v>
      </c>
    </row>
    <row r="1017" spans="39:44" x14ac:dyDescent="0.25">
      <c r="AM1017" s="562">
        <v>44905</v>
      </c>
      <c r="AN1017" s="563">
        <v>441.81</v>
      </c>
      <c r="AO1017" s="563">
        <v>1747434</v>
      </c>
      <c r="AP1017" s="563">
        <v>301.81963000000002</v>
      </c>
      <c r="AQ1017" s="563">
        <v>133346.9307303</v>
      </c>
      <c r="AR1017" s="563">
        <v>2.556</v>
      </c>
    </row>
    <row r="1018" spans="39:44" x14ac:dyDescent="0.25">
      <c r="AM1018" s="562">
        <v>44904</v>
      </c>
      <c r="AN1018" s="563">
        <v>441</v>
      </c>
      <c r="AO1018" s="563">
        <v>2397248</v>
      </c>
      <c r="AP1018" s="563">
        <v>301.81963000000002</v>
      </c>
      <c r="AQ1018" s="563">
        <v>133102.45683000001</v>
      </c>
      <c r="AR1018" s="563">
        <v>2.5514000000000001</v>
      </c>
    </row>
    <row r="1019" spans="39:44" x14ac:dyDescent="0.25">
      <c r="AM1019" s="562">
        <v>44903</v>
      </c>
      <c r="AN1019" s="563">
        <v>440.97</v>
      </c>
      <c r="AO1019" s="563">
        <v>1643098</v>
      </c>
      <c r="AP1019" s="563">
        <v>301.81963000000002</v>
      </c>
      <c r="AQ1019" s="563">
        <v>133093.4022411</v>
      </c>
      <c r="AR1019" s="563">
        <v>2.5512000000000001</v>
      </c>
    </row>
    <row r="1020" spans="39:44" x14ac:dyDescent="0.25">
      <c r="AM1020" s="562">
        <v>44902</v>
      </c>
      <c r="AN1020" s="563">
        <v>441.21</v>
      </c>
      <c r="AO1020" s="563">
        <v>1978992</v>
      </c>
      <c r="AP1020" s="563">
        <v>301.81963000000002</v>
      </c>
      <c r="AQ1020" s="563">
        <v>133165.83895229999</v>
      </c>
      <c r="AR1020" s="563">
        <v>2.5526</v>
      </c>
    </row>
    <row r="1021" spans="39:44" x14ac:dyDescent="0.25">
      <c r="AM1021" s="562">
        <v>44901</v>
      </c>
      <c r="AN1021" s="563">
        <v>441.47</v>
      </c>
      <c r="AO1021" s="563">
        <v>1135508</v>
      </c>
      <c r="AP1021" s="563">
        <v>301.81963000000002</v>
      </c>
      <c r="AQ1021" s="563">
        <v>133244.31205610003</v>
      </c>
      <c r="AR1021" s="563">
        <v>2.5541</v>
      </c>
    </row>
    <row r="1022" spans="39:44" x14ac:dyDescent="0.25">
      <c r="AM1022" s="562">
        <v>44900</v>
      </c>
      <c r="AN1022" s="563">
        <v>441.47</v>
      </c>
      <c r="AO1022" s="563">
        <v>1135508</v>
      </c>
      <c r="AP1022" s="563">
        <v>301.81963000000002</v>
      </c>
      <c r="AQ1022" s="563">
        <v>133244.31205610003</v>
      </c>
      <c r="AR1022" s="563">
        <v>2.5541</v>
      </c>
    </row>
    <row r="1023" spans="39:44" x14ac:dyDescent="0.25">
      <c r="AM1023" s="562">
        <v>44899</v>
      </c>
      <c r="AN1023" s="563">
        <v>441.47</v>
      </c>
      <c r="AO1023" s="563">
        <v>1135508</v>
      </c>
      <c r="AP1023" s="563">
        <v>301.81963000000002</v>
      </c>
      <c r="AQ1023" s="563">
        <v>133244.31205610003</v>
      </c>
      <c r="AR1023" s="563">
        <v>2.5541</v>
      </c>
    </row>
    <row r="1024" spans="39:44" x14ac:dyDescent="0.25">
      <c r="AM1024" s="562">
        <v>44898</v>
      </c>
      <c r="AN1024" s="563">
        <v>437.52</v>
      </c>
      <c r="AO1024" s="563">
        <v>5080334</v>
      </c>
      <c r="AP1024" s="563">
        <v>301.81963000000002</v>
      </c>
      <c r="AQ1024" s="563">
        <v>132052.12451759999</v>
      </c>
      <c r="AR1024" s="563">
        <v>2.5312000000000001</v>
      </c>
    </row>
    <row r="1025" spans="39:44" x14ac:dyDescent="0.25">
      <c r="AM1025" s="562">
        <v>44897</v>
      </c>
      <c r="AN1025" s="563">
        <v>437.52</v>
      </c>
      <c r="AO1025" s="563">
        <v>5080334</v>
      </c>
      <c r="AP1025" s="563">
        <v>301.81963000000002</v>
      </c>
      <c r="AQ1025" s="563">
        <v>132052.12451759999</v>
      </c>
      <c r="AR1025" s="563">
        <v>2.5312000000000001</v>
      </c>
    </row>
    <row r="1026" spans="39:44" x14ac:dyDescent="0.25">
      <c r="AM1026" s="562">
        <v>44896</v>
      </c>
      <c r="AN1026" s="563">
        <v>416.56</v>
      </c>
      <c r="AO1026" s="563">
        <v>2195190</v>
      </c>
      <c r="AP1026" s="563">
        <v>301.81963000000002</v>
      </c>
      <c r="AQ1026" s="563">
        <v>125725.9850728</v>
      </c>
      <c r="AR1026" s="563">
        <v>2.41</v>
      </c>
    </row>
    <row r="1027" spans="39:44" x14ac:dyDescent="0.25">
      <c r="AM1027" s="562">
        <v>44895</v>
      </c>
      <c r="AN1027" s="563">
        <v>411.7</v>
      </c>
      <c r="AO1027" s="563">
        <v>1326097</v>
      </c>
      <c r="AP1027" s="563">
        <v>301.81963000000002</v>
      </c>
      <c r="AQ1027" s="563">
        <v>124259.141671</v>
      </c>
      <c r="AR1027" s="563">
        <v>2.3818000000000001</v>
      </c>
    </row>
    <row r="1028" spans="39:44" x14ac:dyDescent="0.25">
      <c r="AM1028" s="562">
        <v>44894</v>
      </c>
      <c r="AN1028" s="563">
        <v>414.26</v>
      </c>
      <c r="AO1028" s="563">
        <v>1590787</v>
      </c>
      <c r="AP1028" s="563">
        <v>301.81963000000002</v>
      </c>
      <c r="AQ1028" s="563">
        <v>125031.7999238</v>
      </c>
      <c r="AR1028" s="563">
        <v>2.3967000000000001</v>
      </c>
    </row>
    <row r="1029" spans="39:44" x14ac:dyDescent="0.25">
      <c r="AM1029" s="562">
        <v>44893</v>
      </c>
      <c r="AN1029" s="563">
        <v>414.26</v>
      </c>
      <c r="AO1029" s="563">
        <v>1590787</v>
      </c>
      <c r="AP1029" s="563">
        <v>301.81963000000002</v>
      </c>
      <c r="AQ1029" s="563">
        <v>125031.7999238</v>
      </c>
      <c r="AR1029" s="563">
        <v>2.3967000000000001</v>
      </c>
    </row>
    <row r="1030" spans="39:44" x14ac:dyDescent="0.25">
      <c r="AM1030" s="562">
        <v>44892</v>
      </c>
      <c r="AN1030" s="563">
        <v>414.26</v>
      </c>
      <c r="AO1030" s="563">
        <v>1590787</v>
      </c>
      <c r="AP1030" s="563">
        <v>301.81963000000002</v>
      </c>
      <c r="AQ1030" s="563">
        <v>125031.7999238</v>
      </c>
      <c r="AR1030" s="563">
        <v>2.3967000000000001</v>
      </c>
    </row>
    <row r="1031" spans="39:44" x14ac:dyDescent="0.25">
      <c r="AM1031" s="562">
        <v>44891</v>
      </c>
      <c r="AN1031" s="563">
        <v>412.99</v>
      </c>
      <c r="AO1031" s="563">
        <v>1284968</v>
      </c>
      <c r="AP1031" s="563">
        <v>301.81963000000002</v>
      </c>
      <c r="AQ1031" s="563">
        <v>124648.48899370001</v>
      </c>
      <c r="AR1031" s="563">
        <v>2.3893</v>
      </c>
    </row>
    <row r="1032" spans="39:44" x14ac:dyDescent="0.25">
      <c r="AM1032" s="562">
        <v>44890</v>
      </c>
      <c r="AN1032" s="563">
        <v>406.4</v>
      </c>
      <c r="AO1032" s="563">
        <v>1101751</v>
      </c>
      <c r="AP1032" s="563">
        <v>301.81963000000002</v>
      </c>
      <c r="AQ1032" s="563">
        <v>122659.497632</v>
      </c>
      <c r="AR1032" s="563">
        <v>2.3512</v>
      </c>
    </row>
    <row r="1033" spans="39:44" x14ac:dyDescent="0.25">
      <c r="AM1033" s="562">
        <v>44889</v>
      </c>
      <c r="AN1033" s="563">
        <v>406.97</v>
      </c>
      <c r="AO1033" s="563">
        <v>1701117</v>
      </c>
      <c r="AP1033" s="563">
        <v>301.81963000000002</v>
      </c>
      <c r="AQ1033" s="563">
        <v>122831.53482110001</v>
      </c>
      <c r="AR1033" s="563">
        <v>2.3544999999999998</v>
      </c>
    </row>
    <row r="1034" spans="39:44" x14ac:dyDescent="0.25">
      <c r="AM1034" s="562">
        <v>44888</v>
      </c>
      <c r="AN1034" s="563">
        <v>406.94</v>
      </c>
      <c r="AO1034" s="563">
        <v>2035739</v>
      </c>
      <c r="AP1034" s="563">
        <v>301.81963000000002</v>
      </c>
      <c r="AQ1034" s="563">
        <v>122822.4802322</v>
      </c>
      <c r="AR1034" s="563">
        <v>2.3542999999999998</v>
      </c>
    </row>
    <row r="1035" spans="39:44" x14ac:dyDescent="0.25">
      <c r="AM1035" s="562">
        <v>44887</v>
      </c>
      <c r="AN1035" s="563">
        <v>406.03</v>
      </c>
      <c r="AO1035" s="563">
        <v>1519266</v>
      </c>
      <c r="AP1035" s="563">
        <v>301.81963000000002</v>
      </c>
      <c r="AQ1035" s="563">
        <v>122547.82436889999</v>
      </c>
      <c r="AR1035" s="563">
        <v>2.3490000000000002</v>
      </c>
    </row>
    <row r="1036" spans="39:44" x14ac:dyDescent="0.25">
      <c r="AM1036" s="562">
        <v>44886</v>
      </c>
      <c r="AN1036" s="563">
        <v>406.03</v>
      </c>
      <c r="AO1036" s="563">
        <v>1519266</v>
      </c>
      <c r="AP1036" s="563">
        <v>301.81963000000002</v>
      </c>
      <c r="AQ1036" s="563">
        <v>122547.82436889999</v>
      </c>
      <c r="AR1036" s="563">
        <v>2.3490000000000002</v>
      </c>
    </row>
    <row r="1037" spans="39:44" x14ac:dyDescent="0.25">
      <c r="AM1037" s="562">
        <v>44885</v>
      </c>
      <c r="AN1037" s="563">
        <v>406.03</v>
      </c>
      <c r="AO1037" s="563">
        <v>1519266</v>
      </c>
      <c r="AP1037" s="563">
        <v>301.81963000000002</v>
      </c>
      <c r="AQ1037" s="563">
        <v>122547.82436889999</v>
      </c>
      <c r="AR1037" s="563">
        <v>2.3490000000000002</v>
      </c>
    </row>
    <row r="1038" spans="39:44" x14ac:dyDescent="0.25">
      <c r="AM1038" s="562">
        <v>44884</v>
      </c>
      <c r="AN1038" s="563">
        <v>407.61</v>
      </c>
      <c r="AO1038" s="563">
        <v>2370890</v>
      </c>
      <c r="AP1038" s="563">
        <v>301.81963000000002</v>
      </c>
      <c r="AQ1038" s="563">
        <v>123024.69938430001</v>
      </c>
      <c r="AR1038" s="563">
        <v>2.3582000000000001</v>
      </c>
    </row>
    <row r="1039" spans="39:44" x14ac:dyDescent="0.25">
      <c r="AM1039" s="562">
        <v>44883</v>
      </c>
      <c r="AN1039" s="563">
        <v>397.09</v>
      </c>
      <c r="AO1039" s="563">
        <v>2182767</v>
      </c>
      <c r="AP1039" s="563">
        <v>301.81963000000002</v>
      </c>
      <c r="AQ1039" s="563">
        <v>119849.55687669999</v>
      </c>
      <c r="AR1039" s="563">
        <v>2.2972999999999999</v>
      </c>
    </row>
    <row r="1040" spans="39:44" x14ac:dyDescent="0.25">
      <c r="AM1040" s="562">
        <v>44882</v>
      </c>
      <c r="AN1040" s="563">
        <v>404.57</v>
      </c>
      <c r="AO1040" s="563">
        <v>1360751</v>
      </c>
      <c r="AP1040" s="563">
        <v>301.81963000000002</v>
      </c>
      <c r="AQ1040" s="563">
        <v>122107.1677091</v>
      </c>
      <c r="AR1040" s="563">
        <v>2.3405999999999998</v>
      </c>
    </row>
    <row r="1041" spans="39:44" x14ac:dyDescent="0.25">
      <c r="AM1041" s="562">
        <v>44881</v>
      </c>
      <c r="AN1041" s="563">
        <v>398.77</v>
      </c>
      <c r="AO1041" s="563">
        <v>1186329</v>
      </c>
      <c r="AP1041" s="563">
        <v>301.81963000000002</v>
      </c>
      <c r="AQ1041" s="563">
        <v>120356.6138551</v>
      </c>
      <c r="AR1041" s="563">
        <v>2.3069999999999999</v>
      </c>
    </row>
    <row r="1042" spans="39:44" x14ac:dyDescent="0.25">
      <c r="AM1042" s="562">
        <v>44880</v>
      </c>
      <c r="AN1042" s="563">
        <v>395.09</v>
      </c>
      <c r="AO1042" s="563">
        <v>1548572</v>
      </c>
      <c r="AP1042" s="563">
        <v>301.81963000000002</v>
      </c>
      <c r="AQ1042" s="563">
        <v>119245.9176167</v>
      </c>
      <c r="AR1042" s="563">
        <v>2.2856999999999998</v>
      </c>
    </row>
    <row r="1043" spans="39:44" x14ac:dyDescent="0.25">
      <c r="AM1043" s="562">
        <v>44879</v>
      </c>
      <c r="AN1043" s="563">
        <v>395.09</v>
      </c>
      <c r="AO1043" s="563">
        <v>1548572</v>
      </c>
      <c r="AP1043" s="563">
        <v>301.81963000000002</v>
      </c>
      <c r="AQ1043" s="563">
        <v>119245.9176167</v>
      </c>
      <c r="AR1043" s="563">
        <v>2.2856999999999998</v>
      </c>
    </row>
    <row r="1044" spans="39:44" x14ac:dyDescent="0.25">
      <c r="AM1044" s="562">
        <v>44878</v>
      </c>
      <c r="AN1044" s="563">
        <v>395.09</v>
      </c>
      <c r="AO1044" s="563">
        <v>1548572</v>
      </c>
      <c r="AP1044" s="563">
        <v>301.81963000000002</v>
      </c>
      <c r="AQ1044" s="563">
        <v>119245.9176167</v>
      </c>
      <c r="AR1044" s="563">
        <v>2.2856999999999998</v>
      </c>
    </row>
    <row r="1045" spans="39:44" x14ac:dyDescent="0.25">
      <c r="AM1045" s="562">
        <v>44877</v>
      </c>
      <c r="AN1045" s="563">
        <v>393.63</v>
      </c>
      <c r="AO1045" s="563">
        <v>1627470</v>
      </c>
      <c r="AP1045" s="563">
        <v>301.81963000000002</v>
      </c>
      <c r="AQ1045" s="563">
        <v>118805.26095690001</v>
      </c>
      <c r="AR1045" s="563">
        <v>2.2772999999999999</v>
      </c>
    </row>
    <row r="1046" spans="39:44" x14ac:dyDescent="0.25">
      <c r="AM1046" s="562">
        <v>44876</v>
      </c>
      <c r="AN1046" s="563">
        <v>385.95</v>
      </c>
      <c r="AO1046" s="563">
        <v>1719635</v>
      </c>
      <c r="AP1046" s="563">
        <v>301.81963000000002</v>
      </c>
      <c r="AQ1046" s="563">
        <v>116487.28619850001</v>
      </c>
      <c r="AR1046" s="563">
        <v>2.2328999999999999</v>
      </c>
    </row>
    <row r="1047" spans="39:44" x14ac:dyDescent="0.25">
      <c r="AM1047" s="562">
        <v>44875</v>
      </c>
      <c r="AN1047" s="563">
        <v>388.71</v>
      </c>
      <c r="AO1047" s="563">
        <v>2269091</v>
      </c>
      <c r="AP1047" s="563">
        <v>301.81963000000002</v>
      </c>
      <c r="AQ1047" s="563">
        <v>117320.3083773</v>
      </c>
      <c r="AR1047" s="563">
        <v>2.2488000000000001</v>
      </c>
    </row>
    <row r="1048" spans="39:44" x14ac:dyDescent="0.25">
      <c r="AM1048" s="562">
        <v>44874</v>
      </c>
      <c r="AN1048" s="563">
        <v>395.82</v>
      </c>
      <c r="AO1048" s="563">
        <v>1638382</v>
      </c>
      <c r="AP1048" s="563">
        <v>301.81963000000002</v>
      </c>
      <c r="AQ1048" s="563">
        <v>119466.2459466</v>
      </c>
      <c r="AR1048" s="563">
        <v>2.29</v>
      </c>
    </row>
    <row r="1049" spans="39:44" x14ac:dyDescent="0.25">
      <c r="AM1049" s="562">
        <v>44873</v>
      </c>
      <c r="AN1049" s="563">
        <v>396.85</v>
      </c>
      <c r="AO1049" s="563">
        <v>1712291</v>
      </c>
      <c r="AP1049" s="563">
        <v>301.81963000000002</v>
      </c>
      <c r="AQ1049" s="563">
        <v>119777.12016550002</v>
      </c>
      <c r="AR1049" s="563">
        <v>2.5148999999999999</v>
      </c>
    </row>
    <row r="1050" spans="39:44" x14ac:dyDescent="0.25">
      <c r="AM1050" s="562">
        <v>44872</v>
      </c>
      <c r="AN1050" s="563">
        <v>396.85</v>
      </c>
      <c r="AO1050" s="563">
        <v>1712291</v>
      </c>
      <c r="AP1050" s="563">
        <v>301.81963000000002</v>
      </c>
      <c r="AQ1050" s="563">
        <v>119777.12016550002</v>
      </c>
      <c r="AR1050" s="563">
        <v>2.5148999999999999</v>
      </c>
    </row>
    <row r="1051" spans="39:44" x14ac:dyDescent="0.25">
      <c r="AM1051" s="562">
        <v>44871</v>
      </c>
      <c r="AN1051" s="563">
        <v>396.85</v>
      </c>
      <c r="AO1051" s="563">
        <v>1712291</v>
      </c>
      <c r="AP1051" s="563">
        <v>301.81963000000002</v>
      </c>
      <c r="AQ1051" s="563">
        <v>119777.12016550002</v>
      </c>
      <c r="AR1051" s="563">
        <v>2.5148999999999999</v>
      </c>
    </row>
    <row r="1052" spans="39:44" x14ac:dyDescent="0.25">
      <c r="AN1052" s="774" t="s">
        <v>255</v>
      </c>
      <c r="AP1052" s="774" t="s">
        <v>865</v>
      </c>
      <c r="AQ1052" s="774" t="s">
        <v>866</v>
      </c>
    </row>
  </sheetData>
  <mergeCells count="5">
    <mergeCell ref="C3:H3"/>
    <mergeCell ref="J3:O3"/>
    <mergeCell ref="Y3:AD3"/>
    <mergeCell ref="AF3:AK3"/>
    <mergeCell ref="R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79CB92-5331-4E6D-BCCA-3ED810C77402}">
  <ds:schemaRefs>
    <ds:schemaRef ds:uri="http://schemas.openxmlformats.org/package/2006/metadata/core-properties"/>
    <ds:schemaRef ds:uri="8c89d0e4-a8d9-42ba-a773-c59a56f7723e"/>
    <ds:schemaRef ds:uri="http://purl.org/dc/dcmitype/"/>
    <ds:schemaRef ds:uri="http://purl.org/dc/elements/1.1/"/>
    <ds:schemaRef ds:uri="http://schemas.microsoft.com/office/2006/metadata/properties"/>
    <ds:schemaRef ds:uri="6ba73c8a-1af7-4183-b158-1cd1291da2b6"/>
    <ds:schemaRef ds:uri="http://schemas.microsoft.com/office/2006/documentManagement/types"/>
    <ds:schemaRef ds:uri="http://purl.org/dc/term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4BB988D-8D01-4A93-B497-E21446BB3F17}">
  <ds:schemaRefs>
    <ds:schemaRef ds:uri="http://schemas.microsoft.com/sharepoint/v3/contenttype/forms"/>
  </ds:schemaRefs>
</ds:datastoreItem>
</file>

<file path=customXml/itemProps3.xml><?xml version="1.0" encoding="utf-8"?>
<ds:datastoreItem xmlns:ds="http://schemas.openxmlformats.org/officeDocument/2006/customXml" ds:itemID="{BF949B8D-E3C6-4017-9340-D0E0185A6C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Key Info</vt:lpstr>
      <vt:lpstr>Industry</vt:lpstr>
      <vt:lpstr>Segments</vt:lpstr>
      <vt:lpstr>Trading Comps</vt:lpstr>
      <vt:lpstr>Peers</vt:lpstr>
      <vt:lpstr>ESG</vt:lpstr>
      <vt:lpstr>WACC</vt:lpstr>
      <vt:lpstr>FCFF</vt:lpstr>
      <vt:lpstr>LBO</vt:lpstr>
      <vt:lpstr>Sensitivity</vt:lpstr>
      <vt:lpstr>IS</vt:lpstr>
      <vt:lpstr>BS</vt:lpstr>
      <vt:lpstr>CF</vt:lpstr>
      <vt:lpstr>Error Check</vt:lpstr>
      <vt:lpstr>Inputs</vt:lpstr>
      <vt:lpstr>Stock Data</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Daniel Filipe Cristóvão da Cruz</cp:lastModifiedBy>
  <cp:revision/>
  <dcterms:created xsi:type="dcterms:W3CDTF">2025-02-25T16:23:47Z</dcterms:created>
  <dcterms:modified xsi:type="dcterms:W3CDTF">2025-10-18T18:27:34Z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