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omments1.xml" ContentType="application/vnd.openxmlformats-officedocument.spreadsheetml.comment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omments2.xml" ContentType="application/vnd.openxmlformats-officedocument.spreadsheetml.comment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comments4.xml" ContentType="application/vnd.openxmlformats-officedocument.spreadsheetml.comment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comments5.xml" ContentType="application/vnd.openxmlformats-officedocument.spreadsheetml.comments+xml"/>
  <Override PartName="/xl/drawings/drawing11.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omments6.xml" ContentType="application/vnd.openxmlformats-officedocument.spreadsheetml.comment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7.xml" ContentType="application/vnd.openxmlformats-officedocument.drawing+xml"/>
  <Override PartName="/xl/comments7.xml" ContentType="application/vnd.openxmlformats-officedocument.spreadsheetml.comment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0"/>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Research/Equity Research/25-26/1st cycle/Team 03 - José Godinho/"/>
    </mc:Choice>
  </mc:AlternateContent>
  <xr:revisionPtr revIDLastSave="5439" documentId="13_ncr:1_{48849C4B-F37B-4F5F-8923-98FE47568654}" xr6:coauthVersionLast="47" xr6:coauthVersionMax="47" xr10:uidLastSave="{98471C51-5AA5-46AC-B561-4CAD77019D8B}"/>
  <bookViews>
    <workbookView xWindow="0" yWindow="500" windowWidth="28800" windowHeight="16540" tabRatio="731" firstSheet="4" activeTab="4" xr2:uid="{00000000-000D-0000-FFFF-FFFF00000000}"/>
  </bookViews>
  <sheets>
    <sheet name="Dashboard" sheetId="66" r:id="rId1"/>
    <sheet name="Key Info" sheetId="85" r:id="rId2"/>
    <sheet name="Industry" sheetId="3" r:id="rId3"/>
    <sheet name="ESG" sheetId="2" r:id="rId4"/>
    <sheet name="Segments" sheetId="84" r:id="rId5"/>
    <sheet name="Trading Comps" sheetId="87" r:id="rId6"/>
    <sheet name="Peers" sheetId="89" r:id="rId7"/>
    <sheet name="WACC" sheetId="6" r:id="rId8"/>
    <sheet name="Debt" sheetId="93" r:id="rId9"/>
    <sheet name="FCFF" sheetId="78" r:id="rId10"/>
    <sheet name="Sensitivity" sheetId="91" r:id="rId11"/>
    <sheet name="IS" sheetId="74" r:id="rId12"/>
    <sheet name="BS" sheetId="76" r:id="rId13"/>
    <sheet name="CF" sheetId="77" r:id="rId14"/>
    <sheet name="Error Check" sheetId="79" r:id="rId15"/>
    <sheet name="Inputs" sheetId="83" r:id="rId16"/>
    <sheet name="Stock Data" sheetId="86" r:id="rId17"/>
    <sheet name="Graficos" sheetId="92" r:id="rId18"/>
  </sheets>
  <definedNames>
    <definedName name="COOLFUCNTION" comment="No description available" localSheetId="12">_xlfn.LAMBDA(_xldudf_BOARDFLARE_EXEC("workbook-settings:coolfucntion"))</definedName>
    <definedName name="COOLFUCNTION" comment="No description available" localSheetId="13">_xlfn.LAMBDA(_xldudf_BOARDFLARE_EXEC("workbook-settings:coolfucntion"))</definedName>
    <definedName name="COOLFUCNTION" comment="No description available" localSheetId="14">_xlfn.LAMBDA(_xldudf_BOARDFLARE_EXEC("workbook-settings:coolfucntion"))</definedName>
    <definedName name="COOLFUCNTION" comment="No description available" localSheetId="3">_xlfn.LAMBDA(_xldudf_BOARDFLARE_EXEC("workbook-settings:coolfucntion"))</definedName>
    <definedName name="COOLFUCNTION" comment="No description available" localSheetId="9">_xlfn.LAMBDA(_xldudf_BOARDFLARE_EXEC("workbook-settings:coolfucntion"))</definedName>
    <definedName name="COOLFUCNTION" comment="No description available" localSheetId="2">_xlfn.LAMBDA(_xldudf_BOARDFLARE_EXEC("workbook-settings:coolfucntion"))</definedName>
    <definedName name="COOLFUCNTION" comment="No description available" localSheetId="11">_xlfn.LAMBDA(_xldudf_BOARDFLARE_EXEC("workbook-settings:coolfucntion"))</definedName>
    <definedName name="COOLFUCNTION" comment="No description available" localSheetId="4">_xlfn.LAMBDA(_xldudf_BOARDFLARE_EXEC("workbook-settings:coolfucntion"))</definedName>
    <definedName name="COOLFUCNTION" comment="No description available" localSheetId="7">_xlfn.LAMBDA(_xldudf_BOARDFLARE_EXEC("workbook-settings:coolfucntion"))</definedName>
    <definedName name="COOLFUCNTION" comment="No description available">_xlfn.LAMBDA(_xldudf_BOARDFLARE_EXEC("workbook-settings:coolfucntion"))</definedName>
    <definedName name="HTML_CodePage" hidden="1">1252</definedName>
    <definedName name="HTML_Control" localSheetId="12" hidden="1">{"'Sheet1'!$A$1:$H$145"}</definedName>
    <definedName name="HTML_Control" localSheetId="13" hidden="1">{"'Sheet1'!$A$1:$H$145"}</definedName>
    <definedName name="HTML_Control" localSheetId="14" hidden="1">{"'Sheet1'!$A$1:$H$145"}</definedName>
    <definedName name="HTML_Control" localSheetId="3" hidden="1">{"'Sheet1'!$A$1:$H$145"}</definedName>
    <definedName name="HTML_Control" localSheetId="9" hidden="1">{"'Sheet1'!$A$1:$H$145"}</definedName>
    <definedName name="HTML_Control" localSheetId="2" hidden="1">{"'Sheet1'!$A$1:$H$145"}</definedName>
    <definedName name="HTML_Control" localSheetId="11" hidden="1">{"'Sheet1'!$A$1:$H$145"}</definedName>
    <definedName name="HTML_Control" localSheetId="4" hidden="1">{"'Sheet1'!$A$1:$H$145"}</definedName>
    <definedName name="HTML_Control" localSheetId="7" hidden="1">{"'Sheet1'!$A$1:$H$145"}</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HD:HomePageStuff:New_Home_Page:datafile:ctryprem.html"</definedName>
    <definedName name="HTML_Title" hidden="1">"Country Risk Premiums"</definedName>
    <definedName name="Sectors" localSheetId="12">#REF!</definedName>
    <definedName name="Sectors" localSheetId="13">#REF!</definedName>
    <definedName name="Sectors" localSheetId="14">#REF!</definedName>
    <definedName name="Sectors" localSheetId="3">#REF!</definedName>
    <definedName name="Sectors" localSheetId="9">#REF!</definedName>
    <definedName name="Sectors" localSheetId="11">#REF!</definedName>
    <definedName name="Sectors" localSheetId="4">#REF!</definedName>
    <definedName name="Sectors">#REF!</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8" i="78" l="1"/>
  <c r="E58" i="78"/>
  <c r="D58" i="78"/>
  <c r="G58" i="78" s="1"/>
  <c r="L46" i="78"/>
  <c r="K46" i="78"/>
  <c r="J46" i="78"/>
  <c r="H46" i="78"/>
  <c r="E47" i="78"/>
  <c r="D46" i="78"/>
  <c r="D47" i="78" s="1"/>
  <c r="F46" i="78"/>
  <c r="F47" i="78" s="1"/>
  <c r="G47" i="78"/>
  <c r="G46" i="78" s="1"/>
  <c r="G48" i="78" s="1"/>
  <c r="H47" i="78"/>
  <c r="E30" i="6"/>
  <c r="F30" i="6"/>
  <c r="G30" i="6"/>
  <c r="H30" i="6"/>
  <c r="L204" i="78"/>
  <c r="L205" i="78"/>
  <c r="L206" i="78"/>
  <c r="L207" i="78"/>
  <c r="L203" i="78"/>
  <c r="L208" i="78" s="1"/>
  <c r="K203" i="78"/>
  <c r="F20" i="87"/>
  <c r="AF202" i="78"/>
  <c r="Z202" i="78"/>
  <c r="F13" i="93"/>
  <c r="AO116" i="92"/>
  <c r="AI62" i="92"/>
  <c r="AK62" i="92" s="1"/>
  <c r="AC62" i="92"/>
  <c r="AE62" i="92" s="1"/>
  <c r="O62" i="92"/>
  <c r="U62" i="92" s="1"/>
  <c r="AA62" i="92" s="1"/>
  <c r="AG62" i="92" s="1"/>
  <c r="X62" i="92"/>
  <c r="W62" i="92"/>
  <c r="Y62" i="92" s="1"/>
  <c r="V62" i="92"/>
  <c r="Q62" i="92"/>
  <c r="P62" i="92" s="1"/>
  <c r="K62" i="92"/>
  <c r="M62" i="92" s="1"/>
  <c r="E62" i="92"/>
  <c r="F62" i="92" s="1"/>
  <c r="N44" i="92"/>
  <c r="H16" i="85"/>
  <c r="F28" i="6"/>
  <c r="G28" i="6"/>
  <c r="H28" i="6"/>
  <c r="E28" i="6"/>
  <c r="AJ13" i="93"/>
  <c r="AJ12" i="93" s="1"/>
  <c r="AR19" i="93"/>
  <c r="AQ19" i="93"/>
  <c r="AQ10" i="93"/>
  <c r="AL9" i="93"/>
  <c r="B19" i="93"/>
  <c r="C19" i="93"/>
  <c r="D19" i="93"/>
  <c r="E19" i="93"/>
  <c r="F19" i="93"/>
  <c r="H19" i="93"/>
  <c r="I19" i="93"/>
  <c r="J19" i="93"/>
  <c r="K19" i="93"/>
  <c r="L19" i="93"/>
  <c r="N19" i="93"/>
  <c r="O19" i="93"/>
  <c r="P19" i="93"/>
  <c r="Q19" i="93"/>
  <c r="R19" i="93"/>
  <c r="T19" i="93"/>
  <c r="U19" i="93"/>
  <c r="V19" i="93"/>
  <c r="W19" i="93"/>
  <c r="X19" i="93"/>
  <c r="Z19" i="93"/>
  <c r="AA19" i="93"/>
  <c r="AB19" i="93"/>
  <c r="AC19" i="93"/>
  <c r="AD19" i="93"/>
  <c r="AF19" i="93"/>
  <c r="AG19" i="93"/>
  <c r="A19" i="93"/>
  <c r="D30" i="6"/>
  <c r="B10" i="93"/>
  <c r="C10" i="93"/>
  <c r="D10" i="93"/>
  <c r="E10" i="93"/>
  <c r="F10" i="93"/>
  <c r="H10" i="93"/>
  <c r="I10" i="93"/>
  <c r="J10" i="93"/>
  <c r="K10" i="93"/>
  <c r="L10" i="93"/>
  <c r="G10" i="93" s="1"/>
  <c r="N10" i="93"/>
  <c r="O10" i="93"/>
  <c r="P10" i="93"/>
  <c r="Q10" i="93"/>
  <c r="R10" i="93"/>
  <c r="M10" i="93" s="1"/>
  <c r="T10" i="93"/>
  <c r="U10" i="93"/>
  <c r="V10" i="93"/>
  <c r="W10" i="93"/>
  <c r="X10" i="93"/>
  <c r="S10" i="93" s="1"/>
  <c r="Z10" i="93"/>
  <c r="AA10" i="93"/>
  <c r="AB10" i="93"/>
  <c r="AC10" i="93"/>
  <c r="AD10" i="93"/>
  <c r="Y10" i="93" s="1"/>
  <c r="AF10" i="93"/>
  <c r="AG10" i="93"/>
  <c r="A10" i="93"/>
  <c r="B12" i="93"/>
  <c r="B13" i="93" s="1"/>
  <c r="C12" i="93"/>
  <c r="C13" i="93" s="1"/>
  <c r="D12" i="93"/>
  <c r="D13" i="93" s="1"/>
  <c r="E12" i="93"/>
  <c r="E13" i="93" s="1"/>
  <c r="F12" i="93"/>
  <c r="H12" i="93"/>
  <c r="H13" i="93" s="1"/>
  <c r="I12" i="93"/>
  <c r="I13" i="93" s="1"/>
  <c r="J12" i="93"/>
  <c r="J13" i="93" s="1"/>
  <c r="K12" i="93"/>
  <c r="K13" i="93" s="1"/>
  <c r="L12" i="93"/>
  <c r="L13" i="93" s="1"/>
  <c r="N12" i="93"/>
  <c r="N13" i="93" s="1"/>
  <c r="O12" i="93"/>
  <c r="O13" i="93" s="1"/>
  <c r="P12" i="93"/>
  <c r="P13" i="93" s="1"/>
  <c r="Q12" i="93"/>
  <c r="Q13" i="93" s="1"/>
  <c r="R12" i="93"/>
  <c r="R13" i="93" s="1"/>
  <c r="T12" i="93"/>
  <c r="T13" i="93" s="1"/>
  <c r="U12" i="93"/>
  <c r="U13" i="93" s="1"/>
  <c r="V12" i="93"/>
  <c r="V13" i="93" s="1"/>
  <c r="W12" i="93"/>
  <c r="W13" i="93" s="1"/>
  <c r="X12" i="93"/>
  <c r="X13" i="93" s="1"/>
  <c r="Z12" i="93"/>
  <c r="Z13" i="93" s="1"/>
  <c r="AA12" i="93"/>
  <c r="AA13" i="93" s="1"/>
  <c r="AB12" i="93"/>
  <c r="AB13" i="93" s="1"/>
  <c r="AC12" i="93"/>
  <c r="AC13" i="93" s="1"/>
  <c r="AD12" i="93"/>
  <c r="AD13" i="93" s="1"/>
  <c r="AF12" i="93"/>
  <c r="AF13" i="93" s="1"/>
  <c r="AG12" i="93"/>
  <c r="AG13" i="93" s="1"/>
  <c r="A12" i="93"/>
  <c r="H8" i="93"/>
  <c r="N8" i="93"/>
  <c r="T8" i="93"/>
  <c r="Z8" i="93"/>
  <c r="AF8" i="93"/>
  <c r="C9" i="93"/>
  <c r="D9" i="93"/>
  <c r="E9" i="93"/>
  <c r="F9" i="93"/>
  <c r="H9" i="93"/>
  <c r="I9" i="93"/>
  <c r="J9" i="93"/>
  <c r="K9" i="93"/>
  <c r="L9" i="93"/>
  <c r="N9" i="93"/>
  <c r="O9" i="93"/>
  <c r="P9" i="93"/>
  <c r="Q9" i="93"/>
  <c r="R9" i="93"/>
  <c r="T9" i="93"/>
  <c r="U9" i="93"/>
  <c r="V9" i="93"/>
  <c r="W9" i="93"/>
  <c r="X9" i="93"/>
  <c r="Z9" i="93"/>
  <c r="AA9" i="93"/>
  <c r="AB9" i="93"/>
  <c r="AC9" i="93"/>
  <c r="AD9" i="93"/>
  <c r="AF9" i="93"/>
  <c r="AG9" i="93"/>
  <c r="B9" i="93"/>
  <c r="B8" i="93"/>
  <c r="D31" i="6"/>
  <c r="AB181" i="78"/>
  <c r="AF206" i="78"/>
  <c r="AF212" i="78"/>
  <c r="G57" i="78" l="1"/>
  <c r="H58" i="78"/>
  <c r="J58" i="78"/>
  <c r="J47" i="78"/>
  <c r="K204" i="78"/>
  <c r="K205" i="78"/>
  <c r="K206" i="78"/>
  <c r="K207" i="78"/>
  <c r="AB62" i="92"/>
  <c r="AD62" i="92"/>
  <c r="G62" i="92"/>
  <c r="R62" i="92"/>
  <c r="J62" i="92"/>
  <c r="S62" i="92"/>
  <c r="L62" i="92"/>
  <c r="D62" i="92"/>
  <c r="AP13" i="93"/>
  <c r="AR13" i="93" s="1"/>
  <c r="AT19" i="93"/>
  <c r="AS19" i="93" s="1"/>
  <c r="AV19" i="93" s="1"/>
  <c r="AU19" i="93" s="1"/>
  <c r="AJ10" i="93"/>
  <c r="AE10" i="93" s="1"/>
  <c r="AD21" i="93"/>
  <c r="Y19" i="93"/>
  <c r="X21" i="93"/>
  <c r="S19" i="93"/>
  <c r="R21" i="93"/>
  <c r="M19" i="93"/>
  <c r="L21" i="93"/>
  <c r="G19" i="93"/>
  <c r="AJ19" i="93" s="1"/>
  <c r="AJ21" i="93" s="1"/>
  <c r="F21" i="93"/>
  <c r="AK19" i="93"/>
  <c r="AE19" i="93"/>
  <c r="G14" i="93"/>
  <c r="Z212" i="78"/>
  <c r="Z206" i="78"/>
  <c r="AF208" i="78"/>
  <c r="Z208" i="78"/>
  <c r="AL212" i="78"/>
  <c r="H20" i="85"/>
  <c r="H21" i="85"/>
  <c r="J57" i="78" l="1"/>
  <c r="H57" i="78"/>
  <c r="K58" i="78"/>
  <c r="K47" i="78"/>
  <c r="K208" i="78"/>
  <c r="AR12" i="93"/>
  <c r="AT13" i="93"/>
  <c r="AP12" i="93"/>
  <c r="AP10" i="93"/>
  <c r="AK10" i="93" s="1"/>
  <c r="AP19" i="93"/>
  <c r="E31" i="6"/>
  <c r="AL206" i="78"/>
  <c r="AL208" i="78"/>
  <c r="K57" i="78" l="1"/>
  <c r="L58" i="78"/>
  <c r="L57" i="78" s="1"/>
  <c r="L47" i="78"/>
  <c r="AT12" i="93"/>
  <c r="AV13" i="93"/>
  <c r="AP21" i="93"/>
  <c r="AR10" i="93"/>
  <c r="J18" i="83"/>
  <c r="M14" i="83"/>
  <c r="Z201" i="78"/>
  <c r="AO196" i="78"/>
  <c r="AO194" i="78"/>
  <c r="D207" i="78"/>
  <c r="G44" i="78"/>
  <c r="H44" i="78" s="1"/>
  <c r="M13" i="6"/>
  <c r="M12" i="6"/>
  <c r="Q133" i="83"/>
  <c r="R133" i="83"/>
  <c r="S133" i="83"/>
  <c r="T133" i="83"/>
  <c r="U133" i="83" s="1"/>
  <c r="V133" i="83" s="1"/>
  <c r="W133" i="83" s="1"/>
  <c r="H133" i="83"/>
  <c r="I133" i="83" s="1"/>
  <c r="J133" i="83" s="1"/>
  <c r="K133" i="83" s="1"/>
  <c r="L133" i="83"/>
  <c r="M133" i="83" s="1"/>
  <c r="N133" i="83" s="1"/>
  <c r="B117" i="83"/>
  <c r="B106" i="83"/>
  <c r="B95" i="83"/>
  <c r="E95" i="83"/>
  <c r="F95" i="83"/>
  <c r="G95" i="83"/>
  <c r="H95" i="83" s="1"/>
  <c r="I95" i="83" s="1"/>
  <c r="J95" i="83" s="1"/>
  <c r="K95" i="83" s="1"/>
  <c r="L95" i="83" s="1"/>
  <c r="M95" i="83" s="1"/>
  <c r="N95" i="83" s="1"/>
  <c r="B84" i="83"/>
  <c r="F73" i="83"/>
  <c r="G73" i="83"/>
  <c r="H73" i="83"/>
  <c r="I73" i="83"/>
  <c r="J73" i="83" s="1"/>
  <c r="K73" i="83" s="1"/>
  <c r="L73" i="83" s="1"/>
  <c r="M73" i="83" s="1"/>
  <c r="N73" i="83" s="1"/>
  <c r="B73" i="83"/>
  <c r="F62" i="83"/>
  <c r="G62" i="83"/>
  <c r="H62" i="83" s="1"/>
  <c r="I62" i="83" s="1"/>
  <c r="J62" i="83" s="1"/>
  <c r="K62" i="83"/>
  <c r="L62" i="83"/>
  <c r="M62" i="83"/>
  <c r="N62" i="83"/>
  <c r="B62" i="83"/>
  <c r="J17" i="83"/>
  <c r="M16" i="83"/>
  <c r="J16" i="83"/>
  <c r="M15" i="83"/>
  <c r="J15" i="83"/>
  <c r="J14" i="83"/>
  <c r="J13" i="83"/>
  <c r="AV12" i="93" l="1"/>
  <c r="AR21" i="93"/>
  <c r="AO198" i="78"/>
  <c r="J44" i="78"/>
  <c r="K44" i="78" s="1"/>
  <c r="L44" i="78" s="1"/>
  <c r="L32" i="78" s="1"/>
  <c r="AX16" i="84" s="1"/>
  <c r="H45" i="78"/>
  <c r="M12" i="3"/>
  <c r="F32" i="6"/>
  <c r="W144" i="78"/>
  <c r="AL28" i="74"/>
  <c r="AF28" i="74"/>
  <c r="Z28" i="74"/>
  <c r="T28" i="74"/>
  <c r="G45" i="78"/>
  <c r="E59" i="78"/>
  <c r="F59" i="78"/>
  <c r="D59" i="78"/>
  <c r="G24" i="3"/>
  <c r="F24" i="3" s="1"/>
  <c r="B12" i="78" a="1"/>
  <c r="B12" i="78" s="1"/>
  <c r="AF75" i="78"/>
  <c r="AF78" i="78"/>
  <c r="L16" i="78"/>
  <c r="D22" i="78"/>
  <c r="E22" i="78"/>
  <c r="F22" i="78"/>
  <c r="F20" i="78"/>
  <c r="F18" i="78"/>
  <c r="F52" i="78" s="1"/>
  <c r="G52" i="78" s="1"/>
  <c r="H52" i="78" s="1"/>
  <c r="J52" i="78" s="1"/>
  <c r="K52" i="78" s="1"/>
  <c r="D14" i="78"/>
  <c r="L14" i="78"/>
  <c r="G22" i="78"/>
  <c r="G16" i="78"/>
  <c r="H22" i="3"/>
  <c r="H24" i="3" s="1"/>
  <c r="H24" i="78" s="1"/>
  <c r="B28" i="78" a="1"/>
  <c r="B28" i="78" s="1"/>
  <c r="E18" i="3"/>
  <c r="D18" i="3" s="1"/>
  <c r="D18" i="78" s="1"/>
  <c r="D52" i="78" s="1"/>
  <c r="E20" i="3"/>
  <c r="G20" i="3"/>
  <c r="G20" i="78" s="1"/>
  <c r="F16" i="3"/>
  <c r="F16" i="78" s="1"/>
  <c r="E14" i="3"/>
  <c r="E14" i="78"/>
  <c r="G18" i="3"/>
  <c r="G18" i="78" s="1"/>
  <c r="H16" i="3"/>
  <c r="H16" i="78" s="1"/>
  <c r="C44" i="3"/>
  <c r="D44" i="3"/>
  <c r="E12" i="3"/>
  <c r="E12" i="78"/>
  <c r="G32" i="78"/>
  <c r="AL16" i="84" s="1"/>
  <c r="G24" i="78"/>
  <c r="H32" i="78"/>
  <c r="AR16" i="84" s="1"/>
  <c r="D12" i="3"/>
  <c r="D12" i="78"/>
  <c r="H20" i="3"/>
  <c r="H20" i="78" s="1"/>
  <c r="F14" i="3"/>
  <c r="F14" i="78"/>
  <c r="E44" i="3"/>
  <c r="H110" i="78"/>
  <c r="D89" i="78"/>
  <c r="H25" i="85"/>
  <c r="H31" i="85"/>
  <c r="H22" i="85"/>
  <c r="AL188" i="78"/>
  <c r="H23" i="85"/>
  <c r="S7" i="83"/>
  <c r="B30" i="83" s="1"/>
  <c r="H30" i="85"/>
  <c r="H27" i="85"/>
  <c r="H28" i="85"/>
  <c r="H26" i="85"/>
  <c r="D16" i="6"/>
  <c r="Y188" i="78"/>
  <c r="J32" i="78"/>
  <c r="AT16" i="84" s="1"/>
  <c r="F44" i="3"/>
  <c r="F12" i="3"/>
  <c r="F12" i="78"/>
  <c r="G14" i="3"/>
  <c r="G14" i="78"/>
  <c r="G44" i="3"/>
  <c r="G12" i="3"/>
  <c r="G12" i="78"/>
  <c r="H14" i="3"/>
  <c r="H14" i="78"/>
  <c r="L45" i="78"/>
  <c r="K45" i="78"/>
  <c r="H44" i="3"/>
  <c r="H12" i="3"/>
  <c r="H12" i="78"/>
  <c r="I14" i="3"/>
  <c r="J14" i="78"/>
  <c r="I44" i="3"/>
  <c r="I12" i="3"/>
  <c r="J12" i="78"/>
  <c r="J14" i="3"/>
  <c r="K14" i="78"/>
  <c r="J44" i="3"/>
  <c r="J12" i="3"/>
  <c r="K12" i="78"/>
  <c r="K44" i="3"/>
  <c r="K12" i="3"/>
  <c r="L12" i="78"/>
  <c r="AT44" i="78"/>
  <c r="AU44" i="78" s="1"/>
  <c r="AV44" i="78" s="1"/>
  <c r="AW44" i="78" s="1"/>
  <c r="AX44" i="78" s="1"/>
  <c r="AY44" i="78" s="1"/>
  <c r="AZ44" i="78" s="1"/>
  <c r="R203" i="78"/>
  <c r="W153" i="78"/>
  <c r="J156" i="78"/>
  <c r="T156" i="78"/>
  <c r="V153" i="78"/>
  <c r="F153" i="78"/>
  <c r="T153" i="78"/>
  <c r="L153" i="78"/>
  <c r="L156" i="78"/>
  <c r="Q156" i="78"/>
  <c r="J153" i="78"/>
  <c r="D156" i="78"/>
  <c r="E156" i="78"/>
  <c r="M153" i="78"/>
  <c r="R156" i="78"/>
  <c r="D153" i="78"/>
  <c r="D28" i="6"/>
  <c r="N153" i="78"/>
  <c r="M156" i="78"/>
  <c r="P156" i="78"/>
  <c r="W156" i="78"/>
  <c r="F156" i="78"/>
  <c r="V156" i="78"/>
  <c r="E153" i="78"/>
  <c r="H153" i="78"/>
  <c r="S153" i="78"/>
  <c r="Q153" i="78"/>
  <c r="P153" i="78"/>
  <c r="G156" i="78"/>
  <c r="R153" i="78"/>
  <c r="N156" i="78"/>
  <c r="G153" i="78"/>
  <c r="K156" i="78"/>
  <c r="S156" i="78"/>
  <c r="K153" i="78"/>
  <c r="H156" i="78"/>
  <c r="F20" i="85"/>
  <c r="J122" i="78"/>
  <c r="J123" i="78" s="1"/>
  <c r="M122" i="78"/>
  <c r="D122" i="78"/>
  <c r="D123" i="78" s="1"/>
  <c r="V122" i="78"/>
  <c r="V123" i="78" s="1"/>
  <c r="Q122" i="78"/>
  <c r="Q123" i="78" s="1"/>
  <c r="E122" i="78"/>
  <c r="K122" i="78"/>
  <c r="K123" i="78" s="1"/>
  <c r="P122" i="78"/>
  <c r="W122" i="78"/>
  <c r="F122" i="78"/>
  <c r="L122" i="78"/>
  <c r="G122" i="78"/>
  <c r="S122" i="78"/>
  <c r="R122" i="78"/>
  <c r="R123" i="78" s="1"/>
  <c r="D92" i="78"/>
  <c r="H32" i="6"/>
  <c r="G32" i="6"/>
  <c r="K16" i="6"/>
  <c r="K15" i="6"/>
  <c r="K14" i="6"/>
  <c r="K13" i="6"/>
  <c r="K12" i="6"/>
  <c r="O9" i="6"/>
  <c r="P9" i="6"/>
  <c r="Q9" i="6"/>
  <c r="R9" i="6"/>
  <c r="F31" i="6"/>
  <c r="G31" i="6"/>
  <c r="H31" i="6"/>
  <c r="H33" i="6" s="1"/>
  <c r="E9" i="6"/>
  <c r="F9" i="6"/>
  <c r="G9" i="6"/>
  <c r="H9" i="6"/>
  <c r="C193" i="66"/>
  <c r="A61" i="83"/>
  <c r="M16" i="3"/>
  <c r="M14" i="3"/>
  <c r="E9" i="3"/>
  <c r="F9" i="3"/>
  <c r="G9" i="3"/>
  <c r="H9" i="3"/>
  <c r="I9" i="3"/>
  <c r="J9" i="3"/>
  <c r="K9" i="3"/>
  <c r="M9" i="3"/>
  <c r="J8" i="84"/>
  <c r="P8" i="84"/>
  <c r="V8" i="84"/>
  <c r="AB8" i="84"/>
  <c r="AH8" i="84"/>
  <c r="AN8" i="84"/>
  <c r="AT8" i="84"/>
  <c r="AV8" i="84"/>
  <c r="AX8" i="84"/>
  <c r="AR7" i="84"/>
  <c r="AQ7" i="84"/>
  <c r="AO7" i="84"/>
  <c r="AN7" i="84"/>
  <c r="AL7" i="84"/>
  <c r="AK7" i="84"/>
  <c r="AI7" i="84"/>
  <c r="AH7" i="84"/>
  <c r="AF7" i="84"/>
  <c r="AE7" i="84"/>
  <c r="AC7" i="84"/>
  <c r="AB7" i="84"/>
  <c r="Z7" i="84"/>
  <c r="Y7" i="84"/>
  <c r="W7" i="84"/>
  <c r="V7" i="84"/>
  <c r="T7" i="84"/>
  <c r="S7" i="84"/>
  <c r="Q7" i="84"/>
  <c r="P7" i="84"/>
  <c r="N7" i="84"/>
  <c r="M7" i="84"/>
  <c r="K7" i="84"/>
  <c r="J7" i="84"/>
  <c r="H7" i="84"/>
  <c r="G7" i="84"/>
  <c r="E7" i="84"/>
  <c r="D7" i="84"/>
  <c r="N17" i="79"/>
  <c r="AF13" i="79"/>
  <c r="AF17" i="79"/>
  <c r="AL16" i="79"/>
  <c r="AR15" i="79"/>
  <c r="N14" i="79"/>
  <c r="T13" i="79"/>
  <c r="T17" i="79"/>
  <c r="Z16" i="79"/>
  <c r="AF15" i="79"/>
  <c r="AR13" i="79"/>
  <c r="AR17" i="79"/>
  <c r="AF16" i="79"/>
  <c r="H17" i="79"/>
  <c r="N16" i="79"/>
  <c r="T16" i="79"/>
  <c r="N15" i="79"/>
  <c r="T14" i="79"/>
  <c r="Z13" i="79"/>
  <c r="Z17" i="79"/>
  <c r="AL15" i="79"/>
  <c r="Z15" i="79"/>
  <c r="AR16" i="79"/>
  <c r="T15" i="79"/>
  <c r="N13" i="79"/>
  <c r="AL17" i="79"/>
  <c r="AR14" i="79"/>
  <c r="AL13" i="79"/>
  <c r="AL14" i="79"/>
  <c r="AF14" i="79"/>
  <c r="Z14" i="79"/>
  <c r="AD18" i="84"/>
  <c r="AD26" i="84"/>
  <c r="AD68" i="79"/>
  <c r="R26" i="84"/>
  <c r="R18" i="84"/>
  <c r="R68" i="79"/>
  <c r="F26" i="84"/>
  <c r="F18" i="84"/>
  <c r="F68" i="79"/>
  <c r="X26" i="84"/>
  <c r="X18" i="84"/>
  <c r="X68" i="79"/>
  <c r="L18" i="84"/>
  <c r="L26" i="84"/>
  <c r="L68" i="79"/>
  <c r="AF166" i="78"/>
  <c r="E32" i="6" s="1"/>
  <c r="AF140" i="78"/>
  <c r="AF123" i="78"/>
  <c r="Z120" i="78"/>
  <c r="AF120" i="78"/>
  <c r="W95" i="78"/>
  <c r="W96" i="78" s="1"/>
  <c r="V95" i="78"/>
  <c r="W92" i="78"/>
  <c r="V92" i="78"/>
  <c r="R105" i="78"/>
  <c r="R104" i="78"/>
  <c r="T95" i="78"/>
  <c r="S95" i="78"/>
  <c r="R95" i="78"/>
  <c r="Q95" i="78"/>
  <c r="P95" i="78"/>
  <c r="T92" i="78"/>
  <c r="S92" i="78"/>
  <c r="R92" i="78"/>
  <c r="Q92" i="78"/>
  <c r="P92" i="78"/>
  <c r="L105" i="78"/>
  <c r="L104" i="78"/>
  <c r="N95" i="78"/>
  <c r="M95" i="78"/>
  <c r="L95" i="78"/>
  <c r="L96" i="78" s="1"/>
  <c r="K95" i="78"/>
  <c r="J95" i="78"/>
  <c r="N92" i="78"/>
  <c r="M92" i="78"/>
  <c r="L92" i="78"/>
  <c r="K92" i="78"/>
  <c r="J92" i="78"/>
  <c r="AX68" i="79"/>
  <c r="AT68" i="79"/>
  <c r="H95" i="78"/>
  <c r="G95" i="78"/>
  <c r="G96" i="78" s="1"/>
  <c r="F95" i="78"/>
  <c r="F96" i="78" s="1"/>
  <c r="E95" i="78"/>
  <c r="H92" i="78"/>
  <c r="G92" i="78"/>
  <c r="F92" i="78"/>
  <c r="E92" i="78"/>
  <c r="D95" i="78"/>
  <c r="D96" i="78" s="1"/>
  <c r="AD181" i="78"/>
  <c r="AF181" i="78" s="1"/>
  <c r="X181" i="78"/>
  <c r="AD160" i="78"/>
  <c r="AF160" i="78" s="1"/>
  <c r="X160" i="78"/>
  <c r="Y160" i="78" s="1"/>
  <c r="R160" i="78"/>
  <c r="S160" i="78" s="1"/>
  <c r="L160" i="78"/>
  <c r="N160" i="78" s="1"/>
  <c r="F160" i="78"/>
  <c r="H160" i="78" s="1"/>
  <c r="D160" i="78"/>
  <c r="AM64" i="78"/>
  <c r="AD64" i="78"/>
  <c r="AF64" i="78" s="1"/>
  <c r="X64" i="78"/>
  <c r="Y64" i="78" s="1"/>
  <c r="R64" i="78"/>
  <c r="T64" i="78" s="1"/>
  <c r="L64" i="78"/>
  <c r="K64" i="78"/>
  <c r="D64" i="78"/>
  <c r="F64" i="78"/>
  <c r="H64" i="78" s="1"/>
  <c r="E8" i="78"/>
  <c r="F8" i="78" s="1"/>
  <c r="G8" i="78" s="1"/>
  <c r="J162" i="79"/>
  <c r="P162" i="79"/>
  <c r="V162" i="79"/>
  <c r="AB162" i="79"/>
  <c r="AH162" i="79"/>
  <c r="AN162" i="79"/>
  <c r="AT162" i="79"/>
  <c r="AV162" i="79"/>
  <c r="AX162" i="79"/>
  <c r="AR161" i="79"/>
  <c r="AQ161" i="79"/>
  <c r="AO161" i="79"/>
  <c r="AN161" i="79"/>
  <c r="AL161" i="79"/>
  <c r="AK161" i="79"/>
  <c r="AI161" i="79"/>
  <c r="AH161" i="79"/>
  <c r="AF161" i="79"/>
  <c r="AE161" i="79"/>
  <c r="AC161" i="79"/>
  <c r="AB161" i="79"/>
  <c r="Z161" i="79"/>
  <c r="Y161" i="79"/>
  <c r="W161" i="79"/>
  <c r="V161" i="79"/>
  <c r="T161" i="79"/>
  <c r="S161" i="79"/>
  <c r="Q161" i="79"/>
  <c r="P161" i="79"/>
  <c r="N161" i="79"/>
  <c r="M161" i="79"/>
  <c r="K161" i="79"/>
  <c r="J161" i="79"/>
  <c r="H161" i="79"/>
  <c r="G161" i="79"/>
  <c r="E161" i="79"/>
  <c r="J120" i="79"/>
  <c r="P120" i="79"/>
  <c r="V120" i="79"/>
  <c r="AB120" i="79"/>
  <c r="AH120" i="79"/>
  <c r="AN120" i="79"/>
  <c r="AT120" i="79"/>
  <c r="AV120" i="79"/>
  <c r="AX120" i="79"/>
  <c r="AR119" i="79"/>
  <c r="AQ119" i="79"/>
  <c r="AO119" i="79"/>
  <c r="AN119" i="79"/>
  <c r="AL119" i="79"/>
  <c r="AK119" i="79"/>
  <c r="AI119" i="79"/>
  <c r="AH119" i="79"/>
  <c r="AF119" i="79"/>
  <c r="AE119" i="79"/>
  <c r="AC119" i="79"/>
  <c r="AB119" i="79"/>
  <c r="Z119" i="79"/>
  <c r="Y119" i="79"/>
  <c r="W119" i="79"/>
  <c r="V119" i="79"/>
  <c r="T119" i="79"/>
  <c r="S119" i="79"/>
  <c r="Q119" i="79"/>
  <c r="P119" i="79"/>
  <c r="N119" i="79"/>
  <c r="M119" i="79"/>
  <c r="K119" i="79"/>
  <c r="J119" i="79"/>
  <c r="H119" i="79"/>
  <c r="G119" i="79"/>
  <c r="E119" i="79"/>
  <c r="D119" i="79"/>
  <c r="J90" i="79"/>
  <c r="P90" i="79"/>
  <c r="V90" i="79"/>
  <c r="AB90" i="79"/>
  <c r="AH90" i="79"/>
  <c r="AN90" i="79"/>
  <c r="AT90" i="79"/>
  <c r="AV90" i="79"/>
  <c r="AX90" i="79"/>
  <c r="AR89" i="79"/>
  <c r="AQ89" i="79"/>
  <c r="AO89" i="79"/>
  <c r="AN89" i="79"/>
  <c r="AL89" i="79"/>
  <c r="AK89" i="79"/>
  <c r="AI89" i="79"/>
  <c r="AH89" i="79"/>
  <c r="AF89" i="79"/>
  <c r="AE89" i="79"/>
  <c r="AC89" i="79"/>
  <c r="AB89" i="79"/>
  <c r="Z89" i="79"/>
  <c r="Y89" i="79"/>
  <c r="W89" i="79"/>
  <c r="V89" i="79"/>
  <c r="T89" i="79"/>
  <c r="S89" i="79"/>
  <c r="Q89" i="79"/>
  <c r="P89" i="79"/>
  <c r="N89" i="79"/>
  <c r="M89" i="79"/>
  <c r="K89" i="79"/>
  <c r="J89" i="79"/>
  <c r="H89" i="79"/>
  <c r="G89" i="79"/>
  <c r="E89" i="79"/>
  <c r="D89" i="79"/>
  <c r="J63" i="79"/>
  <c r="P63" i="79"/>
  <c r="V63" i="79"/>
  <c r="AB63" i="79"/>
  <c r="AH63" i="79"/>
  <c r="AN63" i="79"/>
  <c r="AT63" i="79"/>
  <c r="AV63" i="79"/>
  <c r="AX63" i="79"/>
  <c r="AR62" i="79"/>
  <c r="AQ62" i="79"/>
  <c r="AO62" i="79"/>
  <c r="AN62" i="79"/>
  <c r="AL62" i="79"/>
  <c r="AK62" i="79"/>
  <c r="AI62" i="79"/>
  <c r="AH62" i="79"/>
  <c r="AF62" i="79"/>
  <c r="AE62" i="79"/>
  <c r="AC62" i="79"/>
  <c r="AB62" i="79"/>
  <c r="Z62" i="79"/>
  <c r="Y62" i="79"/>
  <c r="W62" i="79"/>
  <c r="V62" i="79"/>
  <c r="T62" i="79"/>
  <c r="S62" i="79"/>
  <c r="Q62" i="79"/>
  <c r="P62" i="79"/>
  <c r="N62" i="79"/>
  <c r="M62" i="79"/>
  <c r="K62" i="79"/>
  <c r="J62" i="79"/>
  <c r="H62" i="79"/>
  <c r="G62" i="79"/>
  <c r="E62" i="79"/>
  <c r="D62" i="79"/>
  <c r="J8" i="79"/>
  <c r="P8" i="79"/>
  <c r="V8" i="79"/>
  <c r="AB8" i="79"/>
  <c r="AH8" i="79"/>
  <c r="AN8" i="79"/>
  <c r="AT8" i="79"/>
  <c r="AV8" i="79"/>
  <c r="AX8" i="79"/>
  <c r="AR7" i="79"/>
  <c r="AQ7" i="79"/>
  <c r="AO7" i="79"/>
  <c r="AN7" i="79"/>
  <c r="AL7" i="79"/>
  <c r="AK7" i="79"/>
  <c r="AI7" i="79"/>
  <c r="AH7" i="79"/>
  <c r="AF7" i="79"/>
  <c r="AE7" i="79"/>
  <c r="AC7" i="79"/>
  <c r="AB7" i="79"/>
  <c r="Z7" i="79"/>
  <c r="Y7" i="79"/>
  <c r="W7" i="79"/>
  <c r="V7" i="79"/>
  <c r="T7" i="79"/>
  <c r="S7" i="79"/>
  <c r="Q7" i="79"/>
  <c r="P7" i="79"/>
  <c r="N7" i="79"/>
  <c r="M7" i="79"/>
  <c r="K7" i="79"/>
  <c r="J7" i="79"/>
  <c r="H7" i="79"/>
  <c r="G7" i="79"/>
  <c r="E7" i="79"/>
  <c r="D7" i="79"/>
  <c r="AX177" i="79"/>
  <c r="AX176" i="79"/>
  <c r="AX174" i="79"/>
  <c r="AX168" i="79"/>
  <c r="AV177" i="79"/>
  <c r="AV176" i="79"/>
  <c r="AV174" i="79"/>
  <c r="AV168" i="79"/>
  <c r="AT177" i="79"/>
  <c r="AT176" i="79"/>
  <c r="AT174" i="79"/>
  <c r="AT168" i="79"/>
  <c r="AR177" i="79"/>
  <c r="AQ177" i="79"/>
  <c r="AP177" i="79"/>
  <c r="AO177" i="79"/>
  <c r="AN177" i="79"/>
  <c r="AR176" i="79"/>
  <c r="AQ176" i="79"/>
  <c r="AP176" i="79"/>
  <c r="AO176" i="79"/>
  <c r="AN176" i="79"/>
  <c r="AR174" i="79"/>
  <c r="AQ174" i="79"/>
  <c r="AP174" i="79"/>
  <c r="AO174" i="79"/>
  <c r="AN174" i="79"/>
  <c r="AL177" i="79"/>
  <c r="AK177" i="79"/>
  <c r="AJ177" i="79"/>
  <c r="AL176" i="79"/>
  <c r="AK176" i="79"/>
  <c r="AL174" i="79"/>
  <c r="AK174" i="79"/>
  <c r="AJ174" i="79"/>
  <c r="AX98" i="79"/>
  <c r="AX97" i="79"/>
  <c r="AV97" i="79"/>
  <c r="AT97" i="79"/>
  <c r="AR97" i="79"/>
  <c r="AQ97" i="79"/>
  <c r="AP97" i="79"/>
  <c r="AO97" i="79"/>
  <c r="AN97" i="79"/>
  <c r="AL97" i="79"/>
  <c r="AK97" i="79"/>
  <c r="AJ97" i="79"/>
  <c r="AX159" i="79"/>
  <c r="AX157" i="79"/>
  <c r="AX155" i="79"/>
  <c r="AX154" i="79"/>
  <c r="AX153" i="79"/>
  <c r="AX152" i="79"/>
  <c r="AX151" i="79"/>
  <c r="AX150" i="79"/>
  <c r="AX149" i="79"/>
  <c r="AX146" i="79"/>
  <c r="AX145" i="79"/>
  <c r="AX144" i="79"/>
  <c r="AX143" i="79"/>
  <c r="AX142" i="79"/>
  <c r="AX141" i="79"/>
  <c r="AX140" i="79"/>
  <c r="AX135" i="79"/>
  <c r="AX134" i="79"/>
  <c r="AX133" i="79"/>
  <c r="AX132" i="79"/>
  <c r="AX131" i="79"/>
  <c r="AX129" i="79"/>
  <c r="AX128" i="79"/>
  <c r="AX127" i="79"/>
  <c r="AX125" i="79"/>
  <c r="AV159" i="79"/>
  <c r="AV157" i="79"/>
  <c r="AV155" i="79"/>
  <c r="AV154" i="79"/>
  <c r="AV153" i="79"/>
  <c r="AV152" i="79"/>
  <c r="AV151" i="79"/>
  <c r="AV150" i="79"/>
  <c r="AV149" i="79"/>
  <c r="AV146" i="79"/>
  <c r="AV145" i="79"/>
  <c r="AV144" i="79"/>
  <c r="AV143" i="79"/>
  <c r="AV142" i="79"/>
  <c r="AV141" i="79"/>
  <c r="AV140" i="79"/>
  <c r="AV135" i="79"/>
  <c r="AV129" i="79"/>
  <c r="AV125" i="79"/>
  <c r="AT159" i="79"/>
  <c r="AT157" i="79"/>
  <c r="AT155" i="79"/>
  <c r="AT154" i="79"/>
  <c r="AT153" i="79"/>
  <c r="AT152" i="79"/>
  <c r="AT151" i="79"/>
  <c r="AT150" i="79"/>
  <c r="AT149" i="79"/>
  <c r="AT146" i="79"/>
  <c r="AT145" i="79"/>
  <c r="AT144" i="79"/>
  <c r="AT143" i="79"/>
  <c r="AT142" i="79"/>
  <c r="AT141" i="79"/>
  <c r="AT140" i="79"/>
  <c r="AT135" i="79"/>
  <c r="AT129" i="79"/>
  <c r="AT125" i="79"/>
  <c r="AR159" i="79"/>
  <c r="AR157" i="79"/>
  <c r="AR155" i="79"/>
  <c r="AR154" i="79"/>
  <c r="AR153" i="79"/>
  <c r="AR152" i="79"/>
  <c r="AR151" i="79"/>
  <c r="AR150" i="79"/>
  <c r="AR149" i="79"/>
  <c r="AR146" i="79"/>
  <c r="AR145" i="79"/>
  <c r="AR144" i="79"/>
  <c r="AR143" i="79"/>
  <c r="AR142" i="79"/>
  <c r="AR141" i="79"/>
  <c r="AR140" i="79"/>
  <c r="AR135" i="79"/>
  <c r="AR129" i="79"/>
  <c r="AR125" i="79"/>
  <c r="AX117" i="79"/>
  <c r="AX116" i="79"/>
  <c r="AX113" i="79"/>
  <c r="AX112" i="79"/>
  <c r="AX109" i="79"/>
  <c r="AX104" i="79"/>
  <c r="AX103" i="79"/>
  <c r="AX102" i="79"/>
  <c r="AX101" i="79"/>
  <c r="AV117" i="79"/>
  <c r="AV116" i="79"/>
  <c r="AV113" i="79"/>
  <c r="AV112" i="79"/>
  <c r="AV104" i="79"/>
  <c r="AT117" i="79"/>
  <c r="AT116" i="79"/>
  <c r="AT113" i="79"/>
  <c r="AT112" i="79"/>
  <c r="AT104" i="79"/>
  <c r="AR117" i="79"/>
  <c r="AQ117" i="79"/>
  <c r="AP117" i="79"/>
  <c r="AO117" i="79"/>
  <c r="AN117" i="79"/>
  <c r="AR116" i="79"/>
  <c r="AQ116" i="79"/>
  <c r="AP116" i="79"/>
  <c r="AO116" i="79"/>
  <c r="AN116" i="79"/>
  <c r="AR113" i="79"/>
  <c r="AQ113" i="79"/>
  <c r="AP113" i="79"/>
  <c r="AO113" i="79"/>
  <c r="AN113" i="79"/>
  <c r="AR112" i="79"/>
  <c r="AQ112" i="79"/>
  <c r="AP112" i="79"/>
  <c r="AO112" i="79"/>
  <c r="AN112" i="79"/>
  <c r="AR104" i="79"/>
  <c r="AQ104" i="79"/>
  <c r="AP104" i="79"/>
  <c r="AO104" i="79"/>
  <c r="AN104" i="79"/>
  <c r="AL117" i="79"/>
  <c r="AK117" i="79"/>
  <c r="AJ117" i="79"/>
  <c r="AL116" i="79"/>
  <c r="AK116" i="79"/>
  <c r="AJ116" i="79"/>
  <c r="AL113" i="79"/>
  <c r="AK113" i="79"/>
  <c r="AJ113" i="79"/>
  <c r="AL112" i="79"/>
  <c r="AK112" i="79"/>
  <c r="AJ112" i="79"/>
  <c r="AL104" i="79"/>
  <c r="AK104" i="79"/>
  <c r="AJ104" i="79"/>
  <c r="AX83" i="79"/>
  <c r="AX80" i="79"/>
  <c r="AV83" i="79"/>
  <c r="AV80" i="79"/>
  <c r="AT83" i="79"/>
  <c r="AT80" i="79"/>
  <c r="AR83" i="79"/>
  <c r="AQ83" i="79"/>
  <c r="AP83" i="79"/>
  <c r="AO83" i="79"/>
  <c r="AN83" i="79"/>
  <c r="AR80" i="79"/>
  <c r="AQ80" i="79"/>
  <c r="AP80" i="79"/>
  <c r="AO80" i="79"/>
  <c r="AN80" i="79"/>
  <c r="AL83" i="79"/>
  <c r="AK83" i="79"/>
  <c r="AJ83" i="79"/>
  <c r="AL80" i="79"/>
  <c r="AK80" i="79"/>
  <c r="AJ80" i="79"/>
  <c r="AR56" i="79"/>
  <c r="AR55" i="79"/>
  <c r="AR52" i="79"/>
  <c r="AR51" i="79"/>
  <c r="AR50" i="79"/>
  <c r="AR47" i="79"/>
  <c r="AR46" i="79"/>
  <c r="AR45" i="79"/>
  <c r="AR42" i="79"/>
  <c r="AR41" i="79"/>
  <c r="AR40" i="79"/>
  <c r="AR39" i="79"/>
  <c r="AR38" i="79"/>
  <c r="AR37" i="79"/>
  <c r="AR36" i="79"/>
  <c r="AR32" i="79"/>
  <c r="H13" i="79"/>
  <c r="H14" i="79"/>
  <c r="H15" i="79"/>
  <c r="H16" i="79"/>
  <c r="AR18" i="79"/>
  <c r="AP171" i="79"/>
  <c r="AP26" i="84"/>
  <c r="AP18" i="84"/>
  <c r="AP68" i="79"/>
  <c r="AQ18" i="84"/>
  <c r="AQ26" i="84"/>
  <c r="AQ68" i="79"/>
  <c r="AV68" i="79"/>
  <c r="AO18" i="84"/>
  <c r="AO26" i="84"/>
  <c r="AO68" i="79"/>
  <c r="AN18" i="84"/>
  <c r="AN26" i="84"/>
  <c r="AN68" i="79"/>
  <c r="AJ18" i="84"/>
  <c r="AJ26" i="84"/>
  <c r="AJ68" i="79"/>
  <c r="AK26" i="84"/>
  <c r="AK18" i="84"/>
  <c r="AK68" i="79"/>
  <c r="AK171" i="79"/>
  <c r="AO171" i="79"/>
  <c r="AX171" i="79"/>
  <c r="AV171" i="79"/>
  <c r="AQ171" i="79"/>
  <c r="AR139" i="79"/>
  <c r="AN171" i="79"/>
  <c r="AT171" i="79"/>
  <c r="AX139" i="79"/>
  <c r="AJ171" i="79"/>
  <c r="AV98" i="79"/>
  <c r="Z160" i="78"/>
  <c r="J64" i="78"/>
  <c r="M64" i="78"/>
  <c r="N64" i="78"/>
  <c r="J160" i="78"/>
  <c r="W160" i="78"/>
  <c r="AC64" i="78"/>
  <c r="AE64" i="78"/>
  <c r="AJ98" i="79"/>
  <c r="AT139" i="79"/>
  <c r="AR68" i="79"/>
  <c r="AV139" i="79"/>
  <c r="AV109" i="79"/>
  <c r="AT131" i="79"/>
  <c r="AT109" i="79"/>
  <c r="AX138" i="79"/>
  <c r="AT98" i="79"/>
  <c r="AO98" i="79"/>
  <c r="AO109" i="79"/>
  <c r="AL98" i="79"/>
  <c r="AK98" i="79"/>
  <c r="AP109" i="79"/>
  <c r="AP98" i="79"/>
  <c r="AQ98" i="79"/>
  <c r="AN109" i="79"/>
  <c r="AN98" i="79"/>
  <c r="AR21" i="79"/>
  <c r="AJ109" i="79"/>
  <c r="AQ71" i="79"/>
  <c r="D97" i="79"/>
  <c r="AV131" i="79"/>
  <c r="AR109" i="79"/>
  <c r="AR131" i="79"/>
  <c r="AV134" i="79"/>
  <c r="AQ109" i="79"/>
  <c r="AK109" i="79"/>
  <c r="AV128" i="79"/>
  <c r="AR128" i="79"/>
  <c r="AV71" i="79"/>
  <c r="AT128" i="79"/>
  <c r="AR30" i="79"/>
  <c r="AX71" i="79"/>
  <c r="AV132" i="79"/>
  <c r="AR138" i="79"/>
  <c r="AR171" i="79"/>
  <c r="AT138" i="79"/>
  <c r="AV138" i="79"/>
  <c r="AT133" i="79"/>
  <c r="AL109" i="79"/>
  <c r="AR98" i="79"/>
  <c r="AP71" i="79"/>
  <c r="AO71" i="79"/>
  <c r="AR27" i="79"/>
  <c r="AK71" i="79"/>
  <c r="AJ71" i="79"/>
  <c r="D98" i="79"/>
  <c r="AR134" i="79"/>
  <c r="AT134" i="79"/>
  <c r="AV133" i="79"/>
  <c r="AR133" i="79"/>
  <c r="AT132" i="79"/>
  <c r="AR132" i="79"/>
  <c r="AR24" i="79"/>
  <c r="AR22" i="79"/>
  <c r="AN71" i="79"/>
  <c r="AT71" i="79"/>
  <c r="E68" i="79"/>
  <c r="G68" i="79"/>
  <c r="G18" i="84"/>
  <c r="G26" i="84"/>
  <c r="E18" i="84"/>
  <c r="E26" i="84"/>
  <c r="H68" i="79"/>
  <c r="H18" i="84"/>
  <c r="H26" i="84"/>
  <c r="H80" i="79"/>
  <c r="H87" i="79"/>
  <c r="AR29" i="79"/>
  <c r="AR23" i="79"/>
  <c r="AR71" i="79"/>
  <c r="R113" i="78"/>
  <c r="R110" i="78"/>
  <c r="H77" i="79"/>
  <c r="H71" i="79"/>
  <c r="H86" i="79"/>
  <c r="H83" i="79"/>
  <c r="H74" i="79"/>
  <c r="AD97" i="79"/>
  <c r="H125" i="79"/>
  <c r="N125" i="79"/>
  <c r="S134" i="78"/>
  <c r="S170" i="78" s="1"/>
  <c r="Q134" i="78"/>
  <c r="Q170" i="78" s="1"/>
  <c r="R134" i="78"/>
  <c r="P134" i="78"/>
  <c r="P170" i="78" s="1"/>
  <c r="M134" i="78"/>
  <c r="K134" i="78"/>
  <c r="K170" i="78" s="1"/>
  <c r="W134" i="78"/>
  <c r="W170" i="78" s="1"/>
  <c r="V134" i="78"/>
  <c r="V170" i="78" s="1"/>
  <c r="L134" i="78"/>
  <c r="L170" i="78" s="1"/>
  <c r="J134" i="78"/>
  <c r="E134" i="78"/>
  <c r="E170" i="78"/>
  <c r="F134" i="78"/>
  <c r="F170" i="78" s="1"/>
  <c r="G134" i="78"/>
  <c r="G170" i="78"/>
  <c r="D134" i="78"/>
  <c r="D170" i="78" s="1"/>
  <c r="AL125" i="79"/>
  <c r="T125" i="79"/>
  <c r="N127" i="79"/>
  <c r="AF125" i="79"/>
  <c r="H127" i="79"/>
  <c r="Z125" i="79"/>
  <c r="H128" i="79"/>
  <c r="N128" i="79"/>
  <c r="AL128" i="79"/>
  <c r="L137" i="78"/>
  <c r="P137" i="78"/>
  <c r="P172" i="78" s="1"/>
  <c r="K137" i="78"/>
  <c r="K172" i="78" s="1"/>
  <c r="J137" i="78"/>
  <c r="J172" i="78" s="1"/>
  <c r="Q137" i="78"/>
  <c r="Q172" i="78" s="1"/>
  <c r="S137" i="78"/>
  <c r="M137" i="78"/>
  <c r="W137" i="78"/>
  <c r="W172" i="78" s="1"/>
  <c r="R137" i="78"/>
  <c r="V137" i="78"/>
  <c r="V172" i="78" s="1"/>
  <c r="AF127" i="79"/>
  <c r="T134" i="78"/>
  <c r="T170" i="78" s="1"/>
  <c r="R170" i="78"/>
  <c r="Z127" i="79"/>
  <c r="N134" i="78"/>
  <c r="G137" i="78"/>
  <c r="G172" i="78" s="1"/>
  <c r="E137" i="78"/>
  <c r="E172" i="78" s="1"/>
  <c r="F137" i="78"/>
  <c r="D137" i="78"/>
  <c r="T127" i="79"/>
  <c r="H134" i="78"/>
  <c r="H129" i="79"/>
  <c r="N129" i="79"/>
  <c r="F172" i="78"/>
  <c r="L172" i="78"/>
  <c r="R172" i="78"/>
  <c r="D172" i="78"/>
  <c r="Z128" i="79"/>
  <c r="N137" i="78"/>
  <c r="N172" i="78" s="1"/>
  <c r="AF128" i="79"/>
  <c r="T137" i="78"/>
  <c r="T172" i="78" s="1"/>
  <c r="T128" i="79"/>
  <c r="H137" i="78"/>
  <c r="H172" i="78" s="1"/>
  <c r="AL129" i="79"/>
  <c r="AF129" i="79"/>
  <c r="Z129" i="79"/>
  <c r="T129" i="79"/>
  <c r="H131" i="79"/>
  <c r="N131" i="79"/>
  <c r="H132" i="79"/>
  <c r="N132" i="79"/>
  <c r="AF131" i="79"/>
  <c r="Z131" i="79"/>
  <c r="T131" i="79"/>
  <c r="AF132" i="79"/>
  <c r="Z132" i="79"/>
  <c r="T132" i="79"/>
  <c r="H133" i="79"/>
  <c r="N133" i="79"/>
  <c r="V144" i="78"/>
  <c r="V174" i="78" s="1"/>
  <c r="Q144" i="78"/>
  <c r="Q174" i="78"/>
  <c r="P144" i="78"/>
  <c r="P174" i="78" s="1"/>
  <c r="J144" i="78"/>
  <c r="J174" i="78" s="1"/>
  <c r="M144" i="78"/>
  <c r="L144" i="78"/>
  <c r="L174" i="78" s="1"/>
  <c r="S144" i="78"/>
  <c r="S174" i="78" s="1"/>
  <c r="K144" i="78"/>
  <c r="K174" i="78" s="1"/>
  <c r="R144" i="78"/>
  <c r="W174" i="78"/>
  <c r="J168" i="79"/>
  <c r="K168" i="79"/>
  <c r="G144" i="78"/>
  <c r="M168" i="79"/>
  <c r="F144" i="78"/>
  <c r="F174" i="78" s="1"/>
  <c r="L168" i="79"/>
  <c r="E144" i="78"/>
  <c r="E174" i="78" s="1"/>
  <c r="D144" i="78"/>
  <c r="D174" i="78" s="1"/>
  <c r="F168" i="79"/>
  <c r="E168" i="79"/>
  <c r="D168" i="79"/>
  <c r="G168" i="79"/>
  <c r="AF134" i="79"/>
  <c r="T134" i="79"/>
  <c r="Z133" i="79"/>
  <c r="H134" i="79"/>
  <c r="Z134" i="79"/>
  <c r="N134" i="79"/>
  <c r="T133" i="79"/>
  <c r="S150" i="78"/>
  <c r="Q150" i="78"/>
  <c r="P150" i="78"/>
  <c r="P147" i="78"/>
  <c r="Q147" i="78"/>
  <c r="J147" i="78"/>
  <c r="W150" i="78"/>
  <c r="V147" i="78"/>
  <c r="M147" i="78"/>
  <c r="V150" i="78"/>
  <c r="K147" i="78"/>
  <c r="K150" i="78"/>
  <c r="W147" i="78"/>
  <c r="W176" i="78" s="1"/>
  <c r="M150" i="78"/>
  <c r="L147" i="78"/>
  <c r="L150" i="78"/>
  <c r="S147" i="78"/>
  <c r="R150" i="78"/>
  <c r="R147" i="78"/>
  <c r="J150" i="78"/>
  <c r="AF133" i="79"/>
  <c r="T144" i="78"/>
  <c r="T174" i="78" s="1"/>
  <c r="N144" i="78"/>
  <c r="H144" i="78"/>
  <c r="H174" i="78" s="1"/>
  <c r="D150" i="78"/>
  <c r="X168" i="79"/>
  <c r="G147" i="78"/>
  <c r="AE168" i="79"/>
  <c r="P168" i="79"/>
  <c r="AD168" i="79"/>
  <c r="E150" i="78"/>
  <c r="AH168" i="79"/>
  <c r="Y168" i="79"/>
  <c r="S168" i="79"/>
  <c r="G150" i="78"/>
  <c r="F147" i="78"/>
  <c r="V168" i="79"/>
  <c r="AB168" i="79"/>
  <c r="R168" i="79"/>
  <c r="E147" i="78"/>
  <c r="E176" i="78" s="1"/>
  <c r="AI168" i="79"/>
  <c r="AC168" i="79"/>
  <c r="D147" i="78"/>
  <c r="W168" i="79"/>
  <c r="Q168" i="79"/>
  <c r="F150" i="78"/>
  <c r="N135" i="79"/>
  <c r="N168" i="79"/>
  <c r="AL142" i="79"/>
  <c r="AL140" i="79"/>
  <c r="AL143" i="79"/>
  <c r="AL141" i="79"/>
  <c r="AL144" i="79"/>
  <c r="AL135" i="79"/>
  <c r="H135" i="79"/>
  <c r="H168" i="79"/>
  <c r="AF144" i="79"/>
  <c r="Z140" i="79"/>
  <c r="AF142" i="79"/>
  <c r="H142" i="79"/>
  <c r="Z141" i="79"/>
  <c r="N138" i="79"/>
  <c r="T143" i="79"/>
  <c r="Z142" i="79"/>
  <c r="T144" i="79"/>
  <c r="N140" i="79"/>
  <c r="N143" i="79"/>
  <c r="T141" i="79"/>
  <c r="AF141" i="79"/>
  <c r="H138" i="79"/>
  <c r="T142" i="79"/>
  <c r="N141" i="79"/>
  <c r="N144" i="79"/>
  <c r="AF140" i="79"/>
  <c r="H140" i="79"/>
  <c r="AF143" i="79"/>
  <c r="H143" i="79"/>
  <c r="N139" i="79"/>
  <c r="N142" i="79"/>
  <c r="H141" i="79"/>
  <c r="H147" i="78"/>
  <c r="Z143" i="79"/>
  <c r="H139" i="79"/>
  <c r="H144" i="79"/>
  <c r="Z144" i="79"/>
  <c r="T140" i="79"/>
  <c r="G171" i="79"/>
  <c r="F171" i="79"/>
  <c r="E171" i="79"/>
  <c r="D171" i="79"/>
  <c r="N174" i="78"/>
  <c r="Z139" i="79"/>
  <c r="N150" i="78"/>
  <c r="AF139" i="79"/>
  <c r="T150" i="78"/>
  <c r="Z138" i="79"/>
  <c r="N147" i="78"/>
  <c r="AF138" i="79"/>
  <c r="T147" i="78"/>
  <c r="G151" i="78"/>
  <c r="T139" i="79"/>
  <c r="H150" i="78"/>
  <c r="T138" i="79"/>
  <c r="T135" i="79"/>
  <c r="T168" i="79"/>
  <c r="AF135" i="79"/>
  <c r="AF168" i="79"/>
  <c r="Z135" i="79"/>
  <c r="Z168" i="79"/>
  <c r="H146" i="79"/>
  <c r="H145" i="79"/>
  <c r="M171" i="79"/>
  <c r="L171" i="79"/>
  <c r="K171" i="79"/>
  <c r="J171" i="79"/>
  <c r="AL139" i="79"/>
  <c r="AL171" i="79"/>
  <c r="AL138" i="79"/>
  <c r="N146" i="79"/>
  <c r="H171" i="79"/>
  <c r="N145" i="79"/>
  <c r="S171" i="79"/>
  <c r="R171" i="79"/>
  <c r="Q171" i="79"/>
  <c r="P171" i="79"/>
  <c r="N171" i="79"/>
  <c r="T146" i="79"/>
  <c r="Y171" i="79"/>
  <c r="X171" i="79"/>
  <c r="W171" i="79"/>
  <c r="V171" i="79"/>
  <c r="T145" i="79"/>
  <c r="T171" i="79"/>
  <c r="Z146" i="79"/>
  <c r="Z145" i="79"/>
  <c r="AE171" i="79"/>
  <c r="AD171" i="79"/>
  <c r="AC171" i="79"/>
  <c r="AB171" i="79"/>
  <c r="Z171" i="79"/>
  <c r="AF146" i="79"/>
  <c r="AL146" i="79"/>
  <c r="AF145" i="79"/>
  <c r="AI171" i="79"/>
  <c r="AL145" i="79"/>
  <c r="AF171" i="79"/>
  <c r="AH171" i="79"/>
  <c r="AL152" i="79"/>
  <c r="AL149" i="79"/>
  <c r="AL153" i="79"/>
  <c r="AL150" i="79"/>
  <c r="AL151" i="79"/>
  <c r="N152" i="79"/>
  <c r="N149" i="79"/>
  <c r="T151" i="79"/>
  <c r="N153" i="79"/>
  <c r="N150" i="79"/>
  <c r="AF149" i="79"/>
  <c r="H149" i="79"/>
  <c r="AF152" i="79"/>
  <c r="AF153" i="79"/>
  <c r="H153" i="79"/>
  <c r="N151" i="79"/>
  <c r="Z152" i="79"/>
  <c r="Z150" i="79"/>
  <c r="H152" i="79"/>
  <c r="Z149" i="79"/>
  <c r="H151" i="79"/>
  <c r="Z153" i="79"/>
  <c r="T152" i="79"/>
  <c r="T150" i="79"/>
  <c r="H150" i="79"/>
  <c r="AF151" i="79"/>
  <c r="T149" i="79"/>
  <c r="AF150" i="79"/>
  <c r="Z151" i="79"/>
  <c r="T153" i="79"/>
  <c r="G174" i="79"/>
  <c r="F174" i="79"/>
  <c r="E174" i="79"/>
  <c r="D174" i="79"/>
  <c r="H155" i="79"/>
  <c r="H154" i="79"/>
  <c r="M174" i="79"/>
  <c r="L174" i="79"/>
  <c r="K174" i="79"/>
  <c r="J174" i="79"/>
  <c r="N155" i="79"/>
  <c r="H174" i="79"/>
  <c r="N154" i="79"/>
  <c r="S174" i="79"/>
  <c r="R174" i="79"/>
  <c r="Q174" i="79"/>
  <c r="P174" i="79"/>
  <c r="N174" i="79"/>
  <c r="T155" i="79"/>
  <c r="T154" i="79"/>
  <c r="Y174" i="79"/>
  <c r="X174" i="79"/>
  <c r="W174" i="79"/>
  <c r="V174" i="79"/>
  <c r="T174" i="79"/>
  <c r="Z155" i="79"/>
  <c r="Z154" i="79"/>
  <c r="AE174" i="79"/>
  <c r="AD174" i="79"/>
  <c r="AC174" i="79"/>
  <c r="AB174" i="79"/>
  <c r="Z174" i="79"/>
  <c r="AF155" i="79"/>
  <c r="AL155" i="79"/>
  <c r="AF154" i="79"/>
  <c r="AI174" i="79"/>
  <c r="AL154" i="79"/>
  <c r="H97" i="79"/>
  <c r="G177" i="79"/>
  <c r="D177" i="79"/>
  <c r="E177" i="79"/>
  <c r="F177" i="79"/>
  <c r="AF174" i="79"/>
  <c r="AH174" i="79"/>
  <c r="R176" i="79"/>
  <c r="R177" i="79"/>
  <c r="AH176" i="79"/>
  <c r="AH177" i="79"/>
  <c r="K176" i="79"/>
  <c r="K177" i="79"/>
  <c r="L176" i="79"/>
  <c r="L177" i="79"/>
  <c r="P176" i="79"/>
  <c r="P177" i="79"/>
  <c r="M176" i="79"/>
  <c r="M177" i="79"/>
  <c r="J176" i="79"/>
  <c r="J177" i="79"/>
  <c r="AD176" i="79"/>
  <c r="AD177" i="79"/>
  <c r="AC176" i="79"/>
  <c r="AC177" i="79"/>
  <c r="Y176" i="79"/>
  <c r="Y177" i="79"/>
  <c r="X176" i="79"/>
  <c r="X177" i="79"/>
  <c r="V176" i="79"/>
  <c r="V177" i="79"/>
  <c r="Q176" i="79"/>
  <c r="Q177" i="79"/>
  <c r="AE176" i="79"/>
  <c r="AE177" i="79"/>
  <c r="AB176" i="79"/>
  <c r="AB177" i="79"/>
  <c r="AI176" i="79"/>
  <c r="AI177" i="79"/>
  <c r="W176" i="79"/>
  <c r="W177" i="79"/>
  <c r="S176" i="79"/>
  <c r="S177" i="79"/>
  <c r="G97" i="79"/>
  <c r="F97" i="79"/>
  <c r="E97" i="79"/>
  <c r="AL159" i="79"/>
  <c r="AL157" i="79"/>
  <c r="F176" i="79"/>
  <c r="D176" i="79"/>
  <c r="G176" i="79"/>
  <c r="E176" i="79"/>
  <c r="N157" i="79"/>
  <c r="H157" i="79"/>
  <c r="AF157" i="79"/>
  <c r="H177" i="79"/>
  <c r="Z157" i="79"/>
  <c r="T157" i="79"/>
  <c r="Z159" i="79"/>
  <c r="Z176" i="79"/>
  <c r="Z177" i="79"/>
  <c r="AF159" i="79"/>
  <c r="AF176" i="79"/>
  <c r="AF177" i="79"/>
  <c r="N159" i="79"/>
  <c r="N176" i="79"/>
  <c r="N177" i="79"/>
  <c r="T159" i="79"/>
  <c r="T176" i="79"/>
  <c r="T177" i="79"/>
  <c r="J97" i="79"/>
  <c r="K97" i="79"/>
  <c r="M97" i="79"/>
  <c r="L97" i="79"/>
  <c r="H159" i="79"/>
  <c r="H176" i="79"/>
  <c r="N97" i="79"/>
  <c r="Q97" i="79"/>
  <c r="P97" i="79"/>
  <c r="R97" i="79"/>
  <c r="S97" i="79"/>
  <c r="T97" i="79"/>
  <c r="X97" i="79"/>
  <c r="Y97" i="79"/>
  <c r="W97" i="79"/>
  <c r="V97" i="79"/>
  <c r="Z97" i="79"/>
  <c r="AB97" i="79"/>
  <c r="AE97" i="79"/>
  <c r="AC97" i="79"/>
  <c r="AF97" i="79"/>
  <c r="P113" i="78"/>
  <c r="V113" i="78"/>
  <c r="W113" i="78"/>
  <c r="AL132" i="79"/>
  <c r="J110" i="78"/>
  <c r="L110" i="78"/>
  <c r="Q110" i="78"/>
  <c r="K113" i="78"/>
  <c r="M113" i="78"/>
  <c r="W110" i="78"/>
  <c r="S110" i="78"/>
  <c r="J113" i="78"/>
  <c r="L113" i="78"/>
  <c r="S113" i="78"/>
  <c r="M110" i="78"/>
  <c r="P110" i="78"/>
  <c r="V110" i="78"/>
  <c r="Q113" i="78"/>
  <c r="K110" i="78"/>
  <c r="D110" i="78"/>
  <c r="D113" i="78"/>
  <c r="F110" i="78"/>
  <c r="E110" i="78"/>
  <c r="G113" i="78"/>
  <c r="G110" i="78"/>
  <c r="E113" i="78"/>
  <c r="F113" i="78"/>
  <c r="AH97" i="79"/>
  <c r="AI97" i="79"/>
  <c r="T110" i="78"/>
  <c r="N110" i="78"/>
  <c r="N113" i="78"/>
  <c r="T113" i="78"/>
  <c r="H113" i="78"/>
  <c r="F98" i="79"/>
  <c r="E98" i="79"/>
  <c r="AL131" i="79"/>
  <c r="H98" i="79"/>
  <c r="G98" i="79"/>
  <c r="L98" i="79"/>
  <c r="K98" i="79"/>
  <c r="J98" i="79"/>
  <c r="N98" i="79"/>
  <c r="M98" i="79"/>
  <c r="R98" i="79"/>
  <c r="F116" i="78"/>
  <c r="Q98" i="79"/>
  <c r="E116" i="78"/>
  <c r="H116" i="78"/>
  <c r="G116" i="78"/>
  <c r="P98" i="79"/>
  <c r="D116" i="78"/>
  <c r="S98" i="79"/>
  <c r="V98" i="79"/>
  <c r="J116" i="78"/>
  <c r="W98" i="79"/>
  <c r="K116" i="78"/>
  <c r="X98" i="79"/>
  <c r="L116" i="78"/>
  <c r="N116" i="78"/>
  <c r="M116" i="78"/>
  <c r="T98" i="79"/>
  <c r="Y98" i="79"/>
  <c r="Z98" i="79"/>
  <c r="T116" i="78"/>
  <c r="S116" i="78"/>
  <c r="AB98" i="79"/>
  <c r="P116" i="78"/>
  <c r="AD98" i="79"/>
  <c r="R116" i="78"/>
  <c r="AC98" i="79"/>
  <c r="Q116" i="78"/>
  <c r="AE98" i="79"/>
  <c r="AF98" i="79"/>
  <c r="R119" i="78"/>
  <c r="P123" i="78"/>
  <c r="K119" i="78"/>
  <c r="S123" i="78"/>
  <c r="L119" i="78"/>
  <c r="W119" i="78"/>
  <c r="X92" i="78" s="1"/>
  <c r="P119" i="78"/>
  <c r="V119" i="78"/>
  <c r="V135" i="78" s="1"/>
  <c r="M123" i="78"/>
  <c r="M119" i="78"/>
  <c r="J119" i="78"/>
  <c r="J93" i="78" s="1"/>
  <c r="S119" i="78"/>
  <c r="L123" i="78"/>
  <c r="Q119" i="78"/>
  <c r="AH98" i="79"/>
  <c r="V116" i="78"/>
  <c r="AI98" i="79"/>
  <c r="W116" i="78"/>
  <c r="F119" i="78"/>
  <c r="E119" i="78"/>
  <c r="E93" i="78" s="1"/>
  <c r="D119" i="78"/>
  <c r="G119" i="78"/>
  <c r="G135" i="78" s="1"/>
  <c r="X101" i="79"/>
  <c r="W101" i="79"/>
  <c r="AI102" i="79"/>
  <c r="V101" i="79"/>
  <c r="G102" i="79"/>
  <c r="J102" i="79"/>
  <c r="S101" i="79"/>
  <c r="R101" i="79"/>
  <c r="AH102" i="79"/>
  <c r="F102" i="79"/>
  <c r="AB102" i="79"/>
  <c r="D102" i="79"/>
  <c r="Q101" i="79"/>
  <c r="P101" i="79"/>
  <c r="Y102" i="79"/>
  <c r="M101" i="79"/>
  <c r="L101" i="79"/>
  <c r="K101" i="79"/>
  <c r="AD102" i="79"/>
  <c r="X102" i="79"/>
  <c r="J101" i="79"/>
  <c r="E102" i="79"/>
  <c r="S102" i="79"/>
  <c r="AC102" i="79"/>
  <c r="AI101" i="79"/>
  <c r="R102" i="79"/>
  <c r="AE101" i="79"/>
  <c r="G101" i="79"/>
  <c r="Q102" i="79"/>
  <c r="AD101" i="79"/>
  <c r="F101" i="79"/>
  <c r="AH101" i="79"/>
  <c r="P102" i="79"/>
  <c r="AC101" i="79"/>
  <c r="E101" i="79"/>
  <c r="AB101" i="79"/>
  <c r="D101" i="79"/>
  <c r="W102" i="79"/>
  <c r="V102" i="79"/>
  <c r="M102" i="79"/>
  <c r="K102" i="79"/>
  <c r="AE102" i="79"/>
  <c r="L102" i="79"/>
  <c r="Y101" i="79"/>
  <c r="H119" i="78"/>
  <c r="N122" i="78"/>
  <c r="H122" i="78"/>
  <c r="H96" i="78" s="1"/>
  <c r="T119" i="78"/>
  <c r="T122" i="78"/>
  <c r="N119" i="78"/>
  <c r="F103" i="79"/>
  <c r="E103" i="79"/>
  <c r="D103" i="79"/>
  <c r="N123" i="78"/>
  <c r="G123" i="78"/>
  <c r="F123" i="78"/>
  <c r="P96" i="78"/>
  <c r="M96" i="78"/>
  <c r="V96" i="78"/>
  <c r="N102" i="79"/>
  <c r="AF102" i="79"/>
  <c r="G103" i="79"/>
  <c r="H102" i="79"/>
  <c r="H101" i="79"/>
  <c r="H103" i="79"/>
  <c r="T102" i="79"/>
  <c r="N101" i="79"/>
  <c r="Z101" i="79"/>
  <c r="Z102" i="79"/>
  <c r="T101" i="79"/>
  <c r="AF101" i="79"/>
  <c r="L103" i="79"/>
  <c r="K103" i="79"/>
  <c r="J103" i="79"/>
  <c r="AJ102" i="79"/>
  <c r="N103" i="79"/>
  <c r="M103" i="79"/>
  <c r="R103" i="79"/>
  <c r="Q103" i="79"/>
  <c r="P103" i="79"/>
  <c r="AK102" i="79"/>
  <c r="T103" i="79"/>
  <c r="S103" i="79"/>
  <c r="X103" i="79"/>
  <c r="W103" i="79"/>
  <c r="V103" i="79"/>
  <c r="AL102" i="79"/>
  <c r="AJ74" i="79"/>
  <c r="Z103" i="79"/>
  <c r="Y103" i="79"/>
  <c r="AD103" i="79"/>
  <c r="AC103" i="79"/>
  <c r="AB103" i="79"/>
  <c r="AN102" i="79"/>
  <c r="AF103" i="79"/>
  <c r="AE103" i="79"/>
  <c r="AI103" i="79"/>
  <c r="AH103" i="79"/>
  <c r="AO102" i="79"/>
  <c r="Q125" i="78"/>
  <c r="K125" i="78"/>
  <c r="L125" i="78"/>
  <c r="V125" i="78"/>
  <c r="J125" i="78"/>
  <c r="M125" i="78"/>
  <c r="W125" i="78"/>
  <c r="S125" i="78"/>
  <c r="R125" i="78"/>
  <c r="P125" i="78"/>
  <c r="F125" i="78"/>
  <c r="D125" i="78"/>
  <c r="G125" i="78"/>
  <c r="E125" i="78"/>
  <c r="L104" i="79"/>
  <c r="AI104" i="79"/>
  <c r="J104" i="79"/>
  <c r="AH104" i="79"/>
  <c r="G104" i="79"/>
  <c r="AD104" i="79"/>
  <c r="F104" i="79"/>
  <c r="AC104" i="79"/>
  <c r="E104" i="79"/>
  <c r="AE104" i="79"/>
  <c r="AB104" i="79"/>
  <c r="D104" i="79"/>
  <c r="Y104" i="79"/>
  <c r="X104" i="79"/>
  <c r="W104" i="79"/>
  <c r="V104" i="79"/>
  <c r="K104" i="79"/>
  <c r="S104" i="79"/>
  <c r="R104" i="79"/>
  <c r="Q104" i="79"/>
  <c r="P104" i="79"/>
  <c r="M104" i="79"/>
  <c r="H104" i="79"/>
  <c r="AF104" i="79"/>
  <c r="Z104" i="79"/>
  <c r="T125" i="78"/>
  <c r="N125" i="78"/>
  <c r="T104" i="79"/>
  <c r="H125" i="78"/>
  <c r="N104" i="79"/>
  <c r="F109" i="79"/>
  <c r="E109" i="79"/>
  <c r="D109" i="79"/>
  <c r="AL133" i="79"/>
  <c r="G109" i="79"/>
  <c r="H109" i="79"/>
  <c r="L109" i="79"/>
  <c r="K109" i="79"/>
  <c r="J109" i="79"/>
  <c r="AP102" i="79"/>
  <c r="N109" i="79"/>
  <c r="M109" i="79"/>
  <c r="Q109" i="79"/>
  <c r="E128" i="78"/>
  <c r="R109" i="79"/>
  <c r="F128" i="78"/>
  <c r="H128" i="78"/>
  <c r="G128" i="78"/>
  <c r="P109" i="79"/>
  <c r="D128" i="78"/>
  <c r="S109" i="79"/>
  <c r="AQ102" i="79"/>
  <c r="X109" i="79"/>
  <c r="L128" i="78"/>
  <c r="V109" i="79"/>
  <c r="J128" i="78"/>
  <c r="N128" i="78"/>
  <c r="M128" i="78"/>
  <c r="W109" i="79"/>
  <c r="K128" i="78"/>
  <c r="T109" i="79"/>
  <c r="Y109" i="79"/>
  <c r="AR102" i="79"/>
  <c r="Z109" i="79"/>
  <c r="AB109" i="79"/>
  <c r="P128" i="78"/>
  <c r="AC109" i="79"/>
  <c r="Q128" i="78"/>
  <c r="AD109" i="79"/>
  <c r="R128" i="78"/>
  <c r="T128" i="78"/>
  <c r="S128" i="78"/>
  <c r="AE109" i="79"/>
  <c r="AF109" i="79"/>
  <c r="AT102" i="79"/>
  <c r="AI109" i="79"/>
  <c r="W128" i="78"/>
  <c r="AH109" i="79"/>
  <c r="V128" i="78"/>
  <c r="F112" i="79"/>
  <c r="E112" i="79"/>
  <c r="D112" i="79"/>
  <c r="C28" i="6"/>
  <c r="AV102" i="79"/>
  <c r="H112" i="79"/>
  <c r="G112" i="79"/>
  <c r="L112" i="79"/>
  <c r="K112" i="79"/>
  <c r="J112" i="79"/>
  <c r="N112" i="79"/>
  <c r="AJ176" i="79"/>
  <c r="AL134" i="79"/>
  <c r="AJ168" i="79"/>
  <c r="M112" i="79"/>
  <c r="R112" i="79"/>
  <c r="Q112" i="79"/>
  <c r="P112" i="79"/>
  <c r="T112" i="79"/>
  <c r="S112" i="79"/>
  <c r="X112" i="79"/>
  <c r="W112" i="79"/>
  <c r="V112" i="79"/>
  <c r="Z112" i="79"/>
  <c r="Y112" i="79"/>
  <c r="AD112" i="79"/>
  <c r="AC112" i="79"/>
  <c r="AB112" i="79"/>
  <c r="AF112" i="79"/>
  <c r="AE112" i="79"/>
  <c r="AI112" i="79"/>
  <c r="AH112" i="79"/>
  <c r="K113" i="79"/>
  <c r="AH113" i="79"/>
  <c r="AE113" i="79"/>
  <c r="D113" i="79"/>
  <c r="Y113" i="79"/>
  <c r="F113" i="79"/>
  <c r="AB113" i="79"/>
  <c r="V113" i="79"/>
  <c r="AI113" i="79"/>
  <c r="X113" i="79"/>
  <c r="G113" i="79"/>
  <c r="S113" i="79"/>
  <c r="L113" i="79"/>
  <c r="R113" i="79"/>
  <c r="J113" i="79"/>
  <c r="W113" i="79"/>
  <c r="Q113" i="79"/>
  <c r="E113" i="79"/>
  <c r="P113" i="79"/>
  <c r="AC113" i="79"/>
  <c r="AD113" i="79"/>
  <c r="M113" i="79"/>
  <c r="AF113" i="79"/>
  <c r="Z113" i="79"/>
  <c r="H113" i="79"/>
  <c r="T113" i="79"/>
  <c r="N113" i="79"/>
  <c r="F116" i="79"/>
  <c r="E116" i="79"/>
  <c r="D116" i="79"/>
  <c r="G116" i="79"/>
  <c r="H116" i="79"/>
  <c r="L116" i="79"/>
  <c r="K116" i="79"/>
  <c r="J116" i="79"/>
  <c r="N116" i="79"/>
  <c r="M116" i="79"/>
  <c r="R116" i="79"/>
  <c r="Q116" i="79"/>
  <c r="P116" i="79"/>
  <c r="T116" i="79"/>
  <c r="S116" i="79"/>
  <c r="X116" i="79"/>
  <c r="W116" i="79"/>
  <c r="V116" i="79"/>
  <c r="Z116" i="79"/>
  <c r="Y116" i="79"/>
  <c r="AD116" i="79"/>
  <c r="AC116" i="79"/>
  <c r="AB116" i="79"/>
  <c r="C43" i="6"/>
  <c r="C44" i="6"/>
  <c r="AF116" i="79"/>
  <c r="AE116" i="79"/>
  <c r="AI116" i="79"/>
  <c r="AH116" i="79"/>
  <c r="F71" i="78"/>
  <c r="L117" i="79"/>
  <c r="AI117" i="79"/>
  <c r="K117" i="79"/>
  <c r="AH117" i="79"/>
  <c r="J117" i="79"/>
  <c r="AE117" i="79"/>
  <c r="G117" i="79"/>
  <c r="AD117" i="79"/>
  <c r="F117" i="79"/>
  <c r="AC117" i="79"/>
  <c r="E117" i="79"/>
  <c r="AB117" i="79"/>
  <c r="D117" i="79"/>
  <c r="Y117" i="79"/>
  <c r="X117" i="79"/>
  <c r="W117" i="79"/>
  <c r="V117" i="79"/>
  <c r="S117" i="79"/>
  <c r="R117" i="79"/>
  <c r="Q117" i="79"/>
  <c r="P117" i="79"/>
  <c r="M117" i="79"/>
  <c r="AF117" i="79"/>
  <c r="H117" i="79"/>
  <c r="Z117" i="79"/>
  <c r="T117" i="79"/>
  <c r="N117" i="79"/>
  <c r="P105" i="78"/>
  <c r="K104" i="78"/>
  <c r="N105" i="78"/>
  <c r="N77" i="78"/>
  <c r="N104" i="78"/>
  <c r="V18" i="84"/>
  <c r="Q104" i="78"/>
  <c r="Y18" i="84"/>
  <c r="K105" i="78"/>
  <c r="Q105" i="78"/>
  <c r="W104" i="78"/>
  <c r="Q68" i="79"/>
  <c r="W105" i="78"/>
  <c r="T104" i="78"/>
  <c r="N89" i="78"/>
  <c r="P18" i="84"/>
  <c r="P26" i="84"/>
  <c r="AI26" i="84"/>
  <c r="M18" i="84"/>
  <c r="AE18" i="84"/>
  <c r="S26" i="84"/>
  <c r="N74" i="78"/>
  <c r="S105" i="78"/>
  <c r="N83" i="78"/>
  <c r="Z26" i="84"/>
  <c r="W26" i="84"/>
  <c r="AC68" i="79"/>
  <c r="P104" i="78"/>
  <c r="S104" i="78"/>
  <c r="N18" i="84"/>
  <c r="N80" i="78"/>
  <c r="K68" i="79"/>
  <c r="M105" i="78"/>
  <c r="M104" i="78"/>
  <c r="N86" i="78"/>
  <c r="N101" i="78"/>
  <c r="N164" i="78" s="1"/>
  <c r="AB26" i="84"/>
  <c r="S18" i="84"/>
  <c r="D71" i="78"/>
  <c r="D72" i="78" s="1"/>
  <c r="G71" i="78"/>
  <c r="AB18" i="84"/>
  <c r="S68" i="79"/>
  <c r="AB68" i="79"/>
  <c r="K26" i="84"/>
  <c r="K18" i="84"/>
  <c r="P68" i="79"/>
  <c r="Z68" i="79"/>
  <c r="N87" i="79"/>
  <c r="Y68" i="79"/>
  <c r="N71" i="78"/>
  <c r="Z18" i="84"/>
  <c r="E29" i="78" s="1" a="1"/>
  <c r="Y26" i="84"/>
  <c r="Q26" i="84"/>
  <c r="E71" i="78"/>
  <c r="E148" i="78" s="1"/>
  <c r="Q18" i="84"/>
  <c r="W68" i="79"/>
  <c r="W18" i="84"/>
  <c r="H145" i="78"/>
  <c r="Z86" i="79"/>
  <c r="Z87" i="79"/>
  <c r="Z77" i="79"/>
  <c r="Z74" i="79"/>
  <c r="N74" i="79"/>
  <c r="N77" i="79"/>
  <c r="V26" i="84"/>
  <c r="N83" i="79"/>
  <c r="N166" i="78"/>
  <c r="N86" i="79"/>
  <c r="Z71" i="79"/>
  <c r="Z83" i="79"/>
  <c r="V68" i="79"/>
  <c r="Z18" i="79"/>
  <c r="AC18" i="84"/>
  <c r="AC26" i="84"/>
  <c r="N68" i="79"/>
  <c r="N71" i="79"/>
  <c r="N98" i="78"/>
  <c r="N99" i="78" s="1"/>
  <c r="N26" i="84"/>
  <c r="Z80" i="79"/>
  <c r="M68" i="79"/>
  <c r="N80" i="79"/>
  <c r="AE68" i="79"/>
  <c r="M26" i="84"/>
  <c r="AE26" i="84"/>
  <c r="AI68" i="79"/>
  <c r="AI18" i="84"/>
  <c r="T105" i="78"/>
  <c r="H80" i="78"/>
  <c r="D18" i="84"/>
  <c r="T77" i="78"/>
  <c r="T74" i="78"/>
  <c r="D24" i="6"/>
  <c r="H89" i="78"/>
  <c r="H77" i="78"/>
  <c r="T26" i="84"/>
  <c r="H18" i="79"/>
  <c r="T18" i="84"/>
  <c r="D29" i="78" s="1" a="1"/>
  <c r="D40" i="78" s="1"/>
  <c r="D68" i="79"/>
  <c r="D26" i="84"/>
  <c r="H98" i="78"/>
  <c r="T98" i="78"/>
  <c r="T68" i="79"/>
  <c r="AF26" i="84"/>
  <c r="T18" i="79"/>
  <c r="AF18" i="79"/>
  <c r="AF68" i="79"/>
  <c r="H166" i="78"/>
  <c r="T80" i="79"/>
  <c r="AF18" i="84"/>
  <c r="F29" i="78" s="1" a="1"/>
  <c r="AF80" i="79"/>
  <c r="T166" i="78"/>
  <c r="J26" i="84"/>
  <c r="N18" i="79"/>
  <c r="J18" i="84"/>
  <c r="J68" i="79"/>
  <c r="AH18" i="84"/>
  <c r="AH26" i="84"/>
  <c r="AH68" i="79"/>
  <c r="J105" i="78"/>
  <c r="V105" i="78"/>
  <c r="J104" i="78"/>
  <c r="V104" i="78"/>
  <c r="T101" i="78"/>
  <c r="T80" i="78"/>
  <c r="K71" i="78"/>
  <c r="K111" i="78" s="1"/>
  <c r="J71" i="78"/>
  <c r="J63" i="78" s="1"/>
  <c r="L71" i="78"/>
  <c r="L72" i="78" s="1"/>
  <c r="T71" i="78"/>
  <c r="T75" i="78" s="1"/>
  <c r="T89" i="78"/>
  <c r="M71" i="78"/>
  <c r="T83" i="78"/>
  <c r="T86" i="78"/>
  <c r="T87" i="78" s="1"/>
  <c r="N145" i="78"/>
  <c r="AF77" i="79"/>
  <c r="H74" i="78"/>
  <c r="H78" i="78" s="1"/>
  <c r="H104" i="78"/>
  <c r="AF87" i="79"/>
  <c r="AF86" i="79"/>
  <c r="H83" i="78"/>
  <c r="AF83" i="79"/>
  <c r="H86" i="78"/>
  <c r="H87" i="78" s="1"/>
  <c r="H105" i="78"/>
  <c r="H71" i="78"/>
  <c r="E63" i="78" s="1"/>
  <c r="T77" i="79"/>
  <c r="H101" i="78"/>
  <c r="H164" i="78" s="1"/>
  <c r="T71" i="79"/>
  <c r="T74" i="79"/>
  <c r="AF71" i="79"/>
  <c r="T87" i="79"/>
  <c r="T86" i="79"/>
  <c r="T83" i="79"/>
  <c r="AF74" i="79"/>
  <c r="M63" i="78"/>
  <c r="AJ87" i="79"/>
  <c r="N117" i="78"/>
  <c r="N81" i="78"/>
  <c r="E24" i="6"/>
  <c r="F24" i="6"/>
  <c r="AL87" i="79"/>
  <c r="AK87" i="79"/>
  <c r="Q71" i="78"/>
  <c r="S71" i="78"/>
  <c r="P71" i="78"/>
  <c r="R71" i="78"/>
  <c r="R72" i="78" s="1"/>
  <c r="M117" i="78"/>
  <c r="J72" i="78"/>
  <c r="J111" i="78"/>
  <c r="J117" i="78"/>
  <c r="Q139" i="78"/>
  <c r="G24" i="6"/>
  <c r="W71" i="78"/>
  <c r="W72" i="78" s="1"/>
  <c r="V71" i="78"/>
  <c r="S72" i="78"/>
  <c r="Q72" i="78"/>
  <c r="H24" i="6"/>
  <c r="AO87" i="79"/>
  <c r="AN87" i="79"/>
  <c r="H21" i="79"/>
  <c r="D74" i="78"/>
  <c r="G74" i="78"/>
  <c r="F74" i="78"/>
  <c r="E74" i="78"/>
  <c r="T21" i="79"/>
  <c r="N21" i="79"/>
  <c r="D114" i="78"/>
  <c r="AL68" i="79"/>
  <c r="AL18" i="79"/>
  <c r="AP87" i="79"/>
  <c r="AQ87" i="79"/>
  <c r="W74" i="78"/>
  <c r="Q74" i="78"/>
  <c r="Q126" i="78" s="1"/>
  <c r="W77" i="78"/>
  <c r="L74" i="78"/>
  <c r="L114" i="78" s="1"/>
  <c r="K77" i="78"/>
  <c r="M74" i="78"/>
  <c r="M75" i="78" s="1"/>
  <c r="J74" i="78"/>
  <c r="J75" i="78" s="1"/>
  <c r="R77" i="78"/>
  <c r="J77" i="78"/>
  <c r="R74" i="78"/>
  <c r="R75" i="78" s="1"/>
  <c r="K74" i="78"/>
  <c r="K75" i="78" s="1"/>
  <c r="V77" i="78"/>
  <c r="P77" i="78"/>
  <c r="S74" i="78"/>
  <c r="L77" i="78"/>
  <c r="P74" i="78"/>
  <c r="P75" i="78" s="1"/>
  <c r="M77" i="78"/>
  <c r="V74" i="78"/>
  <c r="V126" i="78" s="1"/>
  <c r="S77" i="78"/>
  <c r="Q77" i="78"/>
  <c r="E77" i="78"/>
  <c r="G80" i="78"/>
  <c r="D77" i="78"/>
  <c r="D78" i="78" s="1"/>
  <c r="F80" i="78"/>
  <c r="F77" i="78"/>
  <c r="D80" i="78"/>
  <c r="E80" i="78"/>
  <c r="G77" i="78"/>
  <c r="T24" i="79"/>
  <c r="T23" i="79"/>
  <c r="N24" i="79"/>
  <c r="N23" i="79"/>
  <c r="H24" i="79"/>
  <c r="H23" i="79"/>
  <c r="Z23" i="79"/>
  <c r="AF23" i="79"/>
  <c r="AF22" i="79"/>
  <c r="M71" i="79"/>
  <c r="N22" i="79"/>
  <c r="J71" i="79"/>
  <c r="T22" i="79"/>
  <c r="P71" i="79"/>
  <c r="Z21" i="79"/>
  <c r="R71" i="79"/>
  <c r="L71" i="79"/>
  <c r="F71" i="79"/>
  <c r="Z22" i="79"/>
  <c r="K71" i="79"/>
  <c r="AL22" i="79"/>
  <c r="S71" i="79"/>
  <c r="AF21" i="79"/>
  <c r="G71" i="79"/>
  <c r="E71" i="79"/>
  <c r="Q71" i="79"/>
  <c r="H22" i="79"/>
  <c r="D71" i="79"/>
  <c r="AJ86" i="79"/>
  <c r="AR60" i="79"/>
  <c r="V80" i="78"/>
  <c r="W80" i="78"/>
  <c r="Q80" i="78"/>
  <c r="Q81" i="78"/>
  <c r="P80" i="78"/>
  <c r="K80" i="78"/>
  <c r="K81" i="78" s="1"/>
  <c r="M80" i="78"/>
  <c r="M81" i="78" s="1"/>
  <c r="S80" i="78"/>
  <c r="J80" i="78"/>
  <c r="J81" i="78" s="1"/>
  <c r="R80" i="78"/>
  <c r="L80" i="78"/>
  <c r="J114" i="78"/>
  <c r="K78" i="78"/>
  <c r="D83" i="78"/>
  <c r="D138" i="78" s="1"/>
  <c r="E83" i="78"/>
  <c r="F83" i="78"/>
  <c r="F129" i="78" s="1"/>
  <c r="G83" i="78"/>
  <c r="H27" i="79"/>
  <c r="AI71" i="79"/>
  <c r="AH71" i="79"/>
  <c r="AE71" i="79"/>
  <c r="AD71" i="79"/>
  <c r="AC71" i="79"/>
  <c r="AF24" i="79"/>
  <c r="AB71" i="79"/>
  <c r="Y71" i="79"/>
  <c r="X71" i="79"/>
  <c r="W71" i="79"/>
  <c r="Z24" i="79"/>
  <c r="V71" i="79"/>
  <c r="N27" i="79"/>
  <c r="T27" i="79"/>
  <c r="AL21" i="79"/>
  <c r="AR87" i="79"/>
  <c r="J89" i="78"/>
  <c r="Q83" i="78"/>
  <c r="Q84" i="78" s="1"/>
  <c r="K89" i="78"/>
  <c r="K90" i="78" s="1"/>
  <c r="K83" i="78"/>
  <c r="J83" i="78"/>
  <c r="M83" i="78"/>
  <c r="V89" i="78"/>
  <c r="W89" i="78"/>
  <c r="Q89" i="78"/>
  <c r="S89" i="78"/>
  <c r="S90" i="78" s="1"/>
  <c r="M89" i="78"/>
  <c r="M90" i="78" s="1"/>
  <c r="P89" i="78"/>
  <c r="L83" i="78"/>
  <c r="L129" i="78" s="1"/>
  <c r="W83" i="78"/>
  <c r="R89" i="78"/>
  <c r="V83" i="78"/>
  <c r="V84" i="78" s="1"/>
  <c r="S83" i="78"/>
  <c r="R83" i="78"/>
  <c r="L89" i="78"/>
  <c r="L90" i="78"/>
  <c r="P83" i="78"/>
  <c r="E86" i="78"/>
  <c r="G89" i="78"/>
  <c r="F89" i="78"/>
  <c r="G86" i="78"/>
  <c r="E89" i="78"/>
  <c r="F86" i="78"/>
  <c r="D86" i="78"/>
  <c r="T29" i="79"/>
  <c r="N29" i="79"/>
  <c r="H29" i="79"/>
  <c r="T28" i="79"/>
  <c r="N28" i="79"/>
  <c r="AF28" i="79"/>
  <c r="Z28" i="79"/>
  <c r="AF27" i="79"/>
  <c r="Z27" i="79"/>
  <c r="H28" i="79"/>
  <c r="AL23" i="79"/>
  <c r="AT87" i="79"/>
  <c r="AX87" i="79"/>
  <c r="AV87" i="79"/>
  <c r="W86" i="78"/>
  <c r="R86" i="78"/>
  <c r="R87" i="78" s="1"/>
  <c r="M86" i="78"/>
  <c r="Q86" i="78"/>
  <c r="Q87" i="78" s="1"/>
  <c r="L86" i="78"/>
  <c r="P86" i="78"/>
  <c r="S86" i="78"/>
  <c r="S87" i="78" s="1"/>
  <c r="V86" i="78"/>
  <c r="J86" i="78"/>
  <c r="K86" i="78"/>
  <c r="H31" i="79"/>
  <c r="AF29" i="79"/>
  <c r="Z29" i="79"/>
  <c r="AK86" i="79"/>
  <c r="AL27" i="79"/>
  <c r="AL24" i="79"/>
  <c r="AL71" i="79"/>
  <c r="AL86" i="79"/>
  <c r="H30" i="79"/>
  <c r="N31" i="79"/>
  <c r="N30" i="79"/>
  <c r="AL29" i="79"/>
  <c r="T31" i="79"/>
  <c r="T30" i="79"/>
  <c r="Z31" i="79"/>
  <c r="AN86" i="79"/>
  <c r="Z30" i="79"/>
  <c r="AF31" i="79"/>
  <c r="AF30" i="79"/>
  <c r="M101" i="78"/>
  <c r="M102" i="78" s="1"/>
  <c r="L101" i="78"/>
  <c r="Q101" i="78"/>
  <c r="Q164" i="78" s="1"/>
  <c r="P98" i="78"/>
  <c r="P99" i="78"/>
  <c r="Q98" i="78"/>
  <c r="Q99" i="78" s="1"/>
  <c r="V101" i="78"/>
  <c r="V164" i="78" s="1"/>
  <c r="R101" i="78"/>
  <c r="R98" i="78"/>
  <c r="S98" i="78"/>
  <c r="M98" i="78"/>
  <c r="M99" i="78" s="1"/>
  <c r="P101" i="78"/>
  <c r="P164" i="78" s="1"/>
  <c r="J101" i="78"/>
  <c r="J102" i="78" s="1"/>
  <c r="L98" i="78"/>
  <c r="W101" i="78"/>
  <c r="J98" i="78"/>
  <c r="J99" i="78" s="1"/>
  <c r="K101" i="78"/>
  <c r="K164" i="78" s="1"/>
  <c r="S101" i="78"/>
  <c r="S164" i="78" s="1"/>
  <c r="K98" i="78"/>
  <c r="W98" i="78"/>
  <c r="V98" i="78"/>
  <c r="D98" i="78"/>
  <c r="F101" i="78"/>
  <c r="G98" i="78"/>
  <c r="E101" i="78"/>
  <c r="E102" i="78" s="1"/>
  <c r="F98" i="78"/>
  <c r="E98" i="78"/>
  <c r="E99" i="78" s="1"/>
  <c r="D101" i="78"/>
  <c r="D164" i="78" s="1"/>
  <c r="G101" i="78"/>
  <c r="G164" i="78" s="1"/>
  <c r="AI74" i="79"/>
  <c r="AL39" i="79"/>
  <c r="Z36" i="79"/>
  <c r="AD74" i="79"/>
  <c r="Z33" i="79"/>
  <c r="AL38" i="79"/>
  <c r="T36" i="79"/>
  <c r="X74" i="79"/>
  <c r="W74" i="79"/>
  <c r="AF38" i="79"/>
  <c r="Z38" i="79"/>
  <c r="H39" i="79"/>
  <c r="AE74" i="79"/>
  <c r="H38" i="79"/>
  <c r="Y74" i="79"/>
  <c r="T33" i="79"/>
  <c r="AL37" i="79"/>
  <c r="S74" i="79"/>
  <c r="N33" i="79"/>
  <c r="AL36" i="79"/>
  <c r="M74" i="79"/>
  <c r="K74" i="79"/>
  <c r="AL32" i="79"/>
  <c r="AH74" i="79"/>
  <c r="T37" i="79"/>
  <c r="AC74" i="79"/>
  <c r="AF39" i="79"/>
  <c r="Z32" i="79"/>
  <c r="V74" i="79"/>
  <c r="H37" i="79"/>
  <c r="Q74" i="79"/>
  <c r="H36" i="79"/>
  <c r="T32" i="79"/>
  <c r="P74" i="79"/>
  <c r="AF37" i="79"/>
  <c r="L74" i="79"/>
  <c r="H33" i="79"/>
  <c r="N32" i="79"/>
  <c r="J74" i="79"/>
  <c r="AF33" i="79"/>
  <c r="N38" i="79"/>
  <c r="AF32" i="79"/>
  <c r="AB74" i="79"/>
  <c r="N37" i="79"/>
  <c r="Z39" i="79"/>
  <c r="N36" i="79"/>
  <c r="R74" i="79"/>
  <c r="T39" i="79"/>
  <c r="H41" i="79"/>
  <c r="N39" i="79"/>
  <c r="T38" i="79"/>
  <c r="Z37" i="79"/>
  <c r="AF36" i="79"/>
  <c r="F74" i="79"/>
  <c r="H32" i="79"/>
  <c r="D74" i="79"/>
  <c r="G74" i="79"/>
  <c r="E74" i="79"/>
  <c r="AO86" i="79"/>
  <c r="Q102" i="78"/>
  <c r="H40" i="79"/>
  <c r="N41" i="79"/>
  <c r="N40" i="79"/>
  <c r="AL30" i="79"/>
  <c r="T41" i="79"/>
  <c r="T40" i="79"/>
  <c r="Z41" i="79"/>
  <c r="AP86" i="79"/>
  <c r="Z40" i="79"/>
  <c r="AF41" i="79"/>
  <c r="AF40" i="79"/>
  <c r="AL41" i="79"/>
  <c r="AL40" i="79"/>
  <c r="J166" i="78"/>
  <c r="P166" i="78"/>
  <c r="R166" i="78"/>
  <c r="L166" i="78"/>
  <c r="M166" i="78"/>
  <c r="W166" i="78"/>
  <c r="Q166" i="78"/>
  <c r="V166" i="78"/>
  <c r="S166" i="78"/>
  <c r="K166" i="78"/>
  <c r="E166" i="78"/>
  <c r="F166" i="78"/>
  <c r="G166" i="78"/>
  <c r="D166" i="78"/>
  <c r="X77" i="79"/>
  <c r="H47" i="79"/>
  <c r="S77" i="79"/>
  <c r="R77" i="79"/>
  <c r="N45" i="79"/>
  <c r="M77" i="79"/>
  <c r="L77" i="79"/>
  <c r="AL45" i="79"/>
  <c r="E77" i="79"/>
  <c r="AL42" i="79"/>
  <c r="AH77" i="79"/>
  <c r="AE77" i="79"/>
  <c r="AD77" i="79"/>
  <c r="Y77" i="79"/>
  <c r="T45" i="79"/>
  <c r="T42" i="79"/>
  <c r="P77" i="79"/>
  <c r="K77" i="79"/>
  <c r="N42" i="79"/>
  <c r="J77" i="79"/>
  <c r="F77" i="79"/>
  <c r="AF45" i="79"/>
  <c r="AC77" i="79"/>
  <c r="W77" i="79"/>
  <c r="Z42" i="79"/>
  <c r="V77" i="79"/>
  <c r="Q77" i="79"/>
  <c r="H45" i="79"/>
  <c r="G77" i="79"/>
  <c r="AI77" i="79"/>
  <c r="H42" i="79"/>
  <c r="D77" i="79"/>
  <c r="Z45" i="79"/>
  <c r="AF42" i="79"/>
  <c r="AB77" i="79"/>
  <c r="G80" i="79"/>
  <c r="F80" i="79"/>
  <c r="E80" i="79"/>
  <c r="AQ86" i="79"/>
  <c r="H46" i="79"/>
  <c r="N47" i="79"/>
  <c r="D80" i="79"/>
  <c r="M80" i="79"/>
  <c r="L80" i="79"/>
  <c r="K80" i="79"/>
  <c r="AR86" i="79"/>
  <c r="AR59" i="79"/>
  <c r="T47" i="79"/>
  <c r="N46" i="79"/>
  <c r="J80" i="79"/>
  <c r="S80" i="79"/>
  <c r="R80" i="79"/>
  <c r="Q80" i="79"/>
  <c r="AT86" i="79"/>
  <c r="AX86" i="79"/>
  <c r="Z47" i="79"/>
  <c r="T46" i="79"/>
  <c r="P80" i="79"/>
  <c r="Y80" i="79"/>
  <c r="X80" i="79"/>
  <c r="W80" i="79"/>
  <c r="AV86" i="79"/>
  <c r="AF47" i="79"/>
  <c r="Z46" i="79"/>
  <c r="V80" i="79"/>
  <c r="AE80" i="79"/>
  <c r="AD80" i="79"/>
  <c r="AC80" i="79"/>
  <c r="AL47" i="79"/>
  <c r="AF46" i="79"/>
  <c r="AB80" i="79"/>
  <c r="AI80" i="79"/>
  <c r="Z50" i="79"/>
  <c r="AL50" i="79"/>
  <c r="N50" i="79"/>
  <c r="H50" i="79"/>
  <c r="T50" i="79"/>
  <c r="AF50" i="79"/>
  <c r="AL46" i="79"/>
  <c r="AH80" i="79"/>
  <c r="G105" i="78"/>
  <c r="E104" i="78"/>
  <c r="D104" i="78"/>
  <c r="F105" i="78"/>
  <c r="G104" i="78"/>
  <c r="D105" i="78"/>
  <c r="E105" i="78"/>
  <c r="F104" i="78"/>
  <c r="D86" i="79"/>
  <c r="AF60" i="79"/>
  <c r="AF59" i="79"/>
  <c r="Z59" i="79"/>
  <c r="N60" i="79"/>
  <c r="AL60" i="79"/>
  <c r="H60" i="79"/>
  <c r="N59" i="79"/>
  <c r="H59" i="79"/>
  <c r="AL59" i="79"/>
  <c r="T60" i="79"/>
  <c r="Z60" i="79"/>
  <c r="T59" i="79"/>
  <c r="T55" i="79"/>
  <c r="Y83" i="79"/>
  <c r="Z51" i="79"/>
  <c r="V83" i="79"/>
  <c r="L87" i="79"/>
  <c r="L86" i="79"/>
  <c r="H55" i="79"/>
  <c r="L83" i="79"/>
  <c r="E86" i="79"/>
  <c r="E87" i="79"/>
  <c r="K83" i="79"/>
  <c r="Z56" i="79"/>
  <c r="AF55" i="79"/>
  <c r="AH86" i="79"/>
  <c r="AL52" i="79"/>
  <c r="AH87" i="79"/>
  <c r="H52" i="79"/>
  <c r="D87" i="79"/>
  <c r="N51" i="79"/>
  <c r="J83" i="79"/>
  <c r="AE87" i="79"/>
  <c r="AE86" i="79"/>
  <c r="G83" i="79"/>
  <c r="AD87" i="79"/>
  <c r="AD86" i="79"/>
  <c r="F83" i="79"/>
  <c r="AC86" i="79"/>
  <c r="AC87" i="79"/>
  <c r="AI83" i="79"/>
  <c r="E83" i="79"/>
  <c r="T56" i="79"/>
  <c r="Z55" i="79"/>
  <c r="AB86" i="79"/>
  <c r="AF52" i="79"/>
  <c r="AB87" i="79"/>
  <c r="AL51" i="79"/>
  <c r="AH83" i="79"/>
  <c r="H51" i="79"/>
  <c r="D83" i="79"/>
  <c r="AF51" i="79"/>
  <c r="AB83" i="79"/>
  <c r="R87" i="79"/>
  <c r="R86" i="79"/>
  <c r="W83" i="79"/>
  <c r="H56" i="79"/>
  <c r="M87" i="79"/>
  <c r="M86" i="79"/>
  <c r="AF56" i="79"/>
  <c r="T51" i="79"/>
  <c r="P83" i="79"/>
  <c r="G86" i="79"/>
  <c r="G87" i="79"/>
  <c r="Y87" i="79"/>
  <c r="Y86" i="79"/>
  <c r="AE83" i="79"/>
  <c r="V86" i="79"/>
  <c r="Z52" i="79"/>
  <c r="V87" i="79"/>
  <c r="Q86" i="79"/>
  <c r="Q87" i="79"/>
  <c r="AL56" i="79"/>
  <c r="P86" i="79"/>
  <c r="T52" i="79"/>
  <c r="P87" i="79"/>
  <c r="R83" i="79"/>
  <c r="K86" i="79"/>
  <c r="K87" i="79"/>
  <c r="AL55" i="79"/>
  <c r="M83" i="79"/>
  <c r="AI87" i="79"/>
  <c r="AI86" i="79"/>
  <c r="X87" i="79"/>
  <c r="X86" i="79"/>
  <c r="AD83" i="79"/>
  <c r="N56" i="79"/>
  <c r="S87" i="79"/>
  <c r="S86" i="79"/>
  <c r="X83" i="79"/>
  <c r="N55" i="79"/>
  <c r="S83" i="79"/>
  <c r="Q83" i="79"/>
  <c r="J86" i="79"/>
  <c r="N52" i="79"/>
  <c r="J87" i="79"/>
  <c r="F86" i="79"/>
  <c r="F87" i="79"/>
  <c r="W86" i="79"/>
  <c r="W87" i="79"/>
  <c r="AC83" i="79"/>
  <c r="AJ101" i="79"/>
  <c r="AJ103" i="79"/>
  <c r="AJ77" i="79"/>
  <c r="AK101" i="79"/>
  <c r="AK103" i="79"/>
  <c r="AK168" i="79"/>
  <c r="AK74" i="79"/>
  <c r="AL77" i="79"/>
  <c r="AL168" i="79"/>
  <c r="AL127" i="79"/>
  <c r="AN103" i="79"/>
  <c r="AN101" i="79"/>
  <c r="AL101" i="79"/>
  <c r="AL103" i="79"/>
  <c r="AK77" i="79"/>
  <c r="AL28" i="79"/>
  <c r="AL33" i="79"/>
  <c r="AN168" i="79"/>
  <c r="AN74" i="79"/>
  <c r="AL74" i="79"/>
  <c r="AL31" i="79"/>
  <c r="AO74" i="79"/>
  <c r="AN77" i="79"/>
  <c r="AO168" i="79"/>
  <c r="AP101" i="79"/>
  <c r="AP103" i="79"/>
  <c r="AO101" i="79"/>
  <c r="AO103" i="79"/>
  <c r="AP77" i="79"/>
  <c r="AP74" i="79"/>
  <c r="AO77" i="79"/>
  <c r="AQ101" i="79"/>
  <c r="AR101" i="79"/>
  <c r="AP168" i="79"/>
  <c r="AR103" i="79"/>
  <c r="AQ103" i="79"/>
  <c r="AQ168" i="79"/>
  <c r="AT77" i="79"/>
  <c r="AV127" i="79"/>
  <c r="AR28" i="79"/>
  <c r="AQ74" i="79"/>
  <c r="AT103" i="79"/>
  <c r="AT74" i="79"/>
  <c r="AR77" i="79"/>
  <c r="AR127" i="79"/>
  <c r="AT127" i="79"/>
  <c r="AR168" i="79"/>
  <c r="AQ77" i="79"/>
  <c r="AT101" i="79"/>
  <c r="AR33" i="79"/>
  <c r="AR74" i="79"/>
  <c r="AR31" i="79"/>
  <c r="AV101" i="79"/>
  <c r="AV103" i="79"/>
  <c r="AV77" i="79"/>
  <c r="AV74" i="79"/>
  <c r="AX77" i="79"/>
  <c r="AX74" i="79"/>
  <c r="H19" i="85"/>
  <c r="D13" i="6"/>
  <c r="D35" i="6"/>
  <c r="D29" i="6" s="1"/>
  <c r="X44" i="91" a="1"/>
  <c r="X44" i="91" s="1"/>
  <c r="Y43" i="91" a="1"/>
  <c r="Y43" i="91" s="1"/>
  <c r="Y39" i="91" a="1"/>
  <c r="Y39" i="91" s="1"/>
  <c r="Y38" i="91" a="1"/>
  <c r="Y38" i="91" s="1"/>
  <c r="X42" i="91" a="1"/>
  <c r="X42" i="91" s="1"/>
  <c r="Y44" i="91" a="1"/>
  <c r="Y44" i="91" s="1"/>
  <c r="X43" i="91" a="1"/>
  <c r="X43" i="91" s="1"/>
  <c r="X39" i="91" a="1"/>
  <c r="X39" i="91"/>
  <c r="Y42" i="91" a="1"/>
  <c r="Y42" i="91" s="1"/>
  <c r="X38" i="91" a="1"/>
  <c r="X38" i="91" s="1"/>
  <c r="Z38" i="91" s="1"/>
  <c r="X41" i="91" a="1"/>
  <c r="X41" i="91" s="1"/>
  <c r="Y40" i="91" a="1"/>
  <c r="Y40" i="91" s="1"/>
  <c r="X40" i="91" a="1"/>
  <c r="X40" i="91" s="1"/>
  <c r="Z40" i="91" s="1"/>
  <c r="Y41" i="91" a="1"/>
  <c r="Y41" i="91" s="1"/>
  <c r="F29" i="78" l="1"/>
  <c r="F35" i="78"/>
  <c r="X95" i="78"/>
  <c r="H158" i="78"/>
  <c r="S158" i="78"/>
  <c r="K157" i="78"/>
  <c r="K158" i="78"/>
  <c r="N158" i="78"/>
  <c r="G158" i="78"/>
  <c r="V158" i="78"/>
  <c r="F158" i="78"/>
  <c r="W158" i="78"/>
  <c r="P158" i="78"/>
  <c r="M158" i="78"/>
  <c r="R158" i="78"/>
  <c r="E158" i="78"/>
  <c r="D158" i="78"/>
  <c r="D157" i="78"/>
  <c r="Q158" i="78"/>
  <c r="L158" i="78"/>
  <c r="T158" i="78"/>
  <c r="J158" i="78"/>
  <c r="F33" i="6"/>
  <c r="H81" i="78"/>
  <c r="G102" i="78"/>
  <c r="N84" i="78"/>
  <c r="R126" i="78"/>
  <c r="T120" i="78"/>
  <c r="H176" i="78"/>
  <c r="R151" i="78"/>
  <c r="Q148" i="78"/>
  <c r="M139" i="78"/>
  <c r="D93" i="78"/>
  <c r="M157" i="78"/>
  <c r="J157" i="78"/>
  <c r="D90" i="78"/>
  <c r="R78" i="78"/>
  <c r="E64" i="78"/>
  <c r="G160" i="78"/>
  <c r="K96" i="78"/>
  <c r="S157" i="78"/>
  <c r="Q157" i="78"/>
  <c r="P157" i="78"/>
  <c r="Q75" i="78"/>
  <c r="D168" i="78"/>
  <c r="D154" i="78" s="1"/>
  <c r="Z166" i="78"/>
  <c r="D32" i="6" s="1"/>
  <c r="D33" i="6" s="1"/>
  <c r="P145" i="78"/>
  <c r="N126" i="78"/>
  <c r="W126" i="78"/>
  <c r="R96" i="78"/>
  <c r="W151" i="78"/>
  <c r="G64" i="78"/>
  <c r="Q160" i="78"/>
  <c r="S93" i="78"/>
  <c r="L157" i="78"/>
  <c r="W102" i="78"/>
  <c r="W99" i="78"/>
  <c r="M87" i="78"/>
  <c r="W84" i="78"/>
  <c r="G129" i="78"/>
  <c r="E126" i="78"/>
  <c r="N176" i="78"/>
  <c r="D151" i="78"/>
  <c r="Q151" i="78"/>
  <c r="F84" i="78"/>
  <c r="L148" i="78"/>
  <c r="K135" i="78"/>
  <c r="M160" i="78"/>
  <c r="R157" i="78"/>
  <c r="S168" i="78"/>
  <c r="S154" i="78" s="1"/>
  <c r="W145" i="78"/>
  <c r="R117" i="78"/>
  <c r="H84" i="78"/>
  <c r="T176" i="78"/>
  <c r="AE181" i="78"/>
  <c r="Q96" i="78"/>
  <c r="F157" i="78"/>
  <c r="AS161" i="78" s="1"/>
  <c r="E87" i="78"/>
  <c r="L139" i="78"/>
  <c r="V93" i="78"/>
  <c r="R90" i="78"/>
  <c r="S111" i="78"/>
  <c r="K160" i="78"/>
  <c r="AC181" i="78"/>
  <c r="G157" i="78"/>
  <c r="AT161" i="78" s="1"/>
  <c r="E157" i="78"/>
  <c r="AR161" i="78" s="1"/>
  <c r="I22" i="3"/>
  <c r="F24" i="78"/>
  <c r="E24" i="3"/>
  <c r="F87" i="78"/>
  <c r="P176" i="78"/>
  <c r="G51" i="78"/>
  <c r="G99" i="78"/>
  <c r="L138" i="78"/>
  <c r="K84" i="78"/>
  <c r="P139" i="78"/>
  <c r="N78" i="78"/>
  <c r="J126" i="78"/>
  <c r="H117" i="78"/>
  <c r="V111" i="78"/>
  <c r="P114" i="78"/>
  <c r="R135" i="78"/>
  <c r="K151" i="78"/>
  <c r="L84" i="78"/>
  <c r="L87" i="78"/>
  <c r="K63" i="78"/>
  <c r="N114" i="78"/>
  <c r="P111" i="78"/>
  <c r="E151" i="78"/>
  <c r="H93" i="78"/>
  <c r="N96" i="78"/>
  <c r="E16" i="3"/>
  <c r="K168" i="78"/>
  <c r="M164" i="78"/>
  <c r="M168" i="78" s="1"/>
  <c r="M154" i="78" s="1"/>
  <c r="W164" i="78"/>
  <c r="V78" i="78"/>
  <c r="H148" i="78"/>
  <c r="N75" i="78"/>
  <c r="H168" i="78"/>
  <c r="H154" i="78" s="1"/>
  <c r="T90" i="78"/>
  <c r="F126" i="78"/>
  <c r="N111" i="78"/>
  <c r="E111" i="78"/>
  <c r="Q111" i="78"/>
  <c r="T148" i="78"/>
  <c r="V151" i="78"/>
  <c r="M172" i="78"/>
  <c r="M135" i="78"/>
  <c r="L93" i="78"/>
  <c r="H22" i="78"/>
  <c r="K126" i="78"/>
  <c r="T111" i="78"/>
  <c r="L111" i="78"/>
  <c r="T160" i="78"/>
  <c r="Z64" i="78"/>
  <c r="F81" i="78"/>
  <c r="J87" i="78"/>
  <c r="K114" i="78"/>
  <c r="V99" i="78"/>
  <c r="S81" i="78"/>
  <c r="H75" i="78"/>
  <c r="N87" i="78"/>
  <c r="N120" i="78"/>
  <c r="P151" i="78"/>
  <c r="J148" i="78"/>
  <c r="E160" i="78"/>
  <c r="AQ161" i="78"/>
  <c r="AP164" i="78" s="1"/>
  <c r="S102" i="78"/>
  <c r="T99" i="78"/>
  <c r="J78" i="78"/>
  <c r="W114" i="78"/>
  <c r="K117" i="78"/>
  <c r="Q63" i="78"/>
  <c r="D129" i="78"/>
  <c r="D135" i="78"/>
  <c r="Q176" i="78"/>
  <c r="Q64" i="78"/>
  <c r="F13" i="78"/>
  <c r="F13" i="3" s="1"/>
  <c r="F42" i="78"/>
  <c r="F43" i="78" s="1"/>
  <c r="G43" i="78" s="1"/>
  <c r="G42" i="78" s="1"/>
  <c r="R93" i="78"/>
  <c r="F40" i="78"/>
  <c r="F41" i="78" s="1"/>
  <c r="G41" i="78" s="1"/>
  <c r="H41" i="78" s="1"/>
  <c r="J41" i="78" s="1"/>
  <c r="K41" i="78" s="1"/>
  <c r="H18" i="3"/>
  <c r="I18" i="3" s="1"/>
  <c r="V64" i="78"/>
  <c r="V181" i="78"/>
  <c r="V160" i="78"/>
  <c r="AB160" i="78" s="1"/>
  <c r="G90" i="78"/>
  <c r="W75" i="78"/>
  <c r="W78" i="78"/>
  <c r="Z78" i="78" s="1"/>
  <c r="Q78" i="78"/>
  <c r="G126" i="78"/>
  <c r="P72" i="78"/>
  <c r="T84" i="78"/>
  <c r="T145" i="78"/>
  <c r="T117" i="78"/>
  <c r="H151" i="78"/>
  <c r="F99" i="78"/>
  <c r="K99" i="78"/>
  <c r="K87" i="78"/>
  <c r="S84" i="78"/>
  <c r="G84" i="78"/>
  <c r="Q114" i="78"/>
  <c r="L81" i="78"/>
  <c r="D87" i="78"/>
  <c r="W139" i="78"/>
  <c r="H114" i="78"/>
  <c r="K72" i="78"/>
  <c r="F139" i="78"/>
  <c r="H123" i="78"/>
  <c r="K93" i="78"/>
  <c r="Q117" i="78"/>
  <c r="J176" i="78"/>
  <c r="G148" i="78"/>
  <c r="M170" i="78"/>
  <c r="W93" i="78"/>
  <c r="M93" i="78"/>
  <c r="P81" i="78"/>
  <c r="Q145" i="78"/>
  <c r="P63" i="78"/>
  <c r="Q90" i="78"/>
  <c r="D126" i="78"/>
  <c r="G176" i="78"/>
  <c r="H135" i="78"/>
  <c r="S96" i="78"/>
  <c r="K102" i="78"/>
  <c r="Q168" i="78"/>
  <c r="Q178" i="78" s="1"/>
  <c r="S63" i="78"/>
  <c r="P102" i="78"/>
  <c r="F102" i="78"/>
  <c r="W168" i="78"/>
  <c r="P84" i="78"/>
  <c r="L75" i="78"/>
  <c r="P78" i="78"/>
  <c r="V148" i="78"/>
  <c r="P148" i="78"/>
  <c r="L117" i="78"/>
  <c r="T72" i="78"/>
  <c r="L63" i="78"/>
  <c r="E145" i="78"/>
  <c r="H126" i="78"/>
  <c r="T93" i="78"/>
  <c r="W123" i="78"/>
  <c r="P117" i="78"/>
  <c r="D117" i="78"/>
  <c r="N151" i="78"/>
  <c r="J145" i="78"/>
  <c r="S64" i="78"/>
  <c r="J96" i="78"/>
  <c r="Q93" i="78"/>
  <c r="T96" i="78"/>
  <c r="I20" i="3"/>
  <c r="G168" i="78"/>
  <c r="G178" i="78" s="1"/>
  <c r="S99" i="78"/>
  <c r="G75" i="78"/>
  <c r="P168" i="78"/>
  <c r="P178" i="78" s="1"/>
  <c r="K138" i="78"/>
  <c r="M129" i="78"/>
  <c r="W81" i="78"/>
  <c r="G81" i="78"/>
  <c r="S114" i="78"/>
  <c r="N148" i="78"/>
  <c r="H90" i="78"/>
  <c r="N90" i="78"/>
  <c r="E129" i="78"/>
  <c r="F90" i="78"/>
  <c r="K176" i="78"/>
  <c r="K178" i="78" s="1"/>
  <c r="J151" i="78"/>
  <c r="K145" i="78"/>
  <c r="E18" i="78"/>
  <c r="E52" i="78" s="1"/>
  <c r="L99" i="78"/>
  <c r="V168" i="78"/>
  <c r="J84" i="78"/>
  <c r="E90" i="78"/>
  <c r="V81" i="78"/>
  <c r="G78" i="78"/>
  <c r="E78" i="78"/>
  <c r="F75" i="78"/>
  <c r="K148" i="78"/>
  <c r="J139" i="78"/>
  <c r="T81" i="78"/>
  <c r="H99" i="78"/>
  <c r="S117" i="78"/>
  <c r="G117" i="78"/>
  <c r="E114" i="78"/>
  <c r="W111" i="78"/>
  <c r="V114" i="78"/>
  <c r="T151" i="78"/>
  <c r="M148" i="78"/>
  <c r="S151" i="78"/>
  <c r="S139" i="78"/>
  <c r="F93" i="78"/>
  <c r="G33" i="6"/>
  <c r="F23" i="78"/>
  <c r="F23" i="3" s="1"/>
  <c r="G93" i="78"/>
  <c r="H43" i="78"/>
  <c r="J43" i="78" s="1"/>
  <c r="K43" i="78" s="1"/>
  <c r="I16" i="3"/>
  <c r="Z42" i="91"/>
  <c r="Z39" i="91"/>
  <c r="Z44" i="91"/>
  <c r="Z43" i="91"/>
  <c r="Z41" i="91"/>
  <c r="AD28" i="91" s="1" a="1"/>
  <c r="AD28" i="91" s="1"/>
  <c r="I24" i="3"/>
  <c r="Z181" i="78"/>
  <c r="Y181" i="78"/>
  <c r="D145" i="78"/>
  <c r="F176" i="78"/>
  <c r="F148" i="78"/>
  <c r="L151" i="78"/>
  <c r="L176" i="78"/>
  <c r="V176" i="78"/>
  <c r="V178" i="78" s="1"/>
  <c r="G174" i="78"/>
  <c r="G145" i="78"/>
  <c r="W181" i="78"/>
  <c r="D148" i="78"/>
  <c r="S172" i="78"/>
  <c r="S176" i="78"/>
  <c r="N135" i="78"/>
  <c r="N170" i="78"/>
  <c r="D81" i="78"/>
  <c r="M138" i="78"/>
  <c r="V87" i="78"/>
  <c r="D84" i="78"/>
  <c r="S75" i="78"/>
  <c r="M126" i="78"/>
  <c r="T164" i="78"/>
  <c r="T168" i="78" s="1"/>
  <c r="T102" i="78"/>
  <c r="L126" i="78"/>
  <c r="P90" i="78"/>
  <c r="P135" i="78"/>
  <c r="P154" i="78"/>
  <c r="F164" i="78"/>
  <c r="F168" i="78" s="1"/>
  <c r="V90" i="78"/>
  <c r="M84" i="78"/>
  <c r="G87" i="78"/>
  <c r="G138" i="78"/>
  <c r="M114" i="78"/>
  <c r="R81" i="78"/>
  <c r="F114" i="78"/>
  <c r="R111" i="78"/>
  <c r="R139" i="78"/>
  <c r="M72" i="78"/>
  <c r="M111" i="78"/>
  <c r="T78" i="78"/>
  <c r="N168" i="78"/>
  <c r="N178" i="78" s="1"/>
  <c r="P126" i="78"/>
  <c r="Q135" i="78"/>
  <c r="D176" i="78"/>
  <c r="M151" i="78"/>
  <c r="V145" i="78"/>
  <c r="J170" i="78"/>
  <c r="J135" i="78"/>
  <c r="M145" i="78"/>
  <c r="M174" i="78"/>
  <c r="D63" i="78"/>
  <c r="D102" i="78"/>
  <c r="D75" i="78"/>
  <c r="K154" i="78"/>
  <c r="J164" i="78"/>
  <c r="J168" i="78" s="1"/>
  <c r="D99" i="78"/>
  <c r="R99" i="78"/>
  <c r="P87" i="78"/>
  <c r="W87" i="78"/>
  <c r="E84" i="78"/>
  <c r="E138" i="78"/>
  <c r="L78" i="78"/>
  <c r="M78" i="78"/>
  <c r="V72" i="78"/>
  <c r="V139" i="78"/>
  <c r="V117" i="78"/>
  <c r="H102" i="78"/>
  <c r="D111" i="78"/>
  <c r="F111" i="78"/>
  <c r="F72" i="78"/>
  <c r="F63" i="78"/>
  <c r="J129" i="78"/>
  <c r="T126" i="78"/>
  <c r="S126" i="78"/>
  <c r="M176" i="78"/>
  <c r="R145" i="78"/>
  <c r="R174" i="78"/>
  <c r="E123" i="78"/>
  <c r="E135" i="78"/>
  <c r="V154" i="78"/>
  <c r="S148" i="78"/>
  <c r="X105" i="78"/>
  <c r="Y105" i="78" s="1"/>
  <c r="AB105" i="78" s="1"/>
  <c r="D14" i="6"/>
  <c r="R164" i="78"/>
  <c r="R168" i="78" s="1"/>
  <c r="R102" i="78"/>
  <c r="V75" i="78"/>
  <c r="Z75" i="78" s="1"/>
  <c r="S145" i="78"/>
  <c r="N72" i="78"/>
  <c r="H72" i="78"/>
  <c r="G72" i="78"/>
  <c r="G63" i="78"/>
  <c r="T123" i="78"/>
  <c r="T135" i="78"/>
  <c r="T114" i="78"/>
  <c r="G111" i="78"/>
  <c r="R176" i="78"/>
  <c r="R148" i="78"/>
  <c r="G139" i="78"/>
  <c r="R84" i="78"/>
  <c r="R63" i="78"/>
  <c r="L164" i="78"/>
  <c r="L168" i="78" s="1"/>
  <c r="L102" i="78"/>
  <c r="V102" i="78"/>
  <c r="E164" i="78"/>
  <c r="E168" i="78" s="1"/>
  <c r="K129" i="78"/>
  <c r="E81" i="78"/>
  <c r="G114" i="78"/>
  <c r="W148" i="78"/>
  <c r="W117" i="78"/>
  <c r="H111" i="78"/>
  <c r="E139" i="78"/>
  <c r="E72" i="78"/>
  <c r="E75" i="78"/>
  <c r="D139" i="78"/>
  <c r="S135" i="78"/>
  <c r="L135" i="78"/>
  <c r="F151" i="78"/>
  <c r="F145" i="78"/>
  <c r="H170" i="78"/>
  <c r="AC160" i="78"/>
  <c r="AE160" i="78"/>
  <c r="E96" i="78"/>
  <c r="N93" i="78"/>
  <c r="P93" i="78"/>
  <c r="Z123" i="78"/>
  <c r="F56" i="78"/>
  <c r="G56" i="78" s="1"/>
  <c r="F54" i="78"/>
  <c r="G54" i="78" s="1"/>
  <c r="D16" i="3"/>
  <c r="D16" i="78" s="1"/>
  <c r="E16" i="78"/>
  <c r="D24" i="3"/>
  <c r="D24" i="78" s="1"/>
  <c r="E24" i="78"/>
  <c r="E20" i="78"/>
  <c r="D20" i="3"/>
  <c r="D20" i="78" s="1"/>
  <c r="F78" i="78"/>
  <c r="L145" i="78"/>
  <c r="E117" i="78"/>
  <c r="R114" i="78"/>
  <c r="H8" i="78"/>
  <c r="J18" i="78"/>
  <c r="J51" i="78" s="1"/>
  <c r="J18" i="3"/>
  <c r="J24" i="78"/>
  <c r="J138" i="78"/>
  <c r="W90" i="78"/>
  <c r="S78" i="78"/>
  <c r="N102" i="78"/>
  <c r="K139" i="78"/>
  <c r="F117" i="78"/>
  <c r="F138" i="78"/>
  <c r="F135" i="78"/>
  <c r="P160" i="78"/>
  <c r="P64" i="78"/>
  <c r="F25" i="78"/>
  <c r="F25" i="3" s="1"/>
  <c r="F38" i="78"/>
  <c r="F15" i="78"/>
  <c r="F15" i="3" s="1"/>
  <c r="F19" i="78"/>
  <c r="F19" i="3" s="1"/>
  <c r="J90" i="78"/>
  <c r="W135" i="78"/>
  <c r="H120" i="78"/>
  <c r="W64" i="78"/>
  <c r="J20" i="3"/>
  <c r="J20" i="78"/>
  <c r="E29" i="78"/>
  <c r="E13" i="78" s="1"/>
  <c r="E13" i="3" s="1"/>
  <c r="E33" i="6"/>
  <c r="H40" i="78"/>
  <c r="E42" i="78"/>
  <c r="E40" i="78"/>
  <c r="K32" i="78"/>
  <c r="AV16" i="84" s="1"/>
  <c r="D42" i="78"/>
  <c r="H18" i="78"/>
  <c r="H51" i="78" s="1"/>
  <c r="J45" i="78"/>
  <c r="D29" i="78"/>
  <c r="M13" i="83"/>
  <c r="AF201" i="78" s="1"/>
  <c r="AC188" i="78"/>
  <c r="AJ188" i="78"/>
  <c r="AL189" i="78" s="1"/>
  <c r="AB188" i="78"/>
  <c r="AD188" i="78"/>
  <c r="AE188" i="78"/>
  <c r="AH188" i="78"/>
  <c r="X188" i="78"/>
  <c r="X189" i="78" s="1"/>
  <c r="D193" i="66"/>
  <c r="E193" i="66" s="1"/>
  <c r="C192" i="66"/>
  <c r="C191" i="66" s="1"/>
  <c r="C190" i="66" s="1"/>
  <c r="C189" i="66" s="1"/>
  <c r="C188" i="66" s="1"/>
  <c r="C187" i="66" s="1"/>
  <c r="C186" i="66" s="1"/>
  <c r="C185" i="66" s="1"/>
  <c r="C184" i="66" s="1"/>
  <c r="C183" i="66" s="1"/>
  <c r="C182" i="66" s="1"/>
  <c r="C181" i="66" s="1"/>
  <c r="C180" i="66" s="1"/>
  <c r="C179" i="66" s="1"/>
  <c r="C178" i="66" s="1"/>
  <c r="C177" i="66" s="1"/>
  <c r="C176" i="66" s="1"/>
  <c r="C175" i="66" s="1"/>
  <c r="C174" i="66" s="1"/>
  <c r="C173" i="66" s="1"/>
  <c r="C172" i="66" s="1"/>
  <c r="C171" i="66" s="1"/>
  <c r="C170" i="66" s="1"/>
  <c r="C169" i="66" s="1"/>
  <c r="C168" i="66" s="1"/>
  <c r="C167" i="66" s="1"/>
  <c r="C166" i="66" s="1"/>
  <c r="C165" i="66" s="1"/>
  <c r="C164" i="66" s="1"/>
  <c r="C163" i="66" s="1"/>
  <c r="C162" i="66" s="1"/>
  <c r="C161" i="66" s="1"/>
  <c r="C160" i="66" s="1"/>
  <c r="C159" i="66" s="1"/>
  <c r="C158" i="66" s="1"/>
  <c r="C157" i="66" s="1"/>
  <c r="C156" i="66" s="1"/>
  <c r="C155" i="66" s="1"/>
  <c r="C154" i="66" s="1"/>
  <c r="C194" i="66"/>
  <c r="D194" i="66" s="1"/>
  <c r="Q154" i="78" l="1"/>
  <c r="D178" i="78"/>
  <c r="S178" i="78"/>
  <c r="D17" i="6"/>
  <c r="G40" i="78"/>
  <c r="J22" i="3"/>
  <c r="J22" i="78"/>
  <c r="M178" i="78"/>
  <c r="H178" i="78"/>
  <c r="H42" i="78"/>
  <c r="G154" i="78"/>
  <c r="J16" i="3"/>
  <c r="K16" i="78" s="1"/>
  <c r="J16" i="78"/>
  <c r="W154" i="78"/>
  <c r="W178" i="78"/>
  <c r="K18" i="78"/>
  <c r="K51" i="78" s="1"/>
  <c r="K18" i="3"/>
  <c r="AC105" i="78"/>
  <c r="AD105" i="78" s="1"/>
  <c r="AE105" i="78" s="1"/>
  <c r="T178" i="78"/>
  <c r="T154" i="78"/>
  <c r="K20" i="3"/>
  <c r="K20" i="78"/>
  <c r="H54" i="78"/>
  <c r="G53" i="78"/>
  <c r="Z105" i="78"/>
  <c r="D19" i="78"/>
  <c r="D19" i="3" s="1"/>
  <c r="D38" i="78"/>
  <c r="D15" i="78"/>
  <c r="D15" i="3" s="1"/>
  <c r="D13" i="78"/>
  <c r="D13" i="3" s="1"/>
  <c r="F21" i="78"/>
  <c r="F21" i="3" s="1"/>
  <c r="F39" i="78"/>
  <c r="G39" i="78" s="1"/>
  <c r="F17" i="78"/>
  <c r="F17" i="3" s="1"/>
  <c r="H56" i="78"/>
  <c r="G55" i="78"/>
  <c r="G31" i="78" s="1"/>
  <c r="AL15" i="84" s="1"/>
  <c r="F178" i="78"/>
  <c r="F154" i="78"/>
  <c r="E15" i="78"/>
  <c r="E15" i="3" s="1"/>
  <c r="J8" i="78"/>
  <c r="AB64" i="78"/>
  <c r="E54" i="78"/>
  <c r="E25" i="78"/>
  <c r="E25" i="3" s="1"/>
  <c r="E56" i="78"/>
  <c r="J178" i="78"/>
  <c r="J154" i="78"/>
  <c r="E19" i="78"/>
  <c r="E19" i="3" s="1"/>
  <c r="E38" i="78"/>
  <c r="D25" i="78"/>
  <c r="D25" i="3" s="1"/>
  <c r="D54" i="78"/>
  <c r="D56" i="78"/>
  <c r="L178" i="78"/>
  <c r="L154" i="78"/>
  <c r="R154" i="78"/>
  <c r="R178" i="78"/>
  <c r="E178" i="78"/>
  <c r="E154" i="78"/>
  <c r="N154" i="78"/>
  <c r="AC189" i="78"/>
  <c r="AJ189" i="78"/>
  <c r="AB189" i="78"/>
  <c r="Y189" i="78"/>
  <c r="AE189" i="78"/>
  <c r="AD189" i="78"/>
  <c r="AH189" i="78"/>
  <c r="J40" i="78" l="1"/>
  <c r="J42" i="78"/>
  <c r="K22" i="78"/>
  <c r="K22" i="3"/>
  <c r="J24" i="3"/>
  <c r="AF105" i="78"/>
  <c r="AH105" i="78" s="1"/>
  <c r="AJ105" i="78" s="1"/>
  <c r="AL105" i="78" s="1"/>
  <c r="F57" i="78"/>
  <c r="H55" i="78"/>
  <c r="H31" i="78" s="1"/>
  <c r="AR15" i="84" s="1"/>
  <c r="J56" i="78"/>
  <c r="D21" i="78"/>
  <c r="D21" i="3" s="1"/>
  <c r="D39" i="78"/>
  <c r="L20" i="78"/>
  <c r="L38" i="78" s="1"/>
  <c r="M20" i="3"/>
  <c r="AH160" i="78"/>
  <c r="K8" i="78"/>
  <c r="AH181" i="78"/>
  <c r="AH64" i="78"/>
  <c r="H39" i="78"/>
  <c r="G38" i="78"/>
  <c r="E21" i="78"/>
  <c r="E21" i="3" s="1"/>
  <c r="E39" i="78"/>
  <c r="E46" i="78"/>
  <c r="G25" i="78"/>
  <c r="G25" i="3" s="1"/>
  <c r="G30" i="78"/>
  <c r="G59" i="78"/>
  <c r="AL22" i="84" s="1"/>
  <c r="D17" i="78"/>
  <c r="D17" i="3" s="1"/>
  <c r="E17" i="78"/>
  <c r="E17" i="3" s="1"/>
  <c r="F48" i="78"/>
  <c r="J54" i="78"/>
  <c r="H53" i="78"/>
  <c r="L18" i="78"/>
  <c r="L51" i="78" s="1"/>
  <c r="M18" i="3"/>
  <c r="C195" i="66"/>
  <c r="D195" i="66" s="1"/>
  <c r="C196" i="66"/>
  <c r="D196" i="66" s="1"/>
  <c r="E57" i="78" l="1"/>
  <c r="D57" i="78"/>
  <c r="K24" i="78"/>
  <c r="K24" i="3"/>
  <c r="L22" i="78"/>
  <c r="M22" i="3"/>
  <c r="K40" i="78"/>
  <c r="K42" i="78"/>
  <c r="AQ165" i="78"/>
  <c r="AB156" i="78" s="1"/>
  <c r="AS165" i="78"/>
  <c r="AD156" i="78" s="1"/>
  <c r="AT165" i="78"/>
  <c r="AR165" i="78"/>
  <c r="AC156" i="78" s="1"/>
  <c r="D48" i="78"/>
  <c r="G29" i="78"/>
  <c r="G21" i="78"/>
  <c r="G21" i="3" s="1"/>
  <c r="G17" i="78"/>
  <c r="G17" i="3" s="1"/>
  <c r="J39" i="78"/>
  <c r="K39" i="78" s="1"/>
  <c r="K38" i="78" s="1"/>
  <c r="H38" i="78"/>
  <c r="K56" i="78"/>
  <c r="K55" i="78" s="1"/>
  <c r="K31" i="78" s="1"/>
  <c r="AV15" i="84" s="1"/>
  <c r="J55" i="78"/>
  <c r="J31" i="78" s="1"/>
  <c r="AT15" i="84" s="1"/>
  <c r="E48" i="78"/>
  <c r="AL14" i="84"/>
  <c r="G23" i="78"/>
  <c r="G23" i="3" s="1"/>
  <c r="H25" i="78"/>
  <c r="H25" i="3" s="1"/>
  <c r="H59" i="78"/>
  <c r="AR22" i="84" s="1"/>
  <c r="H30" i="78"/>
  <c r="L21" i="78"/>
  <c r="K21" i="3" s="1"/>
  <c r="L29" i="78"/>
  <c r="AJ160" i="78"/>
  <c r="AJ181" i="78"/>
  <c r="AJ64" i="78"/>
  <c r="L8" i="78"/>
  <c r="J53" i="78"/>
  <c r="K54" i="78"/>
  <c r="K53" i="78" s="1"/>
  <c r="C197" i="66"/>
  <c r="D197" i="66" s="1"/>
  <c r="AE156" i="78" l="1"/>
  <c r="Y156" i="78"/>
  <c r="L42" i="78"/>
  <c r="L40" i="78"/>
  <c r="L17" i="78" s="1"/>
  <c r="K17" i="3" s="1"/>
  <c r="M17" i="3" s="1"/>
  <c r="L24" i="78"/>
  <c r="M24" i="3"/>
  <c r="M21" i="3"/>
  <c r="J59" i="78"/>
  <c r="AT22" i="84" s="1"/>
  <c r="J30" i="78"/>
  <c r="J25" i="78"/>
  <c r="I25" i="3" s="1"/>
  <c r="H29" i="78"/>
  <c r="H21" i="78"/>
  <c r="H21" i="3" s="1"/>
  <c r="H17" i="78"/>
  <c r="H17" i="3" s="1"/>
  <c r="J38" i="78"/>
  <c r="AR14" i="84"/>
  <c r="H23" i="78"/>
  <c r="H23" i="3" s="1"/>
  <c r="AL160" i="78"/>
  <c r="AL181" i="78"/>
  <c r="AL64" i="78"/>
  <c r="L19" i="78"/>
  <c r="K19" i="3" s="1"/>
  <c r="AX13" i="84"/>
  <c r="G19" i="78"/>
  <c r="G19" i="3" s="1"/>
  <c r="AL13" i="84"/>
  <c r="G15" i="78"/>
  <c r="G15" i="3" s="1"/>
  <c r="G13" i="78"/>
  <c r="G13" i="3" s="1"/>
  <c r="K30" i="78"/>
  <c r="K25" i="78"/>
  <c r="J25" i="3" s="1"/>
  <c r="K59" i="78"/>
  <c r="AV22" i="84" s="1"/>
  <c r="C198" i="66"/>
  <c r="D198" i="66" s="1"/>
  <c r="AP156" i="78" l="1"/>
  <c r="AF156" i="78"/>
  <c r="Z156" i="78"/>
  <c r="L55" i="78"/>
  <c r="L31" i="78" s="1"/>
  <c r="AX15" i="84" s="1"/>
  <c r="L53" i="78"/>
  <c r="M19" i="3"/>
  <c r="AR13" i="84"/>
  <c r="H19" i="78"/>
  <c r="H19" i="3" s="1"/>
  <c r="H13" i="78"/>
  <c r="H13" i="3" s="1"/>
  <c r="H15" i="78"/>
  <c r="H15" i="3" s="1"/>
  <c r="J21" i="78"/>
  <c r="I21" i="3" s="1"/>
  <c r="J17" i="78"/>
  <c r="I17" i="3" s="1"/>
  <c r="J29" i="78"/>
  <c r="K21" i="78"/>
  <c r="J21" i="3" s="1"/>
  <c r="K29" i="78"/>
  <c r="K17" i="78"/>
  <c r="J17" i="3" s="1"/>
  <c r="AT14" i="84"/>
  <c r="J23" i="78"/>
  <c r="I23" i="3" s="1"/>
  <c r="AV14" i="84"/>
  <c r="K23" i="78"/>
  <c r="J23" i="3" s="1"/>
  <c r="C199" i="66"/>
  <c r="D199" i="66" s="1"/>
  <c r="L30" i="78" l="1"/>
  <c r="L25" i="78"/>
  <c r="K25" i="3" s="1"/>
  <c r="M25" i="3" s="1"/>
  <c r="L59" i="78"/>
  <c r="AX22" i="84" s="1"/>
  <c r="J19" i="78"/>
  <c r="I19" i="3" s="1"/>
  <c r="AT13" i="84"/>
  <c r="J13" i="78"/>
  <c r="I13" i="3" s="1"/>
  <c r="J15" i="78"/>
  <c r="I15" i="3" s="1"/>
  <c r="AV13" i="84"/>
  <c r="K15" i="78"/>
  <c r="J15" i="3" s="1"/>
  <c r="K19" i="78"/>
  <c r="J19" i="3" s="1"/>
  <c r="K13" i="78"/>
  <c r="J13" i="3" s="1"/>
  <c r="C200" i="66"/>
  <c r="D200" i="66" s="1"/>
  <c r="L13" i="78" l="1"/>
  <c r="K13" i="3" s="1"/>
  <c r="M13" i="3" s="1"/>
  <c r="L23" i="78"/>
  <c r="K23" i="3" s="1"/>
  <c r="M23" i="3" s="1"/>
  <c r="L15" i="78"/>
  <c r="K15" i="3" s="1"/>
  <c r="M15" i="3" s="1"/>
  <c r="AX14" i="84"/>
  <c r="D22" i="6"/>
  <c r="D25" i="6" s="1"/>
  <c r="C201" i="66"/>
  <c r="D201" i="66" s="1"/>
  <c r="C202" i="66" l="1"/>
  <c r="D202" i="66" s="1"/>
  <c r="D23" i="6" l="1"/>
  <c r="C203" i="66"/>
  <c r="D203" i="66" s="1"/>
  <c r="C204" i="66" l="1"/>
  <c r="D204" i="66" s="1"/>
  <c r="C205" i="66" l="1"/>
  <c r="D205" i="66" s="1"/>
  <c r="C206" i="66" l="1"/>
  <c r="D206" i="66" s="1"/>
  <c r="C207" i="66" l="1"/>
  <c r="D207" i="66" s="1"/>
  <c r="C208" i="66" l="1"/>
  <c r="D208" i="66" s="1"/>
  <c r="C209" i="66" l="1"/>
  <c r="D209" i="66" s="1"/>
  <c r="C210" i="66" l="1"/>
  <c r="D210" i="66" s="1"/>
  <c r="C211" i="66" l="1"/>
  <c r="D211" i="66" s="1"/>
  <c r="C212" i="66" l="1"/>
  <c r="D212" i="66" s="1"/>
  <c r="C213" i="66" l="1"/>
  <c r="D213" i="66" s="1"/>
  <c r="C214" i="66" l="1"/>
  <c r="D214" i="66" s="1"/>
  <c r="C215" i="66" l="1"/>
  <c r="D215" i="66" s="1"/>
  <c r="C216" i="66" l="1"/>
  <c r="D216" i="66" s="1"/>
  <c r="C217" i="66" l="1"/>
  <c r="D217" i="66" s="1"/>
  <c r="C218" i="66" l="1"/>
  <c r="D218" i="66" s="1"/>
  <c r="C219" i="66" l="1"/>
  <c r="D219" i="66" s="1"/>
  <c r="C220" i="66" l="1"/>
  <c r="D220" i="66" s="1"/>
  <c r="C221" i="66" l="1"/>
  <c r="D221" i="66" s="1"/>
  <c r="C222" i="66" l="1"/>
  <c r="D222" i="66" s="1"/>
  <c r="C223" i="66" l="1"/>
  <c r="D223" i="66" s="1"/>
  <c r="C224" i="66" l="1"/>
  <c r="D224" i="66" s="1"/>
  <c r="C225" i="66" l="1"/>
  <c r="D225" i="66" s="1"/>
  <c r="C226" i="66" l="1"/>
  <c r="D226" i="66" s="1"/>
  <c r="C227" i="66" l="1"/>
  <c r="D227" i="66" s="1"/>
  <c r="C228" i="66" l="1"/>
  <c r="D228" i="66" s="1"/>
  <c r="C229" i="66" l="1"/>
  <c r="D229" i="66" s="1"/>
  <c r="C230" i="66" l="1"/>
  <c r="D230" i="66" s="1"/>
  <c r="C231" i="66" l="1"/>
  <c r="D231" i="66" s="1"/>
  <c r="C232" i="66" l="1"/>
  <c r="D232" i="66" s="1"/>
  <c r="C233" i="66" l="1"/>
  <c r="D233" i="66" s="1"/>
  <c r="C234" i="66" l="1"/>
  <c r="D234" i="66" s="1"/>
  <c r="C235" i="66" l="1"/>
  <c r="D235" i="66" s="1"/>
  <c r="C236" i="66" l="1"/>
  <c r="D236" i="66" s="1"/>
  <c r="C237" i="66" l="1"/>
  <c r="D237" i="66" s="1"/>
  <c r="C238" i="66" l="1"/>
  <c r="D238" i="66" s="1"/>
  <c r="C239" i="66" l="1"/>
  <c r="D239" i="66" s="1"/>
  <c r="C240" i="66" l="1"/>
  <c r="D240" i="66" s="1"/>
  <c r="C241" i="66" l="1"/>
  <c r="D241" i="66" s="1"/>
  <c r="C242" i="66" l="1"/>
  <c r="D242" i="66" s="1"/>
  <c r="C243" i="66" l="1"/>
  <c r="D243" i="66" s="1"/>
  <c r="C244" i="66" l="1"/>
  <c r="D244" i="66" s="1"/>
  <c r="C245" i="66" l="1"/>
  <c r="D245" i="66" s="1"/>
  <c r="C246" i="66" l="1"/>
  <c r="D246" i="66" s="1"/>
  <c r="C247" i="66" l="1"/>
  <c r="D247" i="66" s="1"/>
  <c r="C248" i="66" l="1"/>
  <c r="D248" i="66" s="1"/>
  <c r="C249" i="66" l="1"/>
  <c r="D249" i="66" s="1"/>
  <c r="C250" i="66" l="1"/>
  <c r="D250" i="66" s="1"/>
  <c r="C251" i="66" l="1"/>
  <c r="D251" i="66" s="1"/>
  <c r="C252" i="66" l="1"/>
  <c r="D252" i="66" s="1"/>
  <c r="C253" i="66" l="1"/>
  <c r="D253" i="66" s="1"/>
  <c r="C254" i="66" l="1"/>
  <c r="D254" i="66" s="1"/>
  <c r="C255" i="66" l="1"/>
  <c r="D255" i="66" s="1"/>
  <c r="C256" i="66" l="1"/>
  <c r="D256" i="66" s="1"/>
  <c r="C257" i="66" l="1"/>
  <c r="D257" i="66" s="1"/>
  <c r="C258" i="66" l="1"/>
  <c r="D258" i="66" s="1"/>
  <c r="C259" i="66" l="1"/>
  <c r="D259" i="66" s="1"/>
  <c r="C260" i="66" l="1"/>
  <c r="D260" i="66" s="1"/>
  <c r="C261" i="66" l="1"/>
  <c r="D261" i="66" s="1"/>
  <c r="C262" i="66" l="1"/>
  <c r="D262" i="66" s="1"/>
  <c r="C263" i="66" l="1"/>
  <c r="D263" i="66" s="1"/>
  <c r="C264" i="66" l="1"/>
  <c r="D264" i="66" s="1"/>
  <c r="C265" i="66" l="1"/>
  <c r="D265" i="66" s="1"/>
  <c r="C266" i="66" l="1"/>
  <c r="D266" i="66" s="1"/>
  <c r="C267" i="66" l="1"/>
  <c r="D267" i="66" s="1"/>
  <c r="C268" i="66" l="1"/>
  <c r="D268" i="66" s="1"/>
  <c r="C269" i="66" l="1"/>
  <c r="D269" i="66" s="1"/>
  <c r="C270" i="66" l="1"/>
  <c r="D270" i="66" s="1"/>
  <c r="C271" i="66" l="1"/>
  <c r="D271" i="66" s="1"/>
  <c r="C272" i="66" l="1"/>
  <c r="D272" i="66" s="1"/>
  <c r="C273" i="66" l="1"/>
  <c r="D273" i="66" s="1"/>
  <c r="C274" i="66" l="1"/>
  <c r="D274" i="66" s="1"/>
  <c r="C275" i="66" l="1"/>
  <c r="D275" i="66" s="1"/>
  <c r="C276" i="66" l="1"/>
  <c r="D276" i="66" s="1"/>
  <c r="C277" i="66" l="1"/>
  <c r="D277" i="66" s="1"/>
  <c r="C278" i="66" l="1"/>
  <c r="D278" i="66" s="1"/>
  <c r="C279" i="66" l="1"/>
  <c r="D279" i="66" s="1"/>
  <c r="C280" i="66" l="1"/>
  <c r="D280" i="66" s="1"/>
  <c r="C281" i="66" l="1"/>
  <c r="D281" i="66" s="1"/>
  <c r="C282" i="66" l="1"/>
  <c r="D282" i="66" s="1"/>
  <c r="C283" i="66" l="1"/>
  <c r="D283" i="66" s="1"/>
  <c r="C284" i="66" l="1"/>
  <c r="D284" i="66" s="1"/>
  <c r="C285" i="66" l="1"/>
  <c r="D285" i="66" s="1"/>
  <c r="C286" i="66" l="1"/>
  <c r="D286" i="66" s="1"/>
  <c r="C287" i="66" l="1"/>
  <c r="D287" i="66" s="1"/>
  <c r="C288" i="66" l="1"/>
  <c r="D288" i="66" s="1"/>
  <c r="C289" i="66" l="1"/>
  <c r="D289" i="66" s="1"/>
  <c r="C290" i="66" l="1"/>
  <c r="D290" i="66" s="1"/>
  <c r="C291" i="66" l="1"/>
  <c r="D291" i="66" s="1"/>
  <c r="C292" i="66" l="1"/>
  <c r="D292" i="66" s="1"/>
  <c r="C293" i="66" l="1"/>
  <c r="D293" i="66" s="1"/>
  <c r="C294" i="66" l="1"/>
  <c r="D294" i="66" s="1"/>
  <c r="C295" i="66" l="1"/>
  <c r="D295" i="66" s="1"/>
  <c r="C296" i="66" l="1"/>
  <c r="D296" i="66" s="1"/>
  <c r="C297" i="66" l="1"/>
  <c r="D297" i="66" s="1"/>
  <c r="C298" i="66" l="1"/>
  <c r="D298" i="66" s="1"/>
  <c r="C299" i="66" l="1"/>
  <c r="D299" i="66" s="1"/>
  <c r="C300" i="66" l="1"/>
  <c r="D300" i="66" s="1"/>
  <c r="C301" i="66" l="1"/>
  <c r="D301" i="66" s="1"/>
  <c r="C302" i="66" l="1"/>
  <c r="D302" i="66" s="1"/>
  <c r="C303" i="66" l="1"/>
  <c r="D303" i="66" s="1"/>
  <c r="C304" i="66" l="1"/>
  <c r="D304" i="66" s="1"/>
  <c r="C305" i="66" l="1"/>
  <c r="D305" i="66" s="1"/>
  <c r="C306" i="66" l="1"/>
  <c r="D306" i="66" s="1"/>
  <c r="C307" i="66" l="1"/>
  <c r="D307" i="66" s="1"/>
  <c r="C308" i="66" l="1"/>
  <c r="D308" i="66" s="1"/>
  <c r="C309" i="66" l="1"/>
  <c r="D309" i="66" s="1"/>
  <c r="C310" i="66" l="1"/>
  <c r="D310" i="66" s="1"/>
  <c r="C311" i="66" l="1"/>
  <c r="D311" i="66" s="1"/>
  <c r="C312" i="66" l="1"/>
  <c r="D312" i="66" s="1"/>
  <c r="C313" i="66" l="1"/>
  <c r="D313" i="66" s="1"/>
  <c r="C314" i="66" l="1"/>
  <c r="D314" i="66" s="1"/>
  <c r="C315" i="66" l="1"/>
  <c r="D315" i="66" s="1"/>
  <c r="C316" i="66" l="1"/>
  <c r="D316" i="66" s="1"/>
  <c r="C317" i="66" l="1"/>
  <c r="D317" i="66" s="1"/>
  <c r="C318" i="66" l="1"/>
  <c r="D318" i="66" s="1"/>
  <c r="C319" i="66" l="1"/>
  <c r="D319" i="66" s="1"/>
  <c r="C320" i="66" l="1"/>
  <c r="D320" i="66" s="1"/>
  <c r="C321" i="66" l="1"/>
  <c r="D321" i="66" s="1"/>
  <c r="C322" i="66" l="1"/>
  <c r="D322" i="66" s="1"/>
  <c r="C323" i="66" l="1"/>
  <c r="D323" i="66" s="1"/>
  <c r="C324" i="66" l="1"/>
  <c r="D324" i="66" s="1"/>
  <c r="C325" i="66" l="1"/>
  <c r="D325" i="66" s="1"/>
  <c r="C326" i="66" l="1"/>
  <c r="D326" i="66" s="1"/>
  <c r="C327" i="66" l="1"/>
  <c r="D327" i="66" s="1"/>
  <c r="C328" i="66" l="1"/>
  <c r="D328" i="66" s="1"/>
  <c r="C329" i="66" l="1"/>
  <c r="D329" i="66" s="1"/>
  <c r="C330" i="66" l="1"/>
  <c r="D330" i="66" s="1"/>
  <c r="C331" i="66" l="1"/>
  <c r="D331" i="66" s="1"/>
  <c r="C332" i="66" l="1"/>
  <c r="D332" i="66" s="1"/>
  <c r="C333" i="66" l="1"/>
  <c r="D333" i="66" s="1"/>
  <c r="C334" i="66" l="1"/>
  <c r="D334" i="66" s="1"/>
  <c r="C335" i="66" l="1"/>
  <c r="D335" i="66" s="1"/>
  <c r="C336" i="66" l="1"/>
  <c r="D336" i="66" s="1"/>
  <c r="C337" i="66" l="1"/>
  <c r="D337" i="66" s="1"/>
  <c r="C338" i="66" l="1"/>
  <c r="D338" i="66" s="1"/>
  <c r="C339" i="66" l="1"/>
  <c r="D339" i="66" s="1"/>
  <c r="C340" i="66" l="1"/>
  <c r="D340" i="66" s="1"/>
  <c r="C341" i="66" l="1"/>
  <c r="D341" i="66" s="1"/>
  <c r="C342" i="66" l="1"/>
  <c r="D342" i="66" s="1"/>
  <c r="C343" i="66" l="1"/>
  <c r="D343" i="66" s="1"/>
  <c r="C344" i="66" l="1"/>
  <c r="D344" i="66" s="1"/>
  <c r="C345" i="66" l="1"/>
  <c r="D345" i="66" s="1"/>
  <c r="C346" i="66" l="1"/>
  <c r="D346" i="66" s="1"/>
  <c r="C347" i="66" l="1"/>
  <c r="D347" i="66" s="1"/>
  <c r="C348" i="66" l="1"/>
  <c r="D348" i="66" s="1"/>
  <c r="C349" i="66" l="1"/>
  <c r="D349" i="66" s="1"/>
  <c r="C350" i="66" l="1"/>
  <c r="D350" i="66" s="1"/>
  <c r="C351" i="66" l="1"/>
  <c r="D351" i="66" s="1"/>
  <c r="C352" i="66" l="1"/>
  <c r="D352" i="66" s="1"/>
  <c r="C353" i="66" l="1"/>
  <c r="D353" i="66" s="1"/>
  <c r="C354" i="66" l="1"/>
  <c r="D354" i="66" s="1"/>
  <c r="C355" i="66" l="1"/>
  <c r="D355" i="66" s="1"/>
  <c r="C356" i="66" l="1"/>
  <c r="D356" i="66" s="1"/>
  <c r="C357" i="66" l="1"/>
  <c r="D357" i="66" s="1"/>
  <c r="C358" i="66" l="1"/>
  <c r="D358" i="66" s="1"/>
  <c r="C359" i="66" l="1"/>
  <c r="D359" i="66" s="1"/>
  <c r="C360" i="66" l="1"/>
  <c r="D360" i="66" s="1"/>
  <c r="C361" i="66" l="1"/>
  <c r="D361" i="66" s="1"/>
  <c r="C362" i="66" l="1"/>
  <c r="D362" i="66" s="1"/>
  <c r="C363" i="66" l="1"/>
  <c r="D363" i="66" s="1"/>
  <c r="C364" i="66" l="1"/>
  <c r="D364" i="66" s="1"/>
  <c r="C365" i="66" l="1"/>
  <c r="D365" i="66" s="1"/>
  <c r="C366" i="66" l="1"/>
  <c r="D366" i="66" s="1"/>
  <c r="C367" i="66" l="1"/>
  <c r="D367" i="66" s="1"/>
  <c r="C368" i="66" l="1"/>
  <c r="D368" i="66" s="1"/>
  <c r="C369" i="66" l="1"/>
  <c r="D369" i="66" s="1"/>
  <c r="C370" i="66" l="1"/>
  <c r="D370" i="66" s="1"/>
  <c r="C371" i="66" l="1"/>
  <c r="D371" i="66" s="1"/>
  <c r="C372" i="66" l="1"/>
  <c r="D372" i="66" s="1"/>
  <c r="C373" i="66" l="1"/>
  <c r="D373" i="66" s="1"/>
  <c r="C374" i="66" l="1"/>
  <c r="D374" i="66" s="1"/>
  <c r="C375" i="66" l="1"/>
  <c r="D375" i="66" s="1"/>
  <c r="C376" i="66" l="1"/>
  <c r="D376" i="66" s="1"/>
  <c r="C377" i="66" l="1"/>
  <c r="D377" i="66" s="1"/>
  <c r="C378" i="66" l="1"/>
  <c r="D378" i="66" s="1"/>
  <c r="C379" i="66" l="1"/>
  <c r="D379" i="66" s="1"/>
  <c r="C380" i="66" l="1"/>
  <c r="D380" i="66" s="1"/>
  <c r="C381" i="66" l="1"/>
  <c r="D381" i="66" s="1"/>
  <c r="C382" i="66" l="1"/>
  <c r="D382" i="66" s="1"/>
  <c r="C383" i="66" l="1"/>
  <c r="D383" i="66" s="1"/>
  <c r="C384" i="66" l="1"/>
  <c r="D384" i="66" s="1"/>
  <c r="C385" i="66" l="1"/>
  <c r="D385" i="66" s="1"/>
  <c r="C386" i="66" l="1"/>
  <c r="D386" i="66" s="1"/>
  <c r="C387" i="66" l="1"/>
  <c r="D387" i="66" s="1"/>
  <c r="C388" i="66" l="1"/>
  <c r="D388" i="66" s="1"/>
  <c r="C389" i="66" l="1"/>
  <c r="D389" i="66" s="1"/>
  <c r="C390" i="66" l="1"/>
  <c r="D390" i="66" s="1"/>
  <c r="C391" i="66" l="1"/>
  <c r="D391" i="66" s="1"/>
  <c r="C392" i="66" l="1"/>
  <c r="D392" i="66" s="1"/>
  <c r="C393" i="66" l="1"/>
  <c r="D393" i="66" s="1"/>
  <c r="C394" i="66" l="1"/>
  <c r="D394" i="66" s="1"/>
  <c r="C395" i="66" l="1"/>
  <c r="D395" i="66" s="1"/>
  <c r="C396" i="66" l="1"/>
  <c r="D396" i="66" s="1"/>
  <c r="C397" i="66" l="1"/>
  <c r="D397" i="66" s="1"/>
  <c r="C398" i="66" l="1"/>
  <c r="D398" i="66" s="1"/>
  <c r="C399" i="66" l="1"/>
  <c r="D399" i="66" s="1"/>
  <c r="C400" i="66" l="1"/>
  <c r="D400" i="66" s="1"/>
  <c r="C401" i="66" l="1"/>
  <c r="D401" i="66" s="1"/>
  <c r="C402" i="66" l="1"/>
  <c r="D402" i="66" s="1"/>
  <c r="C403" i="66" l="1"/>
  <c r="D403" i="66" s="1"/>
  <c r="C404" i="66" l="1"/>
  <c r="D404" i="66" s="1"/>
  <c r="C405" i="66" l="1"/>
  <c r="D405" i="66" s="1"/>
  <c r="C406" i="66" l="1"/>
  <c r="D406" i="66" s="1"/>
  <c r="C407" i="66" l="1"/>
  <c r="D407" i="66" s="1"/>
  <c r="C408" i="66" l="1"/>
  <c r="D408" i="66" s="1"/>
  <c r="C409" i="66" l="1"/>
  <c r="D409" i="66" s="1"/>
  <c r="C410" i="66" l="1"/>
  <c r="D410" i="66" s="1"/>
  <c r="C411" i="66" l="1"/>
  <c r="D411" i="66" s="1"/>
  <c r="C412" i="66" l="1"/>
  <c r="D412" i="66" s="1"/>
  <c r="C413" i="66" l="1"/>
  <c r="D413" i="66" s="1"/>
  <c r="C414" i="66" l="1"/>
  <c r="D414" i="66" s="1"/>
  <c r="C415" i="66" l="1"/>
  <c r="D415" i="66" s="1"/>
  <c r="C416" i="66" l="1"/>
  <c r="D416" i="66" s="1"/>
  <c r="C417" i="66" l="1"/>
  <c r="D417" i="66" s="1"/>
  <c r="C418" i="66" l="1"/>
  <c r="D418" i="66" s="1"/>
  <c r="C419" i="66" l="1"/>
  <c r="D419" i="66" s="1"/>
  <c r="C420" i="66" l="1"/>
  <c r="D420" i="66" s="1"/>
  <c r="C421" i="66" l="1"/>
  <c r="D421" i="66" s="1"/>
  <c r="C422" i="66" l="1"/>
  <c r="D422" i="66" s="1"/>
  <c r="C423" i="66" l="1"/>
  <c r="D423" i="66" s="1"/>
  <c r="C424" i="66" l="1"/>
  <c r="D424" i="66" s="1"/>
  <c r="C425" i="66" l="1"/>
  <c r="D425" i="66" s="1"/>
  <c r="C426" i="66" l="1"/>
  <c r="D426" i="66" s="1"/>
  <c r="C427" i="66" l="1"/>
  <c r="D427" i="66" s="1"/>
  <c r="C428" i="66" l="1"/>
  <c r="D428" i="66" s="1"/>
  <c r="C429" i="66" l="1"/>
  <c r="D429" i="66" s="1"/>
  <c r="C430" i="66" l="1"/>
  <c r="D430" i="66" s="1"/>
  <c r="C431" i="66" l="1"/>
  <c r="D431" i="66" s="1"/>
  <c r="C432" i="66" l="1"/>
  <c r="D432" i="66" s="1"/>
  <c r="C433" i="66" l="1"/>
  <c r="D433" i="66" s="1"/>
  <c r="C434" i="66" l="1"/>
  <c r="D434" i="66" s="1"/>
  <c r="C435" i="66" l="1"/>
  <c r="D435" i="66" s="1"/>
  <c r="C436" i="66" l="1"/>
  <c r="D436" i="66" s="1"/>
  <c r="C437" i="66" l="1"/>
  <c r="D437" i="66" s="1"/>
  <c r="C438" i="66" l="1"/>
  <c r="D438" i="66" s="1"/>
  <c r="C439" i="66" l="1"/>
  <c r="D439" i="66" s="1"/>
  <c r="C440" i="66" l="1"/>
  <c r="D440" i="66" s="1"/>
  <c r="C441" i="66" l="1"/>
  <c r="D441" i="66" s="1"/>
  <c r="C442" i="66" l="1"/>
  <c r="D442" i="66" s="1"/>
  <c r="C443" i="66" l="1"/>
  <c r="D443" i="66" s="1"/>
  <c r="C444" i="66" l="1"/>
  <c r="D444" i="66" s="1"/>
  <c r="C445" i="66" l="1"/>
  <c r="D445" i="66" s="1"/>
  <c r="C446" i="66" l="1"/>
  <c r="D446" i="66" s="1"/>
  <c r="C447" i="66" l="1"/>
  <c r="D447" i="66" s="1"/>
  <c r="C448" i="66" l="1"/>
  <c r="D448" i="66" s="1"/>
  <c r="C449" i="66" l="1"/>
  <c r="D449" i="66" s="1"/>
  <c r="C450" i="66" l="1"/>
  <c r="D450" i="66" s="1"/>
  <c r="C451" i="66" l="1"/>
  <c r="D451" i="66" s="1"/>
  <c r="C452" i="66" l="1"/>
  <c r="D452" i="66" s="1"/>
  <c r="C453" i="66" l="1"/>
  <c r="D453" i="66" s="1"/>
  <c r="C454" i="66" l="1"/>
  <c r="D454" i="66" s="1"/>
  <c r="C455" i="66" l="1"/>
  <c r="D455" i="66" s="1"/>
  <c r="C456" i="66" l="1"/>
  <c r="D456" i="66" s="1"/>
  <c r="C457" i="66" l="1"/>
  <c r="D457" i="66" s="1"/>
  <c r="C458" i="66" l="1"/>
  <c r="D458" i="66" s="1"/>
  <c r="C459" i="66" l="1"/>
  <c r="D459" i="66" s="1"/>
  <c r="C460" i="66" l="1"/>
  <c r="D460" i="66" s="1"/>
  <c r="C461" i="66" l="1"/>
  <c r="D461" i="66" s="1"/>
  <c r="C462" i="66" l="1"/>
  <c r="D462" i="66" s="1"/>
  <c r="C463" i="66" l="1"/>
  <c r="D463" i="66" s="1"/>
  <c r="C464" i="66" l="1"/>
  <c r="D464" i="66" s="1"/>
  <c r="C465" i="66" l="1"/>
  <c r="D465" i="66" s="1"/>
  <c r="C466" i="66" l="1"/>
  <c r="D466" i="66" s="1"/>
  <c r="C467" i="66" l="1"/>
  <c r="D467" i="66" s="1"/>
  <c r="C468" i="66" l="1"/>
  <c r="D468" i="66" s="1"/>
  <c r="C469" i="66" l="1"/>
  <c r="D469" i="66" s="1"/>
  <c r="C470" i="66" l="1"/>
  <c r="D470" i="66" s="1"/>
  <c r="C471" i="66" l="1"/>
  <c r="D471" i="66" s="1"/>
  <c r="C472" i="66" l="1"/>
  <c r="D472" i="66" s="1"/>
  <c r="C473" i="66" l="1"/>
  <c r="D473" i="66" s="1"/>
  <c r="C474" i="66" l="1"/>
  <c r="D474" i="66" s="1"/>
  <c r="C475" i="66" l="1"/>
  <c r="D475" i="66" s="1"/>
  <c r="C476" i="66" l="1"/>
  <c r="D476" i="66" s="1"/>
  <c r="C477" i="66" l="1"/>
  <c r="D477" i="66" s="1"/>
  <c r="C478" i="66" l="1"/>
  <c r="D478" i="66" s="1"/>
  <c r="C479" i="66" l="1"/>
  <c r="D479" i="66" s="1"/>
  <c r="C480" i="66" l="1"/>
  <c r="D480" i="66" s="1"/>
  <c r="C481" i="66" l="1"/>
  <c r="D481" i="66" s="1"/>
  <c r="C482" i="66" l="1"/>
  <c r="D482" i="66" s="1"/>
  <c r="C483" i="66" l="1"/>
  <c r="D483" i="66" s="1"/>
  <c r="C484" i="66" l="1"/>
  <c r="D484" i="66" s="1"/>
  <c r="C485" i="66" l="1"/>
  <c r="D485" i="66" s="1"/>
  <c r="C486" i="66" l="1"/>
  <c r="D486" i="66" s="1"/>
  <c r="C487" i="66" l="1"/>
  <c r="D487" i="66" s="1"/>
  <c r="C488" i="66" l="1"/>
  <c r="D488" i="66" s="1"/>
  <c r="C489" i="66" l="1"/>
  <c r="D489" i="66" s="1"/>
  <c r="C490" i="66" l="1"/>
  <c r="D490" i="66" s="1"/>
  <c r="C491" i="66" l="1"/>
  <c r="D491" i="66" s="1"/>
  <c r="C492" i="66" l="1"/>
  <c r="D492" i="66" s="1"/>
  <c r="C493" i="66" l="1"/>
  <c r="D493" i="66" s="1"/>
  <c r="C494" i="66" l="1"/>
  <c r="D494" i="66" s="1"/>
  <c r="C495" i="66" l="1"/>
  <c r="D495" i="66" s="1"/>
  <c r="C496" i="66" l="1"/>
  <c r="D496" i="66" s="1"/>
  <c r="C497" i="66" l="1"/>
  <c r="D497" i="66" s="1"/>
  <c r="C498" i="66" l="1"/>
  <c r="D498" i="66" s="1"/>
  <c r="C499" i="66" l="1"/>
  <c r="D499" i="66" s="1"/>
  <c r="C500" i="66" l="1"/>
  <c r="D500" i="66" s="1"/>
  <c r="C501" i="66" l="1"/>
  <c r="D501" i="66" s="1"/>
  <c r="C502" i="66" l="1"/>
  <c r="D502" i="66" s="1"/>
  <c r="C503" i="66" l="1"/>
  <c r="D503" i="66" s="1"/>
  <c r="C504" i="66" l="1"/>
  <c r="D504" i="66" s="1"/>
  <c r="C505" i="66" l="1"/>
  <c r="D505" i="66" s="1"/>
  <c r="C506" i="66" l="1"/>
  <c r="D506" i="66" s="1"/>
  <c r="C507" i="66" l="1"/>
  <c r="D507" i="66" s="1"/>
  <c r="C508" i="66" l="1"/>
  <c r="D508" i="66" s="1"/>
  <c r="C509" i="66" l="1"/>
  <c r="D509" i="66" s="1"/>
  <c r="C510" i="66" l="1"/>
  <c r="D510" i="66" s="1"/>
  <c r="C511" i="66" l="1"/>
  <c r="D511" i="66" s="1"/>
  <c r="C512" i="66" l="1"/>
  <c r="D512" i="66" s="1"/>
  <c r="C513" i="66" l="1"/>
  <c r="D513" i="66" s="1"/>
  <c r="C514" i="66" l="1"/>
  <c r="D514" i="66" s="1"/>
  <c r="C515" i="66" l="1"/>
  <c r="D515" i="66" s="1"/>
  <c r="C516" i="66" l="1"/>
  <c r="D516" i="66" s="1"/>
  <c r="C517" i="66" l="1"/>
  <c r="D517" i="66" s="1"/>
  <c r="C518" i="66" l="1"/>
  <c r="D518" i="66" s="1"/>
  <c r="C519" i="66" l="1"/>
  <c r="D519" i="66" s="1"/>
  <c r="C520" i="66" l="1"/>
  <c r="D520" i="66" s="1"/>
  <c r="C521" i="66" l="1"/>
  <c r="D521" i="66" s="1"/>
  <c r="C522" i="66" l="1"/>
  <c r="D522" i="66" s="1"/>
  <c r="C523" i="66" l="1"/>
  <c r="D523" i="66" s="1"/>
  <c r="C524" i="66" l="1"/>
  <c r="D524" i="66" s="1"/>
  <c r="C525" i="66" l="1"/>
  <c r="D525" i="66" s="1"/>
  <c r="C526" i="66" l="1"/>
  <c r="D526" i="66" s="1"/>
  <c r="C527" i="66" l="1"/>
  <c r="D527" i="66" s="1"/>
  <c r="C528" i="66" l="1"/>
  <c r="D528" i="66" s="1"/>
  <c r="C529" i="66" l="1"/>
  <c r="D529" i="66" s="1"/>
  <c r="C530" i="66" l="1"/>
  <c r="D530" i="66" s="1"/>
  <c r="C531" i="66" l="1"/>
  <c r="D531" i="66" s="1"/>
  <c r="C532" i="66" l="1"/>
  <c r="D532" i="66" s="1"/>
  <c r="C533" i="66" l="1"/>
  <c r="D533" i="66" s="1"/>
  <c r="C534" i="66" l="1"/>
  <c r="D534" i="66" s="1"/>
  <c r="C535" i="66" l="1"/>
  <c r="D535" i="66" s="1"/>
  <c r="C536" i="66" l="1"/>
  <c r="D536" i="66" s="1"/>
  <c r="C537" i="66" l="1"/>
  <c r="D537" i="66" s="1"/>
  <c r="C538" i="66" l="1"/>
  <c r="D538" i="66" s="1"/>
  <c r="C539" i="66" l="1"/>
  <c r="D539" i="66" s="1"/>
  <c r="C540" i="66" l="1"/>
  <c r="D540" i="66" s="1"/>
  <c r="C541" i="66" l="1"/>
  <c r="D541" i="66" s="1"/>
  <c r="C542" i="66" l="1"/>
  <c r="D542" i="66" s="1"/>
  <c r="C543" i="66" l="1"/>
  <c r="D543" i="66" s="1"/>
  <c r="C544" i="66" l="1"/>
  <c r="D544" i="66" s="1"/>
  <c r="C545" i="66" l="1"/>
  <c r="D545" i="66" s="1"/>
  <c r="C546" i="66" l="1"/>
  <c r="D546" i="66" s="1"/>
  <c r="C547" i="66" l="1"/>
  <c r="D547" i="66" s="1"/>
  <c r="C548" i="66" l="1"/>
  <c r="D548" i="66" s="1"/>
  <c r="C549" i="66" l="1"/>
  <c r="D549" i="66" s="1"/>
  <c r="C550" i="66" l="1"/>
  <c r="D550" i="66" s="1"/>
  <c r="C551" i="66" l="1"/>
  <c r="D551" i="66" s="1"/>
  <c r="C552" i="66" l="1"/>
  <c r="D552" i="66" s="1"/>
  <c r="C553" i="66" l="1"/>
  <c r="D553" i="66" s="1"/>
  <c r="C554" i="66" l="1"/>
  <c r="D554" i="66" s="1"/>
  <c r="C555" i="66" l="1"/>
  <c r="D555" i="66" s="1"/>
  <c r="C556" i="66" l="1"/>
  <c r="D556" i="66" s="1"/>
  <c r="C557" i="66" l="1"/>
  <c r="D557" i="66" s="1"/>
  <c r="C558" i="66" l="1"/>
  <c r="D558" i="66" s="1"/>
  <c r="AT10" i="93" l="1"/>
  <c r="AS10" i="93" s="1"/>
  <c r="AT21" i="93"/>
  <c r="AV10" i="93"/>
  <c r="AU10" i="93" s="1"/>
  <c r="AV21" i="93"/>
  <c r="AL21" i="84"/>
  <c r="AL26" i="84" s="1"/>
  <c r="N12" i="6"/>
  <c r="G33" i="78"/>
  <c r="AL17" i="84" s="1"/>
  <c r="AL18" i="84" s="1"/>
  <c r="G34" i="78"/>
  <c r="Z61" i="78" s="1"/>
  <c r="Y61" i="78" l="1"/>
  <c r="Y71" i="78" s="1"/>
  <c r="X61" i="78"/>
  <c r="X71" i="78" s="1"/>
  <c r="W61" i="78"/>
  <c r="V61" i="78"/>
  <c r="N13" i="6"/>
  <c r="N15" i="6"/>
  <c r="N16" i="6"/>
  <c r="N14" i="6"/>
  <c r="X110" i="78" l="1"/>
  <c r="X147" i="78"/>
  <c r="X98" i="78"/>
  <c r="X137" i="78"/>
  <c r="X74" i="78"/>
  <c r="X83" i="78"/>
  <c r="Z71" i="78"/>
  <c r="X72" i="78"/>
  <c r="X116" i="78"/>
  <c r="X158" i="78"/>
  <c r="Y74" i="78"/>
  <c r="Y137" i="78"/>
  <c r="Y147" i="78"/>
  <c r="Y110" i="78"/>
  <c r="Y83" i="78"/>
  <c r="Y128" i="78" s="1"/>
  <c r="Z128" i="78" s="1"/>
  <c r="Y116" i="78"/>
  <c r="Z116" i="78" s="1"/>
  <c r="Z117" i="78" s="1"/>
  <c r="Y72" i="78"/>
  <c r="Y98" i="78"/>
  <c r="Y158" i="78"/>
  <c r="Z110" i="78" l="1"/>
  <c r="Z111" i="78" s="1"/>
  <c r="Y150" i="78"/>
  <c r="Y176" i="78" s="1"/>
  <c r="Y172" i="78"/>
  <c r="Y77" i="78"/>
  <c r="Y113" i="78"/>
  <c r="Y125" i="78"/>
  <c r="Z125" i="78" s="1"/>
  <c r="Y80" i="78"/>
  <c r="Z158" i="78"/>
  <c r="Z72" i="78"/>
  <c r="Z83" i="78"/>
  <c r="Z129" i="78" s="1"/>
  <c r="X128" i="78"/>
  <c r="X77" i="78"/>
  <c r="Z74" i="78"/>
  <c r="X125" i="78"/>
  <c r="X113" i="78"/>
  <c r="X80" i="78"/>
  <c r="Z137" i="78"/>
  <c r="X172" i="78"/>
  <c r="Z98" i="78"/>
  <c r="Z99" i="78" s="1"/>
  <c r="X150" i="78"/>
  <c r="X176" i="78"/>
  <c r="Z147" i="78"/>
  <c r="X144" i="78"/>
  <c r="X145" i="78" l="1"/>
  <c r="X174" i="78"/>
  <c r="Z148" i="78"/>
  <c r="Z150" i="78"/>
  <c r="X119" i="78"/>
  <c r="Z172" i="78"/>
  <c r="Z138" i="78"/>
  <c r="X86" i="78"/>
  <c r="Z80" i="78"/>
  <c r="Z81" i="78" s="1"/>
  <c r="X81" i="78"/>
  <c r="Z77" i="78"/>
  <c r="Y81" i="78"/>
  <c r="Y86" i="78"/>
  <c r="Z126" i="78"/>
  <c r="Z113" i="78"/>
  <c r="Z114" i="78" s="1"/>
  <c r="Y144" i="78"/>
  <c r="Y145" i="78" l="1"/>
  <c r="Y174" i="78"/>
  <c r="Z144" i="78"/>
  <c r="Z86" i="78"/>
  <c r="Z87" i="78" s="1"/>
  <c r="X122" i="78"/>
  <c r="X89" i="78"/>
  <c r="Y92" i="78"/>
  <c r="Z92" i="78" s="1"/>
  <c r="Y119" i="78"/>
  <c r="Z151" i="78"/>
  <c r="Z176" i="78"/>
  <c r="AB92" i="78" l="1"/>
  <c r="Z119" i="78"/>
  <c r="Z93" i="78"/>
  <c r="X134" i="78"/>
  <c r="X101" i="78"/>
  <c r="Y95" i="78"/>
  <c r="Z95" i="78" s="1"/>
  <c r="Y122" i="78"/>
  <c r="Z145" i="78"/>
  <c r="Z174" i="78"/>
  <c r="AB95" i="78" l="1"/>
  <c r="Z122" i="78"/>
  <c r="Y89" i="78"/>
  <c r="Z96" i="78"/>
  <c r="X164" i="78"/>
  <c r="X168" i="78" s="1"/>
  <c r="X102" i="78"/>
  <c r="X135" i="78"/>
  <c r="X170" i="78"/>
  <c r="X153" i="78" l="1"/>
  <c r="X178" i="78"/>
  <c r="Y134" i="78"/>
  <c r="Y101" i="78"/>
  <c r="Z89" i="78"/>
  <c r="Z90" i="78" s="1"/>
  <c r="Y164" i="78" l="1"/>
  <c r="Y168" i="78" s="1"/>
  <c r="Y102" i="78"/>
  <c r="Z101" i="78"/>
  <c r="Y135" i="78"/>
  <c r="Y170" i="78"/>
  <c r="Z134" i="78"/>
  <c r="Z170" i="78" l="1"/>
  <c r="Z135" i="78"/>
  <c r="Z102" i="78"/>
  <c r="Z164" i="78"/>
  <c r="Y178" i="78"/>
  <c r="Y153" i="78"/>
  <c r="Z153" i="78" s="1"/>
  <c r="Z168" i="78"/>
  <c r="D41" i="6" l="1"/>
  <c r="Z178" i="78"/>
  <c r="D42" i="6"/>
  <c r="Z154" i="78"/>
  <c r="D43" i="6" l="1"/>
  <c r="D44" i="6" l="1"/>
  <c r="D45" i="6" s="1"/>
  <c r="N18" i="6"/>
  <c r="D18" i="6"/>
  <c r="D19" i="6"/>
  <c r="D39" i="6"/>
  <c r="X191" i="78"/>
  <c r="Y191" i="78"/>
  <c r="Y192" i="78"/>
  <c r="Y194" i="78" s="1"/>
  <c r="X192" i="78"/>
  <c r="X194" i="78" s="1"/>
  <c r="L48" i="78"/>
  <c r="AX21" i="84"/>
  <c r="AX26" i="84" s="1"/>
  <c r="R12" i="6"/>
  <c r="J48" i="78"/>
  <c r="AT21" i="84"/>
  <c r="AT26" i="84" s="1"/>
  <c r="P12" i="6"/>
  <c r="K33" i="78"/>
  <c r="AV17" i="84" s="1"/>
  <c r="AV18" i="84" s="1"/>
  <c r="K34" i="78"/>
  <c r="K48" i="78"/>
  <c r="AV21" i="84"/>
  <c r="AV26" i="84" s="1"/>
  <c r="Q12" i="6"/>
  <c r="J33" i="78"/>
  <c r="J34" i="78" s="1"/>
  <c r="AT17" i="84"/>
  <c r="AT18" i="84" s="1"/>
  <c r="H48" i="78"/>
  <c r="AR21" i="84"/>
  <c r="AR26" i="84" s="1"/>
  <c r="O12" i="6"/>
  <c r="L33" i="78"/>
  <c r="AX17" i="84" s="1"/>
  <c r="AX18" i="84" s="1"/>
  <c r="L34" i="78"/>
  <c r="AL61" i="78"/>
  <c r="AL71" i="78"/>
  <c r="H33" i="78"/>
  <c r="AR17" i="84" s="1"/>
  <c r="AR18" i="84" s="1"/>
  <c r="H34" i="78"/>
  <c r="AF61" i="78"/>
  <c r="AB61" i="78"/>
  <c r="AB71" i="78"/>
  <c r="AB116" i="78" l="1"/>
  <c r="AB72" i="78"/>
  <c r="AB158" i="78"/>
  <c r="AB110" i="78"/>
  <c r="AB147" i="78"/>
  <c r="AB137" i="78"/>
  <c r="AB74" i="78"/>
  <c r="AB83" i="78"/>
  <c r="AB98" i="78"/>
  <c r="AC61" i="78"/>
  <c r="AC71" i="78" s="1"/>
  <c r="AD61" i="78"/>
  <c r="AD71" i="78" s="1"/>
  <c r="AE61" i="78"/>
  <c r="AE71" i="78" s="1"/>
  <c r="AF203" i="78"/>
  <c r="AL98" i="78"/>
  <c r="AL116" i="78"/>
  <c r="AL137" i="78"/>
  <c r="AL74" i="78"/>
  <c r="AL110" i="78"/>
  <c r="AL147" i="78"/>
  <c r="H13" i="6"/>
  <c r="H35" i="6" s="1"/>
  <c r="H29" i="6" s="1"/>
  <c r="AL83" i="78"/>
  <c r="AL128" i="78" s="1"/>
  <c r="O13" i="6"/>
  <c r="O14" i="6"/>
  <c r="O16" i="6"/>
  <c r="O15" i="6"/>
  <c r="AH61" i="78"/>
  <c r="AH71" i="78" s="1"/>
  <c r="Q13" i="6"/>
  <c r="Q14" i="6"/>
  <c r="Q16" i="6"/>
  <c r="Q15" i="6"/>
  <c r="AJ61" i="78"/>
  <c r="AJ71" i="78" s="1"/>
  <c r="P13" i="6"/>
  <c r="P16" i="6"/>
  <c r="P14" i="6"/>
  <c r="P15" i="6"/>
  <c r="R13" i="6"/>
  <c r="R14" i="6"/>
  <c r="R15" i="6"/>
  <c r="R16" i="6"/>
  <c r="R18" i="6" l="1"/>
  <c r="H18" i="6" s="1"/>
  <c r="P18" i="6"/>
  <c r="F18" i="6" s="1"/>
  <c r="AJ74" i="78"/>
  <c r="AJ110" i="78"/>
  <c r="AJ116" i="78"/>
  <c r="AJ98" i="78"/>
  <c r="AJ72" i="78"/>
  <c r="G13" i="6"/>
  <c r="AJ137" i="78"/>
  <c r="AJ147" i="78"/>
  <c r="AJ83" i="78"/>
  <c r="AJ128" i="78" s="1"/>
  <c r="AL72" i="78"/>
  <c r="Q18" i="6"/>
  <c r="G18" i="6" s="1"/>
  <c r="AH74" i="78"/>
  <c r="AH98" i="78"/>
  <c r="AH116" i="78"/>
  <c r="AH110" i="78"/>
  <c r="F13" i="6"/>
  <c r="AH137" i="78"/>
  <c r="AH147" i="78"/>
  <c r="AH83" i="78"/>
  <c r="AH128" i="78" s="1"/>
  <c r="O18" i="6"/>
  <c r="E18" i="6" s="1"/>
  <c r="AL150" i="78"/>
  <c r="AL176" i="78" s="1"/>
  <c r="AL77" i="78"/>
  <c r="AL113" i="78"/>
  <c r="AL125" i="78"/>
  <c r="AL80" i="78"/>
  <c r="AL172" i="78"/>
  <c r="AE110" i="78"/>
  <c r="AE72" i="78"/>
  <c r="AE158" i="78"/>
  <c r="AE98" i="78"/>
  <c r="AE74" i="78"/>
  <c r="AE137" i="78"/>
  <c r="AE147" i="78"/>
  <c r="AE83" i="78"/>
  <c r="AE128" i="78" s="1"/>
  <c r="AF128" i="78" s="1"/>
  <c r="AE116" i="78"/>
  <c r="AF116" i="78" s="1"/>
  <c r="AD74" i="78"/>
  <c r="AD98" i="78"/>
  <c r="AD116" i="78"/>
  <c r="AD72" i="78"/>
  <c r="AD158" i="78"/>
  <c r="AD110" i="78"/>
  <c r="AD147" i="78"/>
  <c r="AD137" i="78"/>
  <c r="AD83" i="78"/>
  <c r="AD128" i="78" s="1"/>
  <c r="AC74" i="78"/>
  <c r="AC72" i="78"/>
  <c r="AC116" i="78"/>
  <c r="AC98" i="78"/>
  <c r="AC158" i="78"/>
  <c r="AC110" i="78"/>
  <c r="AC137" i="78"/>
  <c r="AC147" i="78"/>
  <c r="AC83" i="78"/>
  <c r="AC128" i="78" s="1"/>
  <c r="AF71" i="78"/>
  <c r="AF98" i="78"/>
  <c r="AF99" i="78" s="1"/>
  <c r="AF83" i="78"/>
  <c r="AB128" i="78"/>
  <c r="AB77" i="78"/>
  <c r="AB113" i="78"/>
  <c r="AF74" i="78"/>
  <c r="AB125" i="78"/>
  <c r="AB80" i="78"/>
  <c r="AB172" i="78"/>
  <c r="AF137" i="78"/>
  <c r="AF147" i="78"/>
  <c r="AB150" i="78"/>
  <c r="AB144" i="78"/>
  <c r="AB174" i="78" l="1"/>
  <c r="AB145" i="78"/>
  <c r="AB119" i="78"/>
  <c r="AB176" i="78"/>
  <c r="AF148" i="78"/>
  <c r="AF138" i="78"/>
  <c r="AF172" i="78"/>
  <c r="AB81" i="78"/>
  <c r="AB86" i="78"/>
  <c r="AF72" i="78"/>
  <c r="AF158" i="78"/>
  <c r="E13" i="6"/>
  <c r="AH72" i="78"/>
  <c r="AC150" i="78"/>
  <c r="AC172" i="78"/>
  <c r="AC77" i="78"/>
  <c r="AC125" i="78"/>
  <c r="AC113" i="78"/>
  <c r="AC144" i="78" s="1"/>
  <c r="AC80" i="78"/>
  <c r="AD172" i="78"/>
  <c r="AD150" i="78"/>
  <c r="AD176" i="78" s="1"/>
  <c r="AD77" i="78"/>
  <c r="AD113" i="78"/>
  <c r="AD125" i="78"/>
  <c r="AF117" i="78"/>
  <c r="AE150" i="78"/>
  <c r="AE176" i="78" s="1"/>
  <c r="AE172" i="78"/>
  <c r="AE77" i="78"/>
  <c r="AE113" i="78"/>
  <c r="AF113" i="78" s="1"/>
  <c r="AF114" i="78" s="1"/>
  <c r="AE125" i="78"/>
  <c r="AF125" i="78" s="1"/>
  <c r="AF126" i="78" s="1"/>
  <c r="AE80" i="78"/>
  <c r="AE144" i="78"/>
  <c r="AF110" i="78"/>
  <c r="AF111" i="78" s="1"/>
  <c r="AL86" i="78"/>
  <c r="AL81" i="78"/>
  <c r="AH150" i="78"/>
  <c r="AH176" i="78" s="1"/>
  <c r="AH172" i="78"/>
  <c r="F35" i="6"/>
  <c r="F29" i="6" s="1"/>
  <c r="AH77" i="78"/>
  <c r="AH113" i="78"/>
  <c r="AH125" i="78"/>
  <c r="AH80" i="78"/>
  <c r="AJ150" i="78"/>
  <c r="AJ176" i="78" s="1"/>
  <c r="AJ172" i="78"/>
  <c r="G35" i="6"/>
  <c r="H14" i="6"/>
  <c r="AJ77" i="78"/>
  <c r="AJ113" i="78"/>
  <c r="AJ125" i="78"/>
  <c r="AJ80" i="78"/>
  <c r="AJ86" i="78" l="1"/>
  <c r="AJ81" i="78"/>
  <c r="AL144" i="78"/>
  <c r="AJ144" i="78"/>
  <c r="G29" i="6"/>
  <c r="G14" i="6"/>
  <c r="AH81" i="78"/>
  <c r="AH86" i="78"/>
  <c r="AH144" i="78"/>
  <c r="AE145" i="78"/>
  <c r="AE174" i="78"/>
  <c r="AE81" i="78"/>
  <c r="AE86" i="78"/>
  <c r="AD144" i="78"/>
  <c r="AD80" i="78"/>
  <c r="AC81" i="78"/>
  <c r="AC86" i="78"/>
  <c r="AF80" i="78"/>
  <c r="AF81" i="78" s="1"/>
  <c r="AC174" i="78"/>
  <c r="AC145" i="78"/>
  <c r="AF144" i="78"/>
  <c r="AF77" i="78"/>
  <c r="AF150" i="78"/>
  <c r="AC176" i="78"/>
  <c r="F14" i="6"/>
  <c r="E22" i="6"/>
  <c r="E35" i="6"/>
  <c r="E16" i="6"/>
  <c r="AH158" i="78"/>
  <c r="AB122" i="78"/>
  <c r="AB89" i="78"/>
  <c r="AC92" i="78"/>
  <c r="AC119" i="78"/>
  <c r="AD92" i="78" l="1"/>
  <c r="AD119" i="78" s="1"/>
  <c r="AB134" i="78"/>
  <c r="AB101" i="78"/>
  <c r="AC95" i="78"/>
  <c r="AC122" i="78"/>
  <c r="AH156" i="78"/>
  <c r="AJ158" i="78"/>
  <c r="AJ156" i="78" s="1"/>
  <c r="AL158" i="78"/>
  <c r="AL156" i="78" s="1"/>
  <c r="E17" i="6"/>
  <c r="F16" i="6" s="1"/>
  <c r="E19" i="6"/>
  <c r="E29" i="6"/>
  <c r="E14" i="6"/>
  <c r="F22" i="6"/>
  <c r="E23" i="6"/>
  <c r="E25" i="6"/>
  <c r="AF151" i="78"/>
  <c r="AF176" i="78"/>
  <c r="AF174" i="78"/>
  <c r="AF145" i="78"/>
  <c r="AD86" i="78"/>
  <c r="AD81" i="78"/>
  <c r="AD145" i="78"/>
  <c r="AD174" i="78"/>
  <c r="AH145" i="78"/>
  <c r="AH174" i="78"/>
  <c r="AJ145" i="78"/>
  <c r="AJ174" i="78"/>
  <c r="AL174" i="78"/>
  <c r="AL145" i="78"/>
  <c r="AF86" i="78" l="1"/>
  <c r="AF87" i="78" s="1"/>
  <c r="G22" i="6"/>
  <c r="F23" i="6"/>
  <c r="F25" i="6"/>
  <c r="E39" i="6"/>
  <c r="F17" i="6"/>
  <c r="G16" i="6" s="1"/>
  <c r="F19" i="6"/>
  <c r="F39" i="6" s="1"/>
  <c r="AH191" i="78" s="1"/>
  <c r="AD95" i="78"/>
  <c r="AD122" i="78" s="1"/>
  <c r="AC89" i="78"/>
  <c r="AB102" i="78"/>
  <c r="AB164" i="78"/>
  <c r="AB168" i="78" s="1"/>
  <c r="AB135" i="78"/>
  <c r="AB170" i="78"/>
  <c r="AD89" i="78"/>
  <c r="AE92" i="78"/>
  <c r="AF92" i="78" l="1"/>
  <c r="AE119" i="78"/>
  <c r="AD134" i="78"/>
  <c r="AD101" i="78"/>
  <c r="AB153" i="78"/>
  <c r="AB178" i="78"/>
  <c r="AC134" i="78"/>
  <c r="AC101" i="78"/>
  <c r="AE95" i="78"/>
  <c r="G17" i="6"/>
  <c r="H16" i="6" s="1"/>
  <c r="G19" i="6"/>
  <c r="AD191" i="78"/>
  <c r="AC191" i="78"/>
  <c r="AE191" i="78"/>
  <c r="AB191" i="78"/>
  <c r="H22" i="6"/>
  <c r="G23" i="6"/>
  <c r="G25" i="6"/>
  <c r="H25" i="6" l="1"/>
  <c r="H23" i="6"/>
  <c r="AB192" i="78"/>
  <c r="AB194" i="78" s="1"/>
  <c r="AC192" i="78"/>
  <c r="AE192" i="78"/>
  <c r="AH192" i="78"/>
  <c r="AD192" i="78"/>
  <c r="G39" i="6"/>
  <c r="AJ191" i="78" s="1"/>
  <c r="H19" i="6"/>
  <c r="H39" i="6" s="1"/>
  <c r="AL191" i="78" s="1"/>
  <c r="H17" i="6"/>
  <c r="AF95" i="78"/>
  <c r="AE122" i="78"/>
  <c r="AF122" i="78" s="1"/>
  <c r="AC164" i="78"/>
  <c r="AC168" i="78" s="1"/>
  <c r="AC102" i="78"/>
  <c r="AC135" i="78"/>
  <c r="AC170" i="78"/>
  <c r="AD164" i="78"/>
  <c r="AD168" i="78" s="1"/>
  <c r="AD102" i="78"/>
  <c r="AD170" i="78"/>
  <c r="AD135" i="78"/>
  <c r="AE89" i="78"/>
  <c r="AF119" i="78"/>
  <c r="AF93" i="78"/>
  <c r="AH92" i="78" l="1"/>
  <c r="AH119" i="78" s="1"/>
  <c r="AE134" i="78"/>
  <c r="AE101" i="78"/>
  <c r="AF89" i="78"/>
  <c r="AF90" i="78" s="1"/>
  <c r="AD178" i="78"/>
  <c r="AD194" i="78" s="1"/>
  <c r="AD153" i="78"/>
  <c r="AC178" i="78"/>
  <c r="AC194" i="78" s="1"/>
  <c r="AC153" i="78"/>
  <c r="AH95" i="78"/>
  <c r="AH122" i="78" s="1"/>
  <c r="AF96" i="78"/>
  <c r="AL192" i="78"/>
  <c r="AF204" i="78" s="1"/>
  <c r="AJ192" i="78"/>
  <c r="AJ95" i="78" l="1"/>
  <c r="AJ122" i="78" s="1"/>
  <c r="AE164" i="78"/>
  <c r="AE168" i="78" s="1"/>
  <c r="AE102" i="78"/>
  <c r="AF101" i="78"/>
  <c r="AE135" i="78"/>
  <c r="AE170" i="78"/>
  <c r="AF134" i="78"/>
  <c r="AH89" i="78"/>
  <c r="AJ92" i="78"/>
  <c r="AJ119" i="78" s="1"/>
  <c r="AJ89" i="78" l="1"/>
  <c r="AL92" i="78"/>
  <c r="AL119" i="78" s="1"/>
  <c r="AH134" i="78"/>
  <c r="AH101" i="78"/>
  <c r="AF170" i="78"/>
  <c r="AF135" i="78"/>
  <c r="AF164" i="78"/>
  <c r="AF102" i="78"/>
  <c r="AE178" i="78"/>
  <c r="AE194" i="78" s="1"/>
  <c r="AE153" i="78"/>
  <c r="AF153" i="78" s="1"/>
  <c r="AF168" i="78"/>
  <c r="AL95" i="78"/>
  <c r="AL122" i="78" s="1"/>
  <c r="E41" i="6" l="1"/>
  <c r="AF178" i="78"/>
  <c r="E42" i="6"/>
  <c r="AF154" i="78"/>
  <c r="AH164" i="78"/>
  <c r="AH168" i="78" s="1"/>
  <c r="AH102" i="78"/>
  <c r="AH135" i="78"/>
  <c r="AH170" i="78"/>
  <c r="AL89" i="78"/>
  <c r="AJ134" i="78"/>
  <c r="AJ101" i="78"/>
  <c r="AJ164" i="78" l="1"/>
  <c r="AJ168" i="78" s="1"/>
  <c r="AJ102" i="78"/>
  <c r="AJ135" i="78"/>
  <c r="AJ170" i="78"/>
  <c r="AL101" i="78"/>
  <c r="AL134" i="78"/>
  <c r="F41" i="6"/>
  <c r="AH178" i="78"/>
  <c r="AH194" i="78" s="1"/>
  <c r="AH153" i="78"/>
  <c r="F42" i="6" s="1"/>
  <c r="E43" i="6"/>
  <c r="F43" i="6" l="1"/>
  <c r="E44" i="6"/>
  <c r="E45" i="6" s="1"/>
  <c r="AL170" i="78"/>
  <c r="AL135" i="78"/>
  <c r="AL102" i="78"/>
  <c r="AL164" i="78"/>
  <c r="G41" i="6"/>
  <c r="AJ153" i="78"/>
  <c r="G42" i="6" s="1"/>
  <c r="AJ178" i="78"/>
  <c r="AJ194" i="78" s="1"/>
  <c r="Z203" i="78" l="1"/>
  <c r="Z204" i="78" s="1"/>
  <c r="AL168" i="78"/>
  <c r="G43" i="6"/>
  <c r="F44" i="6"/>
  <c r="F45" i="6" s="1"/>
  <c r="G44" i="6" l="1"/>
  <c r="G45" i="6" s="1"/>
  <c r="H41" i="6"/>
  <c r="AL153" i="78"/>
  <c r="H42" i="6" s="1"/>
  <c r="AL178" i="78"/>
  <c r="AL194" i="78" l="1"/>
  <c r="AL201" i="78"/>
  <c r="AL203" i="78"/>
  <c r="AL204" i="78" s="1"/>
  <c r="AL205" i="78" s="1"/>
  <c r="AL209" i="78" s="1"/>
  <c r="H43" i="6"/>
  <c r="H44" i="6" s="1"/>
  <c r="H45" i="6" s="1"/>
  <c r="AN140" i="78" l="1"/>
  <c r="AF205" i="78"/>
  <c r="AF209" i="78" s="1"/>
  <c r="Z205" i="78"/>
  <c r="Z209" i="78" s="1"/>
  <c r="X140" i="78" l="1"/>
  <c r="Y140" i="78"/>
  <c r="X141" i="78" l="1"/>
  <c r="Z140" i="78"/>
  <c r="X142" i="78" l="1"/>
  <c r="X104" i="78" l="1"/>
  <c r="Y141" i="78" l="1"/>
  <c r="Y142" i="78" l="1"/>
  <c r="Z141" i="78"/>
  <c r="Z142" i="78" l="1"/>
  <c r="Y104" i="78"/>
  <c r="AB141" i="78" l="1"/>
  <c r="Z104" i="78"/>
  <c r="AB142" i="78" l="1"/>
  <c r="AB104" i="78" l="1"/>
  <c r="AC141" i="78" l="1"/>
  <c r="AC142" i="78" l="1"/>
  <c r="AC104" i="78" l="1"/>
  <c r="AD141" i="78" l="1"/>
  <c r="AD142" i="78" l="1"/>
  <c r="AD104" i="78" l="1"/>
  <c r="AE141" i="78" l="1"/>
  <c r="AE142" i="78" l="1"/>
  <c r="AF141" i="78"/>
  <c r="AF142" i="78" l="1"/>
  <c r="AE104" i="78"/>
  <c r="AH141" i="78" l="1"/>
  <c r="AH142" i="78" s="1"/>
  <c r="AH104" i="78" s="1"/>
  <c r="AF104" i="78"/>
  <c r="AJ141" i="78" l="1"/>
  <c r="AJ142" i="78" s="1"/>
  <c r="AJ104" i="78" s="1"/>
  <c r="AL141" i="78" s="1"/>
  <c r="AL142" i="78" s="1"/>
  <c r="AL104" i="78" s="1"/>
  <c r="Z210" i="78" l="1"/>
  <c r="Z211" i="78" s="1"/>
  <c r="AL210" i="78"/>
  <c r="AL211" i="78" s="1"/>
  <c r="AF210" i="78"/>
  <c r="AF211" i="78" s="1"/>
  <c r="T35" i="91" l="1"/>
  <c r="AF213" i="78"/>
  <c r="AL213" i="78"/>
  <c r="H14" i="85" s="1"/>
  <c r="T33" i="91"/>
  <c r="H13" i="85"/>
  <c r="Z213" i="78"/>
  <c r="R204" i="78" s="1"/>
  <c r="L160" i="66"/>
  <c r="T34" i="91"/>
  <c r="E162" i="66"/>
  <c r="E192" i="66" s="1"/>
  <c r="E191" i="66" s="1"/>
  <c r="E190" i="66" s="1"/>
  <c r="E189" i="66" s="1"/>
  <c r="E188" i="66" s="1"/>
  <c r="E187" i="66" s="1"/>
  <c r="E186" i="66" s="1"/>
  <c r="E185" i="66" s="1"/>
  <c r="E184" i="66" s="1"/>
  <c r="E183" i="66" s="1"/>
  <c r="E182" i="66" s="1"/>
  <c r="E181" i="66" s="1"/>
  <c r="E180" i="66" s="1"/>
  <c r="E179" i="66" s="1"/>
  <c r="E178" i="66" s="1"/>
  <c r="E177" i="66" s="1"/>
  <c r="E176" i="66" s="1"/>
  <c r="E175" i="66" s="1"/>
  <c r="E174" i="66" s="1"/>
  <c r="E173" i="66" s="1"/>
  <c r="E172" i="66" s="1"/>
  <c r="E171" i="66" s="1"/>
  <c r="E170" i="66" s="1"/>
  <c r="E169" i="66" s="1"/>
  <c r="E168" i="66" s="1"/>
  <c r="E167" i="66" s="1"/>
  <c r="E166" i="66" s="1"/>
  <c r="E165" i="66" s="1"/>
  <c r="E164" i="66" s="1"/>
  <c r="E163" i="66" s="1"/>
  <c r="R206" i="78" l="1"/>
  <c r="R205" i="7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José Ricardo Ramos Duro Godinho</author>
    <author>Mariana Gomes</author>
  </authors>
  <commentList>
    <comment ref="B12" authorId="0" shapeId="0" xr:uid="{70CDE163-2587-410F-9778-D6B7B36EA614}">
      <text>
        <r>
          <rPr>
            <sz val="11"/>
            <color rgb="FF000000"/>
            <rFont val="Arial"/>
            <family val="2"/>
          </rPr>
          <t>https://www.fortunebusinessinsights.com/transportation-and-logistics-services-market-107357</t>
        </r>
      </text>
    </comment>
    <comment ref="B14" authorId="1" shapeId="0" xr:uid="{1FE971A6-22D2-2344-98A8-5CDDDE4F14D0}">
      <text>
        <r>
          <rPr>
            <sz val="10"/>
            <color rgb="FF000000"/>
            <rFont val="Tahoma"/>
            <family val="2"/>
          </rPr>
          <t>https://www.grandviewresearch.com/industry-analysis/e-commerce-market</t>
        </r>
      </text>
    </comment>
    <comment ref="B16" authorId="1" shapeId="0" xr:uid="{523003D9-26B2-F34D-BA68-5DA8E739AABE}">
      <text>
        <r>
          <rPr>
            <b/>
            <sz val="10"/>
            <color rgb="FF000000"/>
            <rFont val="Tahoma"/>
            <family val="2"/>
          </rPr>
          <t>source: mordor intelligence</t>
        </r>
      </text>
    </comment>
    <comment ref="B18" authorId="0" shapeId="0" xr:uid="{6D863299-2713-4FEC-8182-B1AB26B35449}">
      <text>
        <r>
          <rPr>
            <sz val="11"/>
            <color theme="1"/>
            <rFont val="Arial"/>
            <family val="2"/>
          </rPr>
          <t>https://www.mordorintelligence.com/industry-reports/global-express-delivery-market</t>
        </r>
      </text>
    </comment>
    <comment ref="B20" authorId="0" shapeId="0" xr:uid="{C83AEC7C-0BC0-415D-B89A-8F06B2B016D3}">
      <text>
        <r>
          <rPr>
            <sz val="11"/>
            <color theme="1"/>
            <rFont val="Arial"/>
            <family val="2"/>
          </rPr>
          <t>https://www.mordorintelligence.com/industry-reports/global-express-delivery-market</t>
        </r>
      </text>
    </comment>
    <comment ref="D20" authorId="0" shapeId="0" xr:uid="{3A957CEA-800A-4BCA-A9E5-D6D78D89A210}">
      <text>
        <r>
          <rPr>
            <sz val="11"/>
            <color rgb="FF000000"/>
            <rFont val="Arial"/>
            <family val="2"/>
          </rPr>
          <t xml:space="preserve">NOT ACTUAL DATA!
</t>
        </r>
        <r>
          <rPr>
            <sz val="11"/>
            <color rgb="FF000000"/>
            <rFont val="Arial"/>
            <family val="2"/>
          </rPr>
          <t xml:space="preserve">
</t>
        </r>
        <r>
          <rPr>
            <sz val="11"/>
            <color rgb="FF000000"/>
            <rFont val="Arial"/>
            <family val="2"/>
          </rPr>
          <t>Assumption**</t>
        </r>
      </text>
    </comment>
    <comment ref="E20" authorId="0" shapeId="0" xr:uid="{532401DC-A81B-4836-A469-3779A700520B}">
      <text>
        <r>
          <rPr>
            <sz val="11"/>
            <color theme="1"/>
            <rFont val="Arial"/>
            <family val="2"/>
          </rPr>
          <t>NOT ACTUAL DATA!
Assumption**</t>
        </r>
      </text>
    </comment>
    <comment ref="B22" authorId="0" shapeId="0" xr:uid="{08F2B166-C795-4B77-8081-89686B3022AE}">
      <text>
        <r>
          <rPr>
            <sz val="11"/>
            <color theme="1"/>
            <rFont val="Arial"/>
            <family val="2"/>
          </rPr>
          <t>https://www.psmarketresearch.com/market-analysis/us-freight-logistics-market</t>
        </r>
      </text>
    </comment>
    <comment ref="B24" authorId="0" shapeId="0" xr:uid="{5EB306C8-D36F-4775-80F1-4266F1391DD3}">
      <text>
        <r>
          <rPr>
            <sz val="11"/>
            <color theme="1"/>
            <rFont val="Arial"/>
            <family val="2"/>
          </rPr>
          <t>https://www.mordorintelligence.com/industry-reports/freight-logistics-market-study</t>
        </r>
      </text>
    </comment>
    <comment ref="R36" authorId="1" shapeId="0" xr:uid="{185900FD-5657-D84F-B6AD-83A3B1761916}">
      <text>
        <r>
          <rPr>
            <sz val="10"/>
            <color rgb="FF000000"/>
            <rFont val="Tahoma"/>
            <family val="2"/>
          </rPr>
          <t>Rivalry is intense in the industry with constant pressure oninnovation and price. There are many strong competitors such as UPS, DHL FedEx and USPS; there is a really low product differentiation, meaning price wars and an increasing competition; exit barriers are high due to fixed contracts and assets; industry growth is moderate.</t>
        </r>
      </text>
    </comment>
    <comment ref="R37" authorId="1" shapeId="0" xr:uid="{9D5ACF90-27C4-3546-8C29-A3FEC0FA2203}">
      <text>
        <r>
          <rPr>
            <sz val="10"/>
            <color rgb="FF000000"/>
            <rFont val="Tahoma"/>
            <family val="2"/>
          </rPr>
          <t>new entrants face high barriers, meaning the threat is relatively low. The logistics industry demadns huge investments in infraestructure and technology; companies benefit from lower costs per unit; strict safety and environmental regulations create high barries; companies within the industry have trusted networks and a high reputation; the industry includes route rights and distribution channels controled by existing firms</t>
        </r>
      </text>
    </comment>
    <comment ref="R38" authorId="1" shapeId="0" xr:uid="{DCEB6F2B-2438-074F-A79B-E0F33EC06803}">
      <text>
        <r>
          <rPr>
            <sz val="10"/>
            <color rgb="FF000000"/>
            <rFont val="Tahoma"/>
            <family val="2"/>
          </rPr>
          <t>The threat is moderate as despite existing substitutes, they don't always meet costumer needs. Many alternatives are limited by their speed and coverage, meaning substitutes are put aside when fast delivery is essential; in last-mile delivery there are plenty of substitutes.</t>
        </r>
      </text>
    </comment>
    <comment ref="R39" authorId="1" shapeId="0" xr:uid="{3629FCFB-651D-294B-91BA-303273E8FF6B}">
      <text>
        <r>
          <rPr>
            <sz val="10"/>
            <color rgb="FF000000"/>
            <rFont val="Tahoma"/>
            <family val="2"/>
          </rPr>
          <t>Due to the high amount of alternatives and price sensitivity, costumers have a strong bargaining power. Although there is a high number of buyers, they can choose from multiple carriers and shipping options.; buyers are also informed, as digital platforms allow them to track shipments and compare prices; they can also switch if the service or price is better elsewhere.</t>
        </r>
      </text>
    </comment>
    <comment ref="R40" authorId="1" shapeId="0" xr:uid="{2EE265E0-C102-5449-BAC2-65E42C2EBF16}">
      <text>
        <r>
          <rPr>
            <sz val="10"/>
            <color rgb="FF000000"/>
            <rFont val="Tahoma"/>
            <family val="2"/>
          </rPr>
          <t>Limitations in key suppliers but some options to negotiate explain a moderate supplier power. Airplane manufacturers and fuel suppliers are few and critical; suppliers rarely enter the industry directly, meanig a low risk of forward integration; switching to different fuel supplier is costly and complex; tech providers have some leverage</t>
        </r>
      </text>
    </comment>
    <comment ref="B47" authorId="0" shapeId="0" xr:uid="{3D45AA18-C285-4C8A-BAD9-70598A98F4EB}">
      <text>
        <r>
          <rPr>
            <sz val="11"/>
            <color theme="1"/>
            <rFont val="Arial"/>
            <family val="2"/>
          </rPr>
          <t xml:space="preserve">https://d18rn0p25nwr6d.cloudfront.net/CIK-0001048911/8b5589de-a765-4fc7-b41b-162ef233ee5e.pdf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Mariana Gomes</author>
  </authors>
  <commentList>
    <comment ref="G35" authorId="0" shapeId="0" xr:uid="{B380C007-F872-7C44-992A-94086918E59F}">
      <text>
        <r>
          <rPr>
            <b/>
            <sz val="10"/>
            <color rgb="FF000000"/>
            <rFont val="Tahoma"/>
            <family val="2"/>
          </rPr>
          <t>Mariana Gomes:</t>
        </r>
        <r>
          <rPr>
            <sz val="10"/>
            <color rgb="FF000000"/>
            <rFont val="Tahoma"/>
            <family val="2"/>
          </rPr>
          <t xml:space="preserve">
</t>
        </r>
        <r>
          <rPr>
            <sz val="10"/>
            <color rgb="FF000000"/>
            <rFont val="Tahoma"/>
            <family val="2"/>
          </rPr>
          <t xml:space="preserve">the company does not disclose any information about water consumption
</t>
        </r>
      </text>
    </comment>
    <comment ref="G39" authorId="0" shapeId="0" xr:uid="{800A9C02-97C9-D749-B5ED-DE30621B9720}">
      <text>
        <r>
          <rPr>
            <b/>
            <sz val="10"/>
            <color rgb="FF000000"/>
            <rFont val="Tahoma"/>
            <family val="2"/>
          </rPr>
          <t>Mariana Gomes:</t>
        </r>
        <r>
          <rPr>
            <sz val="10"/>
            <color rgb="FF000000"/>
            <rFont val="Tahoma"/>
            <family val="2"/>
          </rPr>
          <t xml:space="preserve">
</t>
        </r>
        <r>
          <rPr>
            <sz val="10"/>
            <color rgb="FF000000"/>
            <rFont val="Tahoma"/>
            <family val="2"/>
          </rPr>
          <t xml:space="preserve">the company didn't say anything about concrete targets.
</t>
        </r>
      </text>
    </comment>
    <comment ref="G53" authorId="0" shapeId="0" xr:uid="{C60568F6-6E87-CB44-8903-3B3FDA4AB0BA}">
      <text>
        <r>
          <rPr>
            <b/>
            <sz val="10"/>
            <color rgb="FF000000"/>
            <rFont val="Tahoma"/>
            <family val="2"/>
          </rPr>
          <t>Mariana Gomes:</t>
        </r>
        <r>
          <rPr>
            <sz val="10"/>
            <color rgb="FF000000"/>
            <rFont val="Tahoma"/>
            <family val="2"/>
          </rPr>
          <t xml:space="preserve">
</t>
        </r>
        <r>
          <rPr>
            <sz val="10"/>
            <color rgb="FF000000"/>
            <rFont val="Tahoma"/>
            <family val="2"/>
          </rPr>
          <t>sources: eeoc.gov</t>
        </r>
      </text>
    </comment>
    <comment ref="B70" authorId="0" shapeId="0" xr:uid="{815C0EA1-D656-904F-9428-EFC31F1EEEC6}">
      <text>
        <r>
          <rPr>
            <b/>
            <sz val="10"/>
            <color rgb="FF000000"/>
            <rFont val="Tahoma"/>
            <family val="2"/>
          </rPr>
          <t>Mariana Gomes:</t>
        </r>
        <r>
          <rPr>
            <sz val="10"/>
            <color rgb="FF000000"/>
            <rFont val="Tahoma"/>
            <family val="2"/>
          </rPr>
          <t xml:space="preserve">
</t>
        </r>
        <r>
          <rPr>
            <sz val="10"/>
            <color rgb="FF000000"/>
            <rFont val="Tahoma"/>
            <family val="2"/>
          </rPr>
          <t xml:space="preserve">FedEx only listed the nominees list, meaning the people become the Board members once elected at the annual meeting. There isn't an exact list of the current directors.
</t>
        </r>
      </text>
    </comment>
    <comment ref="I73" authorId="0" shapeId="0" xr:uid="{60D45127-D44A-CB46-9B9E-0DC85D6B2108}">
      <text>
        <r>
          <rPr>
            <b/>
            <sz val="10"/>
            <color rgb="FF000000"/>
            <rFont val="Tahoma"/>
            <family val="2"/>
          </rPr>
          <t>Mariana Gomes:</t>
        </r>
        <r>
          <rPr>
            <sz val="10"/>
            <color rgb="FF000000"/>
            <rFont val="Tahoma"/>
            <family val="2"/>
          </rPr>
          <t xml:space="preserve">
</t>
        </r>
        <r>
          <rPr>
            <sz val="10"/>
            <color rgb="FF000000"/>
            <rFont val="Tahoma"/>
            <family val="2"/>
          </rPr>
          <t>FedEx does not publicly disclose specific quantitative diversity targets</t>
        </r>
      </text>
    </comment>
    <comment ref="G89" authorId="0" shapeId="0" xr:uid="{3A6991F9-4706-4A44-B0CB-4A8E210DFC8C}">
      <text>
        <r>
          <rPr>
            <b/>
            <sz val="10"/>
            <color rgb="FF000000"/>
            <rFont val="Tahoma"/>
            <family val="2"/>
          </rPr>
          <t>Mariana Gomes:</t>
        </r>
        <r>
          <rPr>
            <sz val="10"/>
            <color rgb="FF000000"/>
            <rFont val="Tahoma"/>
            <family val="2"/>
          </rPr>
          <t xml:space="preserve">
</t>
        </r>
        <r>
          <rPr>
            <sz val="10"/>
            <color rgb="FF000000"/>
            <rFont val="Tahoma"/>
            <family val="2"/>
          </rPr>
          <t xml:space="preserve">The company does not disclose concrete improvements and targets.
</t>
        </r>
      </text>
    </comment>
    <comment ref="G91" authorId="0" shapeId="0" xr:uid="{8B0BCC2A-5EF0-C84E-8310-4E330ED34594}">
      <text>
        <r>
          <rPr>
            <b/>
            <sz val="10"/>
            <color rgb="FF000000"/>
            <rFont val="Tahoma"/>
            <family val="2"/>
          </rPr>
          <t>Mariana Gomes:</t>
        </r>
        <r>
          <rPr>
            <sz val="10"/>
            <color rgb="FF000000"/>
            <rFont val="Tahoma"/>
            <family val="2"/>
          </rPr>
          <t xml:space="preserve">
</t>
        </r>
        <r>
          <rPr>
            <sz val="10"/>
            <color rgb="FF000000"/>
            <rFont val="Tahoma"/>
            <family val="2"/>
          </rPr>
          <t xml:space="preserve">Although FedEx's Compensation and Human Resources Committe discusses compensation policies for the board and employers, it doesn't fully disclose which bonuses they can have.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Mariana Januário Gomes</author>
    <author>Mariana Gomes</author>
  </authors>
  <commentList>
    <comment ref="B22" authorId="0" shapeId="0" xr:uid="{916E9E0A-67BF-4792-8877-57F8CB8AF0CF}">
      <text>
        <r>
          <rPr>
            <b/>
            <sz val="9"/>
            <color theme="1"/>
            <rFont val="Arial"/>
            <family val="2"/>
          </rPr>
          <t>Mariana Januário Gomes</t>
        </r>
        <r>
          <rPr>
            <sz val="9"/>
            <color theme="1"/>
            <rFont val="Arial"/>
            <family val="2"/>
          </rPr>
          <t>:
This includes International Priority, International Economy and Europe, MEISA, APAC, LAC</t>
        </r>
        <r>
          <rPr>
            <sz val="11"/>
            <color theme="1"/>
            <rFont val="Arial"/>
            <family val="2"/>
          </rPr>
          <t xml:space="preserve">
</t>
        </r>
      </text>
    </comment>
    <comment ref="B40" authorId="1" shapeId="0" xr:uid="{AAA6700D-6F8A-5549-9494-758D0AEE91F9}">
      <text>
        <r>
          <rPr>
            <b/>
            <sz val="10"/>
            <color rgb="FF000000"/>
            <rFont val="Tahoma"/>
            <family val="2"/>
          </rPr>
          <t>Mariana Gomes:</t>
        </r>
        <r>
          <rPr>
            <sz val="10"/>
            <color rgb="FF000000"/>
            <rFont val="Tahoma"/>
            <family val="2"/>
          </rPr>
          <t xml:space="preserve">
</t>
        </r>
        <r>
          <rPr>
            <sz val="10"/>
            <color rgb="FF000000"/>
            <rFont val="Tahoma"/>
            <family val="2"/>
          </rPr>
          <t xml:space="preserve">source: FedEx news
</t>
        </r>
      </text>
    </comment>
    <comment ref="B41" authorId="1" shapeId="0" xr:uid="{D797135A-B7DC-6443-BBDC-72D03FF772EA}">
      <text>
        <r>
          <rPr>
            <b/>
            <sz val="10"/>
            <color rgb="FF000000"/>
            <rFont val="Tahoma"/>
            <family val="2"/>
          </rPr>
          <t>Mariana Gomes:</t>
        </r>
        <r>
          <rPr>
            <sz val="10"/>
            <color rgb="FF000000"/>
            <rFont val="Tahoma"/>
            <family val="2"/>
          </rPr>
          <t xml:space="preserve">
</t>
        </r>
        <r>
          <rPr>
            <sz val="10"/>
            <color rgb="FF000000"/>
            <rFont val="Tahoma"/>
            <family val="2"/>
          </rPr>
          <t>source: Reuters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José Ricardo Ramos Duro Godinho</author>
  </authors>
  <commentList>
    <comment ref="M12" authorId="0" shapeId="0" xr:uid="{2BAD43FD-3E17-4EBE-9080-38B4D1AD0065}">
      <text>
        <r>
          <rPr>
            <sz val="11"/>
            <color theme="1"/>
            <rFont val="Arial"/>
            <family val="2"/>
          </rPr>
          <t>https://www.investing.com/news/stock-market-news/can-sp-500-rally-without-the-magnificent-7-leading-the-way-easy-says-bofa-432SI-3251612
Last 10 year's average S&amp;P500 w/out big 7
Minus Risk-Free rate</t>
        </r>
      </text>
    </comment>
    <comment ref="M13" authorId="0" shapeId="0" xr:uid="{AD40CB48-6C3E-4C6E-9720-8AC78AA123C1}">
      <text>
        <r>
          <rPr>
            <sz val="11"/>
            <color theme="1"/>
            <rFont val="Arial"/>
            <family val="2"/>
          </rPr>
          <t>https://www.upmyinterest.com/msci-world-ex-us/?utm_source=chatgpt.com
last 10 years average MSCI World ex-US
Minus 2.5% normal inflation-goal consideration</t>
        </r>
      </text>
    </comment>
    <comment ref="E30" authorId="0" shapeId="0" xr:uid="{C6E99875-6CA4-46F3-9EC0-C524C19F6D41}">
      <text>
        <r>
          <rPr>
            <sz val="11"/>
            <color theme="1"/>
            <rFont val="Arial"/>
            <family val="2"/>
          </rPr>
          <t>BBB S&amp;P rating</t>
        </r>
      </text>
    </comment>
    <comment ref="D31" authorId="0" shapeId="0" xr:uid="{8C7CE5E4-56A3-4DB5-9048-69DC3DAC6D24}">
      <text>
        <r>
          <rPr>
            <sz val="11"/>
            <color theme="1"/>
            <rFont val="Arial"/>
            <family val="2"/>
          </rPr>
          <t>Used half of 2024 + half of 2025, fixed from using a monthly</t>
        </r>
      </text>
    </comment>
    <comment ref="D37" authorId="0" shapeId="0" xr:uid="{BE91DE43-424D-4AF7-B728-7784708E6C9B}">
      <text>
        <r>
          <rPr>
            <sz val="11"/>
            <color theme="1"/>
            <rFont val="Arial"/>
            <family val="2"/>
          </rPr>
          <t>Trump effect - +0.25%
Tariffs - 0.25%</t>
        </r>
      </text>
    </comment>
    <comment ref="E37" authorId="0" shapeId="0" xr:uid="{AEDCE7A5-C0D3-49B8-8F65-E9918CDFAACD}">
      <text>
        <r>
          <rPr>
            <sz val="11"/>
            <color theme="1"/>
            <rFont val="Arial"/>
            <family val="2"/>
          </rPr>
          <t>Trump effect - +0.25%
Tariffs - 0.25%</t>
        </r>
      </text>
    </comment>
    <comment ref="F37" authorId="0" shapeId="0" xr:uid="{548C0F44-9F83-488D-BBAC-63E0E024A9A3}">
      <text>
        <r>
          <rPr>
            <sz val="11"/>
            <color theme="1"/>
            <rFont val="Arial"/>
            <family val="2"/>
          </rPr>
          <t>Trump Effect</t>
        </r>
      </text>
    </comment>
    <comment ref="G37" authorId="0" shapeId="0" xr:uid="{295B424B-FF1F-4625-A1B1-DD6B90B789DB}">
      <text>
        <r>
          <rPr>
            <sz val="11"/>
            <color theme="1"/>
            <rFont val="Arial"/>
            <family val="2"/>
          </rPr>
          <t>Trump Effect</t>
        </r>
      </text>
    </comment>
    <comment ref="H37" authorId="0" shapeId="0" xr:uid="{B81AAC32-DD27-40A9-9CEE-7892E0395F5D}">
      <text>
        <r>
          <rPr>
            <sz val="11"/>
            <color theme="1"/>
            <rFont val="Arial"/>
            <family val="2"/>
          </rPr>
          <t>Post-Trump effect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José Ricardo Ramos Duro Godinho</author>
  </authors>
  <commentList>
    <comment ref="L39" authorId="0" shapeId="0" xr:uid="{CC978EFB-8196-4C66-B84F-BC3E54D4DA51}">
      <text>
        <r>
          <rPr>
            <sz val="11"/>
            <color theme="1"/>
            <rFont val="Arial"/>
            <family val="2"/>
          </rPr>
          <t>Our assumption is based on the prediction that Network 2.0 will allow FedEx to retain market share in the U.S.
We don't believe they will be able to reverse the current trend and win back market share, but the last semester (3rd 2025) showed potential for the company to cut costs and increase revenue, while increasing the focus on the U.S. market and the European one.</t>
        </r>
      </text>
    </comment>
    <comment ref="B46" authorId="0" shapeId="0" xr:uid="{927D01D8-063F-4BF0-B406-0526E3CD8589}">
      <text>
        <r>
          <rPr>
            <sz val="11"/>
            <color theme="1"/>
            <rFont val="Arial"/>
            <family val="2"/>
          </rPr>
          <t xml:space="preserve">Assumed from Revenue of US market - other segments
</t>
        </r>
      </text>
    </comment>
    <comment ref="L52" authorId="0" shapeId="0" xr:uid="{C57F74C1-DD55-43AF-8B45-E370428AA6B2}">
      <text>
        <r>
          <rPr>
            <sz val="11"/>
            <color theme="1"/>
            <rFont val="Arial"/>
            <family val="2"/>
          </rPr>
          <t>We expect the change to the European market to allow the company to also retain some market share, but global increase in trade in the Asian Continent translates to lower market share, but higher revenue</t>
        </r>
      </text>
    </comment>
    <comment ref="AP155" authorId="0" shapeId="0" xr:uid="{AEE391D2-0A90-4918-BD7B-4D74943D3650}">
      <text>
        <r>
          <rPr>
            <sz val="11"/>
            <color theme="1"/>
            <rFont val="Arial"/>
            <family val="2"/>
          </rPr>
          <t>Based on Earning-calls, FedEx has 1.6Bi to spend and already used 500M</t>
        </r>
      </text>
    </comment>
    <comment ref="X156" authorId="0" shapeId="0" xr:uid="{5CAE46C0-EAD5-4468-833C-0FD2FC8757A6}">
      <text>
        <r>
          <rPr>
            <sz val="11"/>
            <color theme="1"/>
            <rFont val="Arial"/>
            <family val="2"/>
          </rPr>
          <t>Already planned</t>
        </r>
      </text>
    </comment>
    <comment ref="AH156" authorId="0" shapeId="0" xr:uid="{6D151C30-5198-43F9-9054-FC8091EA6F65}">
      <text>
        <r>
          <rPr>
            <sz val="11"/>
            <color theme="1"/>
            <rFont val="Arial"/>
            <family val="2"/>
          </rPr>
          <t>Average of the years with 2k (considered "high" years)</t>
        </r>
      </text>
    </comment>
    <comment ref="AJ156" authorId="0" shapeId="0" xr:uid="{D0B05E6B-5DE1-45CE-B25D-59FC13E6D206}">
      <text>
        <r>
          <rPr>
            <sz val="11"/>
            <color theme="1"/>
            <rFont val="Arial"/>
            <family val="2"/>
          </rPr>
          <t>Average of the years with 2k (considered "high" years)</t>
        </r>
      </text>
    </comment>
    <comment ref="AL156" authorId="0" shapeId="0" xr:uid="{92379A6B-3211-48FD-B71F-EA56688E55E9}">
      <text>
        <r>
          <rPr>
            <sz val="11"/>
            <color theme="1"/>
            <rFont val="Arial"/>
            <family val="2"/>
          </rPr>
          <t>Average of the years with 2k (considered "high" years)</t>
        </r>
      </text>
    </comment>
    <comment ref="AH158" authorId="0" shapeId="0" xr:uid="{B3439ABE-392D-4E3D-A13A-86C14459FF9C}">
      <text>
        <r>
          <rPr>
            <sz val="11"/>
            <color theme="1"/>
            <rFont val="Arial"/>
            <family val="2"/>
          </rPr>
          <t>Average of the last 5 years</t>
        </r>
      </text>
    </comment>
    <comment ref="Z202" authorId="0" shapeId="0" xr:uid="{6184DFD3-23CE-4D3D-9C29-25FD598AF7FE}">
      <text>
        <r>
          <rPr>
            <sz val="11"/>
            <color theme="1"/>
            <rFont val="Arial"/>
            <family val="2"/>
          </rPr>
          <t xml:space="preserve">EV/EBITDA from peers Tier I 2026
</t>
        </r>
      </text>
    </comment>
    <comment ref="AF202" authorId="0" shapeId="0" xr:uid="{AC9711D1-EC06-4424-844C-C38BCBB27F19}">
      <text>
        <r>
          <rPr>
            <sz val="11"/>
            <color theme="1"/>
            <rFont val="Arial"/>
            <family val="2"/>
          </rPr>
          <t xml:space="preserve">EV/Sales from peers Tier I 2025
</t>
        </r>
      </text>
    </comment>
    <comment ref="B203" authorId="0" shapeId="0" xr:uid="{23331D80-4550-4A54-B3FC-370EDFC5CEC1}">
      <text>
        <r>
          <rPr>
            <sz val="11"/>
            <color theme="1"/>
            <rFont val="Arial"/>
            <family val="2"/>
          </rPr>
          <t>https://investor.dsv.com/static-files/73965e8c-8de8-47ea-ad27-9b7f1d413da7?</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bloomberg-alunos</author>
  </authors>
  <commentList>
    <comment ref="D13" authorId="0" shapeId="0" xr:uid="{00000000-0006-0000-0E00-000001000000}">
      <text>
        <r>
          <rPr>
            <sz val="9"/>
            <color indexed="81"/>
            <rFont val="Tahoma"/>
            <family val="2"/>
          </rPr>
          <t>USD
EUR
KRW
BRL
JPY</t>
        </r>
      </text>
    </comment>
    <comment ref="D14" authorId="0" shapeId="0" xr:uid="{00000000-0006-0000-0E00-000002000000}">
      <text>
        <r>
          <rPr>
            <sz val="9"/>
            <color indexed="81"/>
            <rFont val="Tahoma"/>
            <family val="2"/>
          </rPr>
          <t>K
MLN 
BLN</t>
        </r>
      </text>
    </comment>
    <comment ref="D15" authorId="0" shapeId="0" xr:uid="{00000000-0006-0000-0E00-000003000000}">
      <text>
        <r>
          <rPr>
            <sz val="9"/>
            <color indexed="81"/>
            <rFont val="Tahoma"/>
            <family val="2"/>
          </rPr>
          <t xml:space="preserve">AAPL US Equity
DSY FP Equity
005930 KS Equity
</t>
        </r>
      </text>
    </comment>
    <comment ref="R17" authorId="0" shapeId="0" xr:uid="{00000000-0006-0000-0E00-000004000000}">
      <text>
        <r>
          <rPr>
            <sz val="9"/>
            <color indexed="81"/>
            <rFont val="Tahoma"/>
            <family val="2"/>
          </rPr>
          <t>USD
EUR
KRW
BRL
JPY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José Ricardo Ramos Duro Godinho</author>
  </authors>
  <commentList>
    <comment ref="AQ118" authorId="0" shapeId="0" xr:uid="{EF250939-8711-44E7-BEE7-25FECA64C434}">
      <text>
        <r>
          <rPr>
            <sz val="11"/>
            <color theme="1"/>
            <rFont val="Arial"/>
            <family val="2"/>
          </rPr>
          <t>BBB S&amp;P rating
5.1% is the highest
https://investors.fedex.com/news-and-events/investor-news/investor-news-details/2025/FedEx-Announces-Final-Results-of-Exchange-Offers-and-Consent-Solicitations-for-Senior-Notes/default.aspx?</t>
        </r>
      </text>
    </comment>
    <comment ref="AP119" authorId="0" shapeId="0" xr:uid="{BCF539D6-04DF-4FEF-9021-057E3274837A}">
      <text>
        <r>
          <rPr>
            <sz val="11"/>
            <color theme="1"/>
            <rFont val="Arial"/>
            <family val="2"/>
          </rPr>
          <t>Used half of 2024 + half of 2025, fixed from using a monthly</t>
        </r>
      </text>
    </comment>
    <comment ref="AP125" authorId="0" shapeId="0" xr:uid="{521A8E9D-A6B5-4122-A41E-4D3466E1365A}">
      <text>
        <r>
          <rPr>
            <sz val="11"/>
            <color theme="1"/>
            <rFont val="Arial"/>
            <family val="2"/>
          </rPr>
          <t>Trump effect - +0.25%
Tariffs - 0.25%</t>
        </r>
      </text>
    </comment>
    <comment ref="AQ125" authorId="0" shapeId="0" xr:uid="{1AE6B213-7954-4D6B-B9EC-B95F7EA379E6}">
      <text>
        <r>
          <rPr>
            <sz val="11"/>
            <color theme="1"/>
            <rFont val="Arial"/>
            <family val="2"/>
          </rPr>
          <t>Trump effect - +0.25%
Tariffs - 0.25%</t>
        </r>
      </text>
    </comment>
    <comment ref="AR125" authorId="0" shapeId="0" xr:uid="{3FA8FEFE-D09E-447C-973B-0408DDA503FD}">
      <text>
        <r>
          <rPr>
            <sz val="11"/>
            <color theme="1"/>
            <rFont val="Arial"/>
            <family val="2"/>
          </rPr>
          <t>Trump Effect</t>
        </r>
      </text>
    </comment>
    <comment ref="AS125" authorId="0" shapeId="0" xr:uid="{DE8302FD-AB5C-4E11-882D-12289497877C}">
      <text>
        <r>
          <rPr>
            <sz val="11"/>
            <color theme="1"/>
            <rFont val="Arial"/>
            <family val="2"/>
          </rPr>
          <t>Trump Effect</t>
        </r>
      </text>
    </comment>
    <comment ref="AT125" authorId="0" shapeId="0" xr:uid="{992433E1-D93E-45FA-BC93-E4BDCC2B8CCC}">
      <text>
        <r>
          <rPr>
            <sz val="11"/>
            <color theme="1"/>
            <rFont val="Arial"/>
            <family val="2"/>
          </rPr>
          <t>Post-Trump effect</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<sst xmlns="http://schemas.openxmlformats.org/spreadsheetml/2006/main" count="2139" uniqueCount="824">
  <si>
    <t>TODAY</t>
  </si>
  <si>
    <t>Analysts</t>
  </si>
  <si>
    <t>LIS – Equity Research</t>
  </si>
  <si>
    <t>Stock Performance</t>
  </si>
  <si>
    <t>José Ricardo Godinho, Team Leader</t>
  </si>
  <si>
    <t>Recommendation:</t>
  </si>
  <si>
    <t>Hold</t>
  </si>
  <si>
    <t>Bsc in Economia, ISEG – Ulisboa</t>
  </si>
  <si>
    <t>Target Price (FCFF):</t>
  </si>
  <si>
    <t>ze.ricardo.godinho@aln.iseg.ulisboa.pt</t>
  </si>
  <si>
    <t>Upside:</t>
  </si>
  <si>
    <t>Lucas Alves, Analyst</t>
  </si>
  <si>
    <t>Bsc in Gestão, ISEG – Ulisboa</t>
  </si>
  <si>
    <t>Ticker</t>
  </si>
  <si>
    <t>lucas.alves@aln.iseg.ulisboa.pt</t>
  </si>
  <si>
    <t>Stock Exchange</t>
  </si>
  <si>
    <t>NYSE</t>
  </si>
  <si>
    <t>Mariana Gomes, Analyst</t>
  </si>
  <si>
    <t>Bsc in MAEG, ISEG – Ulisboa</t>
  </si>
  <si>
    <t>Current Price</t>
  </si>
  <si>
    <t>l63852@aln.iseg.ulisboa.pt</t>
  </si>
  <si>
    <t>Beta</t>
  </si>
  <si>
    <t>% of 52-Week High</t>
  </si>
  <si>
    <t>100-Day Moving Average</t>
  </si>
  <si>
    <t>Reviewed by:</t>
  </si>
  <si>
    <t>Avg Vol (1 month)</t>
  </si>
  <si>
    <t>Damião, Analyst</t>
  </si>
  <si>
    <t>Shares Outstanding (millions)</t>
  </si>
  <si>
    <t>% Float</t>
  </si>
  <si>
    <t>email@aln.iseg.ulisboa.pt</t>
  </si>
  <si>
    <t>Short % of Float</t>
  </si>
  <si>
    <t>LISBON INVESTMENT SOCIETY</t>
  </si>
  <si>
    <t>% Held by Insiders</t>
  </si>
  <si>
    <t>ISEG – Rua do Quelhas, 6</t>
  </si>
  <si>
    <t>% Held by Institutions</t>
  </si>
  <si>
    <t>lis@iseg.ulisboa.pt</t>
  </si>
  <si>
    <r>
      <rPr>
        <b/>
        <sz val="8"/>
        <color rgb="FF7B1314"/>
        <rFont val="Arial Nova"/>
        <family val="2"/>
      </rPr>
      <t>Disclaimer:</t>
    </r>
    <r>
      <rPr>
        <b/>
        <sz val="8"/>
        <color theme="0" tint="-0.499984740745262"/>
        <rFont val="Arial Nova"/>
        <family val="2"/>
      </rPr>
      <t xml:space="preserve"> </t>
    </r>
    <r>
      <rPr>
        <sz val="8"/>
        <color theme="0" tint="-0.499984740745262"/>
        <rFont val="Arial Nova"/>
        <family val="2"/>
      </rPr>
      <t>This report was prepared by members of the Lisbon Investment Society (LIS), an independent, student-led, non-profit organization based at ISEG – Lisbon School of Economics &amp; Management, and is intended solely for academic and educational purposes. All analyses, forecasts, and opinions expressed in this report reflect the independent judgment of the authors as of the date of publication and are subject to change without notice. The views presented herein do not represent those of ISEG, its faculty, or any affiliated entity. This document does not constitute, and should not be interpreted as, investment advice, an offer, or a solicitation to buy or sell any security or financial instrument. Nothing in this report should be construed as a recommendation to make or refrain from making any investment decision. The content is intended for informational purposes only, and readers are strongly encouraged to conduct their own research and seek advice from a qualified financial professional before making any financial decisions. The information contained in this report has been obtained from publicly available sources believed to be reliable; however, no representation or warranty is made regarding the accuracy, completeness, or timeliness of such information. LIS and its members accept no liability whatsoever for any direct or indirect loss arising from the use of this report or its contents. This report incorporates terminology, financial metrics, and methodologies commonly used in professional equity research, including but not limited to Discounted Cash Flow (DCF), trading multiples, Monte Carlo simulations, and strategic analysis tools such as Porter’s Five Forces. Definitions and assumptions used in these models are disclosed within the report and reflect a hypothetical investment thesis designed solely for academic discussion. All valuations, projections, and target prices presented herein are based on publicly available data and subject to the limitations of modeling assumptions. These are not guarantees of future performance and should not be relied upon as such, as past performance is not indicative of future results. Any company names, logos, trademarks, or brand references mentioned in this report are the property of their respective owners and are used strictly for identification and academic purposes. This document may not be reproduced, redistributed, or quoted in whole or in part without the prior written consent of the Lisbon Investment Society.</t>
    </r>
    <r>
      <rPr>
        <sz val="8"/>
        <color theme="1"/>
        <rFont val="Arial Nova"/>
        <family val="2"/>
      </rPr>
      <t xml:space="preserve">
</t>
    </r>
    <r>
      <rPr>
        <b/>
        <sz val="8"/>
        <color rgb="FF7B1314"/>
        <rFont val="Arial Nova"/>
        <family val="2"/>
      </rPr>
      <t>About LIS – Lisbon Investment Society:</t>
    </r>
    <r>
      <rPr>
        <b/>
        <sz val="8"/>
        <color theme="1"/>
        <rFont val="Arial Nova"/>
        <family val="2"/>
      </rPr>
      <t xml:space="preserve"> </t>
    </r>
    <r>
      <rPr>
        <sz val="8"/>
        <color theme="0" tint="-0.499984740745262"/>
        <rFont val="Arial Nova"/>
        <family val="2"/>
      </rPr>
      <t>The Lisbon Investment Society (LIS) is a non-profit academic association headquartered at ISEG – Lisbon School of Economics &amp; Management. Founded in 2016, LIS is committed to fostering student interest in finance and investment through applied research, skill development, and institutional engagement. The Society operates independently and autonomously from any political, religious, or commercial affiliation, and is composed of selected students and collaborators who are invited through a rigorous recruitment process and share a commitment to excellence, analytical rigor, and ethical standards. Its activities include equity research, portfolio management, macroeconomic analysis, and investment education. This report was prepared by the Equity Research team at the Lisbon Investment Society, whose analysts combine rigorous financial modeling, critical thinking, and collaborative research to deliver high-quality, student-led investment analysis. We welcome your feedback, discussion, and questions regarding this report or our research process, and invite you to reach out to our team as we are always open to engagement.</t>
    </r>
    <r>
      <rPr>
        <b/>
        <sz val="8"/>
        <color theme="0" tint="-0.499984740745262"/>
        <rFont val="Arial Nova"/>
        <family val="2"/>
      </rPr>
      <t xml:space="preserve">
</t>
    </r>
  </si>
  <si>
    <t>x</t>
  </si>
  <si>
    <t>Industry Growth Forecast</t>
  </si>
  <si>
    <t>Industry Index</t>
  </si>
  <si>
    <r>
      <rPr>
        <sz val="11"/>
        <color rgb="FF000000"/>
        <rFont val="Arial Nova"/>
        <family val="2"/>
      </rPr>
      <t>Global transportation and Logistics Market Size</t>
    </r>
    <r>
      <rPr>
        <b/>
        <sz val="11"/>
        <color rgb="FF000000"/>
        <rFont val="Arial Nova"/>
        <family val="2"/>
      </rPr>
      <t xml:space="preserve"> </t>
    </r>
  </si>
  <si>
    <t>FedEx Market Share</t>
  </si>
  <si>
    <t>E-commerce Market Size</t>
  </si>
  <si>
    <t>E-commerce in the U.S. Market Size</t>
  </si>
  <si>
    <t>Global Express Delivery Service</t>
  </si>
  <si>
    <t>US Express Delivery Service</t>
  </si>
  <si>
    <t>US freight and logistics market</t>
  </si>
  <si>
    <t>Rest of World freight and logistics market</t>
  </si>
  <si>
    <t>Industry Driver</t>
  </si>
  <si>
    <t>Description</t>
  </si>
  <si>
    <t>Porter's Five Forces</t>
  </si>
  <si>
    <t>E-commerce expansion is transforming logistics</t>
  </si>
  <si>
    <t>As online shopping continues to grow, costumers changed their buying behavior: they demand faster deliveries and more flexible services. This shift means the companies in the industry need to expand its operations and integrate with retail networks. They can then benefit from increased parcel volume and faster and innovative services. Companies can also gain from partnerships in the last-mile delivery.</t>
  </si>
  <si>
    <t>Sustainability regulations are reshaping fleet strategies</t>
  </si>
  <si>
    <t>In a world where sustainability is a highly discussed issue, growing pressure from governments and stakeholders is leading to a cut in logistics firms' emissions. Efforts such as transitioning to electric vehicles and sustainable aviation fuel and investing in renewable energy will not only meet regulatory targets but also enhance the company's appeal to clients with ESG goals.</t>
  </si>
  <si>
    <t>Automation and AI are boosting supply chain efficiency</t>
  </si>
  <si>
    <t xml:space="preserve">Adopting automation and AI to simplify package sorting, routing and delivery can help managing labor shortages, improve operational efficiency and reduce costs. Companies such as FedEx Corporation are implementing technologies like robotic package sorting and autonomous delivery vehicles. </t>
  </si>
  <si>
    <t>Rising fuel and labor costs affect profitability</t>
  </si>
  <si>
    <t>Transport firm's margins are considerably affected by volatile fuel prices and rising labor costs, impacting operating costs. This represents a structural pressure in the industry, compelling companies to invest in fleet efficiency and route optimization to protect their profit margins.</t>
  </si>
  <si>
    <t>Geopolitical shifts are disrupting trade routes</t>
  </si>
  <si>
    <t>Big conflitcs such as wars and difficult relationships between countries are affecting global freight flows. As this means tensions, tariffs and supply chain disruptions, companies are exposed to higher risks, meaning  they have to constantly adjust routes and strategies to stregthen service reliability.</t>
  </si>
  <si>
    <t>Rivalry Among Existing Competitors</t>
  </si>
  <si>
    <t>Threat of New Entrants</t>
  </si>
  <si>
    <t>Threat of Substitutes</t>
  </si>
  <si>
    <t>Bargaining Power of Customers</t>
  </si>
  <si>
    <t>Bargaining Power of Suppliers</t>
  </si>
  <si>
    <t>Global transportation and Logistics Market Size  - 2021</t>
  </si>
  <si>
    <t>FedEx Express Segment - Total U.S. Domestic package revenue</t>
  </si>
  <si>
    <t>ESG Analysis</t>
  </si>
  <si>
    <t>ESG Scores</t>
  </si>
  <si>
    <t>GHG Scope 1 Emissions, Water Consumption, Energy Consumption and Waste Production per Sales</t>
  </si>
  <si>
    <t>LSEG ESG Score</t>
  </si>
  <si>
    <t xml:space="preserve">   E-Score</t>
  </si>
  <si>
    <t xml:space="preserve">   S-Score</t>
  </si>
  <si>
    <t xml:space="preserve">   G-Score</t>
  </si>
  <si>
    <t>S&amp;P Global ESG Score</t>
  </si>
  <si>
    <t xml:space="preserve">   Environmental</t>
  </si>
  <si>
    <t xml:space="preserve">   Social</t>
  </si>
  <si>
    <t xml:space="preserve">   Governance &amp; Economic</t>
  </si>
  <si>
    <t>Sustainalytics</t>
  </si>
  <si>
    <t>ISS ESG Corporate Rating</t>
  </si>
  <si>
    <t>D+</t>
  </si>
  <si>
    <t xml:space="preserve">   SDG Impact Rating</t>
  </si>
  <si>
    <t xml:space="preserve">   Governance Quality Score</t>
  </si>
  <si>
    <t>MSCI ESG Ratings</t>
  </si>
  <si>
    <t>Key Info</t>
  </si>
  <si>
    <t>Environmental</t>
  </si>
  <si>
    <t>Overview</t>
  </si>
  <si>
    <t>Targets</t>
  </si>
  <si>
    <t>Improvements</t>
  </si>
  <si>
    <t>Comments</t>
  </si>
  <si>
    <t>GICS Sector</t>
  </si>
  <si>
    <t>Industrials</t>
  </si>
  <si>
    <t>GHG Scope 1 Emissions</t>
  </si>
  <si>
    <t>FedEx Corporation set a goal of becoming carbon-neutral across their operations by 2040. Reducing in 40% aviation emissions intensity by 2034, considering the same 2005 baseline. By 2040, transform the entire PUD fleet to all electric vehichles.</t>
  </si>
  <si>
    <t>In 2006, the company launched the Fuel Sense program, resulting in over 9.6 million metric tons of avoided CO2 emissions. In 2011, met the goal of 20% reduction in aircraft CO2 emissions. Reduction of aviation emissions intensity by 30% from 2005 baseline. From FY23 to FY24, there was a 6.1% reduction in scope 1 emissions, being 4.9% of those just from jet fuel consiumption. From FY24 to FY25 scope 1 emissions reduced 4.9%. In 2024, the company prevented over 1.2 milion metric tons of CO2 emission through aircraft modernization initiatives. In FY24, the company continued adding EVs across international markets, also adding e-cargo bicycles and tricycles in Canada, Taiwan and UK.</t>
  </si>
  <si>
    <t>In 2022, FedEx launched FedEx Sustainability Insights for costumers and suppliers to calculate their estimated Co2 transportation emissions. In 2025, the company began using SAF (sustainable aviation fuel). However, in 2024, less than 1% of all jet fuel produced was SAF. FedEx is first focusing on decarbonizing their operations by using proven technologies that reduce emissions. The future change of new equipment will reduce their emissions per package-mile. Costumers can also forecast future emissions trough predictive modeling capabilities.</t>
  </si>
  <si>
    <t>GICS Industry Group</t>
  </si>
  <si>
    <t>Transportation</t>
  </si>
  <si>
    <t>GICS Industry</t>
  </si>
  <si>
    <t>Air Freight &amp; Logistics</t>
  </si>
  <si>
    <t>Water Consumption</t>
  </si>
  <si>
    <t>GICS Sub-Industry</t>
  </si>
  <si>
    <t>Energy Consumption</t>
  </si>
  <si>
    <t>By 2040, the company aim to source 100% of their facility industry from renewable sources. By 2028, FedEx aims to source 500 gigawatt-hours (GWh) of energy from renewable sources and 1,300 GWh by 2033. In 2025, the company still plans to install an additional natural gas generator at their Lehigh Valley, Pennsylvania facility in 2025.</t>
  </si>
  <si>
    <t xml:space="preserve">In 2010, the company completed their first non-US on-site solar energy installation in Cologne, Germany. In 2011, FedEx opened one of the most energy efficient data centers in the US.  Since FY17, the company reduced the energy consumption at participating FedEx Office stores by 47% through the implementation of energy management systems and LED lighting. In FY24, the company completed contracts to produce aproximately 8 additional Ws of renewable energy across the U.S. They also generated over 31 GWh of on- and off-site solar energy at 34 locations around the world. </t>
  </si>
  <si>
    <t xml:space="preserve">As part of the Fuel Sense program, the company is flying their fleet at higher altitudes where low air density requires aircraft to expend less energy to propel forward. With the transition to one FedEx and to accomodate the increasing volume of packages transported, PUD EVs will need to be larger, which means larger capacity batteries and higher energy usage to charge. FedEx manages energy usage and waste globally through ISO standards, energy systems, and employee-driven innovations to improve performance and savings. </t>
  </si>
  <si>
    <t>Headquarters</t>
  </si>
  <si>
    <t>Memphis, Tennessee, United States</t>
  </si>
  <si>
    <t>Numer of Employees</t>
  </si>
  <si>
    <t>510.000</t>
  </si>
  <si>
    <t>Waste Management</t>
  </si>
  <si>
    <t>The company aims to minimize their operational waste footprint.</t>
  </si>
  <si>
    <t xml:space="preserve">In 2021, the company introduced FedEx Reusable Pak, allowing customers to return items or prepare their own shipments without additional packaging. In FY23, FedEx Freight recycled over 1,700 tons of metal, 2,700 tons of paper, and 2,100 tons of wood-related waste. Meanwhile, FedEx Express recycled 42.5 million pounds of cardboard, wood pallets, paper, and metal waste, FedEx Office maintained its toner recycling program, preventing over 62,000 cartridges from being disposed of in landfills. Lastly, FedEx Ground facilities achieved a waste diversion rate of nearly 80% from recycling. In FY24, FedEx piloted a project that introduced mesh reusable bags into the small package sort systems, preventing 50 million plastic bags from entering landfills. </t>
  </si>
  <si>
    <t>FedEx earned the ISO 9001 global certification for 30 consecutive years, for their effective quality management system, by streamlining processes to improve resource management and reduce waste. Through the Supply Exchange Program, FedEx freight reduces waste via office and operations supplies reuse and sharing excess supplies across various locations and departments.</t>
  </si>
  <si>
    <t>Annual Report</t>
  </si>
  <si>
    <t>Other</t>
  </si>
  <si>
    <t>Sustainability Report</t>
  </si>
  <si>
    <t>Recent Headlines</t>
  </si>
  <si>
    <t>Social</t>
  </si>
  <si>
    <t>Concern over jobs as FedEx confirms closure plan - BBC News - 14/05/2025</t>
  </si>
  <si>
    <t>Employee Turnover %</t>
  </si>
  <si>
    <t>The company is committed to compensating our employees fairly and respect the rights of team members to unionize.</t>
  </si>
  <si>
    <t>In FY24, they implemented a cohesive listening platform to analyze employee feedback across the enterprise.</t>
  </si>
  <si>
    <t>In FY24, the global turnover rate for all employees was 95%. Turnover for part-time team members, primarily package handlers at our sorting locations, was 195%, while full-time team member turnover was 26%. This number is so high due to many reasons: FedEx relies heavily on seasonal and part-time staff at hubs, the reoles are physically intense and low paid and hiring highly increases in peak season meaning inflating annual turnover stats when workers leave afterward.</t>
  </si>
  <si>
    <t>FedEx announces leadership for company split - 19/05/2025</t>
  </si>
  <si>
    <t>Salaries &amp; Compensation</t>
  </si>
  <si>
    <t>Maintain the comprehensive compensation package.</t>
  </si>
  <si>
    <t>As in January 2024, in the U.S., the company covered approximately 70% of the total eligible health, wellness and disability costs at the plan level for 215,000 participating team members. In 2024, they also launched a new plan option ("Your Choice"), designed for flexibility, simplicity, cost transparency, and increased access to quality providers.</t>
  </si>
  <si>
    <t>In FedEx's compensation plan, each executive officer has individual performance objectives established at the beginning of each fiscal year. "Our comprehensive benefits include health care coverage, well-being programs, basic and supplemental life and accidental death and dismemberment insurance, paid sick leave, paid time off, and parental leave for all eligible full- and part-time employees.(...)These health benefits include flexible medical, behavioral, dental, vision, and pharmacy coverage, in addition to mental health services. " - 2025 corporate responsability report. To help ensure the benefits and compensation packages remain competitive, they routinely conduct peer benchmarking and internal pay equity analyses. Workers often report burnout, feeling undervalued and unpredictable scheduling.</t>
  </si>
  <si>
    <t>FedEx closes 100 stations through Network 2.0 overhaul - Supply Chain Dive - 25/06/2025</t>
  </si>
  <si>
    <t>FedEx to implement single pricing structure for express, standard pickups.  - Freight Waves - 03/07/2025</t>
  </si>
  <si>
    <t>Reputation</t>
  </si>
  <si>
    <t>FedEx aims to be seen as a trusted, innovative and responsible global logistics leader, developing mutually rewarding relationships, valuing its people and communities and comitting to a sustainable, technology-drivn future.</t>
  </si>
  <si>
    <t>FedEx has been ranked among "World's Most Admired Companies" for 25 consecutive years. It remains the highest-ranked delivery company in that ranking.</t>
  </si>
  <si>
    <t>In 2024, FedEx was named among the World's Most Ethical Companies by Ethisphere. However, workers continue expressing frustration around workload and lack of recognition.</t>
  </si>
  <si>
    <t xml:space="preserve">FedEx executive Sriram Krishnasamy stepping down, company anounces - Action News 5 - 17/07/2025.  </t>
  </si>
  <si>
    <t>Discrimination Events</t>
  </si>
  <si>
    <t>Fedex plans to align policies more closely with ADA (Americans with disabilities) standards. The company also suggests an ongoing focus in workforce diversity and inclusion in their goals.</t>
  </si>
  <si>
    <t>After the 2007's class action, FedEx eliminated the BST. After the sex discrimination case in 2012, FedEx comitted to provide anti-discrimination training, revice their policies and issue regret letters. The company also agreed to invest in ASL interpreters, acessible orientation and captioned training</t>
  </si>
  <si>
    <t xml:space="preserve">In 2007,there was a class action by African American and Latino employees alledging discrimination in promotions, pay, evaluations and discipline. They also revealed that the "Basic Skills Test" contruibuted to minorities being stuck in lower-paying roles, screening them out from promotions. In 2012, FedEx Freight allegedly hired a man over more qualified women for an HR position. The company faced accusations regarding failure in providing accommodations to deaf and hard-on-hearing workers. In 2024, EEOC accused FedEx of placing disabled transport workers on unpaid leave or firing them if they were not "100% healed". In 2025, EEOC also sued FedEx for disability discrimination, meaning it violated federal law by failing to accomodate several dispatchers' requests to continue working from home and demanded their immediate return to the office. It also forced one dispatcher into retirement. </t>
  </si>
  <si>
    <t>Work Safety</t>
  </si>
  <si>
    <t>FedEx Corporations plans to pilot AI capabilities within vehicles that can alert and validate operational safety in FY25.</t>
  </si>
  <si>
    <t xml:space="preserve">In 2020, FedEx Express launched an interactive program that encourages employee safety engagement and recognizes team members for working safely.From 2021 to 2024, FedEx reported a 74% improvement in distracted driving events since the implementation of the VEDR (video event data recorder) program. From 2023 to 2024, there was a 2.7% improvement in PUD preventable vehicle accident rate. </t>
  </si>
  <si>
    <t>Employees and managers use safety observations to reinforce proper lifting
techniques to reduce injuries. FedEx also provides mandatory safety trainings for all new hires during onboarding. They aim to equip employees with the tools necessary to address their work- and responsibility-specific
safety hazards. The Leading with Safety program teaches managers proper safety procedure execution, hazard recognition and reporting. We
also provide a program to reduce risk of injury and discomfort as well as
trainings to improve workplace efficiencies, reduce injury, and enhance employee morale.</t>
  </si>
  <si>
    <t>Damage to consumer health</t>
  </si>
  <si>
    <t>Continue to ensure timely delivery of medical products.</t>
  </si>
  <si>
    <t>In the past years, FedEx added additional facilities to their network in Asia to help supporting cold chain logistics in the region. Throughout the pandemic, the company came up with a monitoring and intervention solution to monitor vaccine transportation.</t>
  </si>
  <si>
    <t>Although there's no direct damage to consumer health, when it comes to delivering critical medical supplies and healthcare products, some incidents, such as late deliveris when the medicine expired and the costumer was charged can happen, which may lead to impacts on the costumer's health.</t>
  </si>
  <si>
    <t>Pension Plan</t>
  </si>
  <si>
    <t>In FY26, the company anticipates making up to 400 million dollars in voluntary contributions to its U.S. pension plan. FedEx is also commiting to ensure that healthcare and pension plans remain adequately funded and sustainable despite any volatility in the market.</t>
  </si>
  <si>
    <t>The Company sponsors defined benefit pension plans that provide retirement benefits to certain U.S. employees.</t>
  </si>
  <si>
    <t>Supply chain</t>
  </si>
  <si>
    <t>FedEx Corporation is in the process of making supply chains smarter and more efficient through AI and robotics technologies.</t>
  </si>
  <si>
    <t>In FY24, 74% of packaging materials were from third-party certified sources. With Pyxera Global, the company launched the Circular Supply Chain Coalition to transform supply chains and upcycle rare earth minerals from consumer electronic waste. Branded packaging is now 100% recyclable and 40% made from recycled content.</t>
  </si>
  <si>
    <t>"FedEx is consistently recognized as one of the most ethical companies in the world" - 2025 corporate responsability report. The company currently relies in 100000 direct suppliers to maintain their global operations. In 2025, FedEx established a partnership with Amazon for residential deliveries of select large packages, which means the companies renewed their relationship.</t>
  </si>
  <si>
    <t>Community involvement</t>
  </si>
  <si>
    <t>Continue ecouraging members to participate in community service programs (such as "Purple Toats" and "Community Engagement Fund") to maintain a high community involvement.</t>
  </si>
  <si>
    <t>FedEx has the FedEx Alert Line call center and web portal for reporting concerns accessible for team members and community members as well in which they received more than 18700 reports in FY2024. From FY2024 to FY2025, employee participation in community programs increased 20% in the Asia Pacific region.</t>
  </si>
  <si>
    <t>FedEx is involved with the community also through FedEx Cares, a global community engagement program that aims to connect people and possibilities. It includes volunteerism, charitable giving and strategic investments. Although the company shows a big community involvement, this varies by region.</t>
  </si>
  <si>
    <t>Public Sector</t>
  </si>
  <si>
    <t>Continue expand logistics for federal, state and local agencies and protect operational flexibility and costumer interests.</t>
  </si>
  <si>
    <t xml:space="preserve">The comapny provides shipping and logistics to multiple federal and state agencies. During the pandemic, it partnered with the U.S. Department of Health and Human Services to ship medical supplies. </t>
  </si>
  <si>
    <t>FedEx Corporation is a fully private company, publicly traded on the NYSE. There is no government ownership.</t>
  </si>
  <si>
    <t>Litigation</t>
  </si>
  <si>
    <t>FedEx Corporation aims to develop a better relationship with employees to prevent any problem related to employment classification. It also revealed a desire to stregthen its legal and compliance frameworks.</t>
  </si>
  <si>
    <t>FedEx successfully defended itself against a securities fraud claim related to a cyberattack.</t>
  </si>
  <si>
    <t>In 2016, FedEx faced a lawsuit that alleged that the company misclassified thousands of workers, denying them overtime pay, benefits and legal protections. In 2025, the company also faced a tax fraud investigation involving ilicit labor supply .</t>
  </si>
  <si>
    <t>Board of Directors</t>
  </si>
  <si>
    <t>Governance</t>
  </si>
  <si>
    <t>Name</t>
  </si>
  <si>
    <t>Position</t>
  </si>
  <si>
    <t>M/F  – Age</t>
  </si>
  <si>
    <t>Silvia Davila</t>
  </si>
  <si>
    <t>Director</t>
  </si>
  <si>
    <t>F - 54</t>
  </si>
  <si>
    <t>Diversity (Gender, Age, Industry, Region)</t>
  </si>
  <si>
    <t>Continue creating a board with a diverse range of experiences and perspectives to effectively oversee the company's global operations.</t>
  </si>
  <si>
    <t>From FY24 to FY25, the percentage of female board nominees increased from 36% to 38% and the % of racially and ethnically diverse members increased form 29 to 31.</t>
  </si>
  <si>
    <t>38% of board memebers are female and 31% of board membersare racially or ethnically diverse. The youngest member on the board is 50 years old and the average age is 62, meaning the board is not that diverse in terms of age. The directors also have experience in various industries.</t>
  </si>
  <si>
    <t>Marvin R. Ellison</t>
  </si>
  <si>
    <t>M - 60</t>
  </si>
  <si>
    <t>Stephen E. Gorman</t>
  </si>
  <si>
    <t>M - 70</t>
  </si>
  <si>
    <t>% Independence</t>
  </si>
  <si>
    <t>FedEx aims for a board with a majority of independent directors who meet the applicable independence regulation laws.</t>
  </si>
  <si>
    <t xml:space="preserve">In the past 5 years, 5 new independent directors have joined the board. </t>
  </si>
  <si>
    <t>11 out of the 12 board members are independent.</t>
  </si>
  <si>
    <t>Susan Patricia Griffith</t>
  </si>
  <si>
    <t>F - 60</t>
  </si>
  <si>
    <t>Amy B. Lane</t>
  </si>
  <si>
    <t>F - 72</t>
  </si>
  <si>
    <t>Average time as independent directors</t>
  </si>
  <si>
    <t>The company aims to continue seeking directors with various backgrounds to provide oversight and strategic guidance.</t>
  </si>
  <si>
    <t>The board now includes directors with various lenghts of service, meaning a balanced institutional knowledge as well as new ideas.</t>
  </si>
  <si>
    <t>The average tenure within the 12 members is 6.6 years. Among these, the independent ones have na average tenure of 9 years.FedEx has actively refreshed its board.</t>
  </si>
  <si>
    <t>R. Brad Martin</t>
  </si>
  <si>
    <t>Chairman of the Board</t>
  </si>
  <si>
    <t>M - 73</t>
  </si>
  <si>
    <t>Nancy A. Norton</t>
  </si>
  <si>
    <t>Departures of C-level executives</t>
  </si>
  <si>
    <t>Along with the plan to separate FedEx Freight from FedEx Corporation, the Chief Operating officer for U.S. and Canada, John A. Smith, has been selected to serve as President and CEO of the new company.</t>
  </si>
  <si>
    <t xml:space="preserve">Among the three recent departures, one of them was a strategic transition related to the new changes being made regarding the technology strategies. </t>
  </si>
  <si>
    <t>In June 2025, FedEx elected a new chairman of the board due to the passing of the last one. The company has also managed transitions smoothly with minimal disruption to operations.</t>
  </si>
  <si>
    <t>Frederick P. Perpall</t>
  </si>
  <si>
    <t>M - 50</t>
  </si>
  <si>
    <t>Joshua Cooper Ramo</t>
  </si>
  <si>
    <t>M - 56</t>
  </si>
  <si>
    <t>CEO/Chairman duality</t>
  </si>
  <si>
    <t>While the Chairman of the board role is becoming more executive (the Chairman is being reelected also as Executive chairman), FedEx ensures that the CEO will continue to be focusing more on executing strategy while the chairman will focus on governance and public policy.</t>
  </si>
  <si>
    <t xml:space="preserve">In june 2022, Frederick W. Smith who had been both CEO and Chairman stepped down as CEO effective. After his passing, R. Brad Martin was elected the new Chairman to avoid a long period with both  roles ambiguous.  </t>
  </si>
  <si>
    <t>The combination of Chairman of the board and executive Chairman in the same person will mean he is no longer going to be independent, reducing the number of independent board memebers. This also means it is essential to clarify the role definition to avoid conflict with the CEO's duties.</t>
  </si>
  <si>
    <t>Susan C. Schwab</t>
  </si>
  <si>
    <t>F - 70</t>
  </si>
  <si>
    <t>Rajesh Subramaniam</t>
  </si>
  <si>
    <t>President and Chief Executive Officer</t>
  </si>
  <si>
    <t>M - 59</t>
  </si>
  <si>
    <t>Transparency when reporting</t>
  </si>
  <si>
    <t>The company remains committed to delivering transparent and timely updates on their management of ESG matters that are aligned with the company’s strategic focus.</t>
  </si>
  <si>
    <t>In 2022, the company launched the FedEx Sustainability Insights, enabling tranparency for costumers to inform their emissions reporting.</t>
  </si>
  <si>
    <t>The company does not disclose information aboout water consumption. It also lacks governance transparency and employee-related financial transparency.</t>
  </si>
  <si>
    <t>Paul S. Walsh</t>
  </si>
  <si>
    <t>Time taken to report</t>
  </si>
  <si>
    <t>After the next fiscal year ends, FedEx Corporation aims to have the annual and esg reports published earlier to reduce information lag, despite the change in FY ending.</t>
  </si>
  <si>
    <t>The change of FY is na improvement in alignment as many companies in the industry use calendar year-end. The company also releases quarterly earnings reports on schedule.</t>
  </si>
  <si>
    <t>In January 2025, FedEx Board approved the change in the company's fiscal year end from may 31 to december 31. FedEx doesn't give a cliear timeline or goal for how quickly it will public their annual and ESG reports, introducing some uncertainty compared to its peers.</t>
  </si>
  <si>
    <t>CEO or Chairman in other boards?</t>
  </si>
  <si>
    <t>FedEx aims to continue positioning the CEO and Chairman in other boards to stregthen influence in logistics and sustainability, bring best practices to FedEx's board and exe cutive management and support its international expansion.</t>
  </si>
  <si>
    <t>The CEO's roles in other companies internationally reflect its active involvement in various sectors, including business, trade and technology. The Chairman roles also reveal his extensive experience in leadership and governance across the industries. Both can provide innovation and transfer of the best practices to FedEx.</t>
  </si>
  <si>
    <t>The CEO is part of the board in Procter &amp; Gamble and FIRST. The Chairman of the board is also part of the board of WestRock Coffee Company. While overextension in other boards can be a concern, FedEx appears to maintain a good balance.</t>
  </si>
  <si>
    <t>Audit / Consulting</t>
  </si>
  <si>
    <t>FedEx plans to continue with the same auditor for the forseable future.</t>
  </si>
  <si>
    <t>FedEx Corporation has srengthened audit oversight and governance.</t>
  </si>
  <si>
    <t>FedEx maintains its external auditor, Ernst &amp; Young, since 2002. Such a long time may require an assessement of auditor's independence.</t>
  </si>
  <si>
    <t>ESG-compensation related</t>
  </si>
  <si>
    <t>N/A</t>
  </si>
  <si>
    <t>"The Compensation and Human Resources Committee reviews and discusses with our management team key human resource management strategies and programs." - 2025 corporate responsability report</t>
  </si>
  <si>
    <t>Management compensation schemes</t>
  </si>
  <si>
    <t>As vesting period is usually four years, FedEx aims to keep employees for longer periods.</t>
  </si>
  <si>
    <t>With the savings from their DRIVE initiatives, they were able to afford part of the rising expenses with labor, increasing salaries, compensations and pension plans.</t>
  </si>
  <si>
    <t>The stock-based compensation expense has been declining in the last 3 years. FedEx uses the Black-Scholes option pricing model to calculate the fair value of stock options.</t>
  </si>
  <si>
    <t>Segments</t>
  </si>
  <si>
    <t>Products</t>
  </si>
  <si>
    <t>Q1</t>
  </si>
  <si>
    <t>Q2</t>
  </si>
  <si>
    <t>Q3</t>
  </si>
  <si>
    <t>Q4</t>
  </si>
  <si>
    <t>FY</t>
  </si>
  <si>
    <t>Revenue by segment:</t>
  </si>
  <si>
    <t>FedEx Express</t>
  </si>
  <si>
    <t>=soma(</t>
  </si>
  <si>
    <t>FedEx Ground</t>
  </si>
  <si>
    <t>FedEx Freight</t>
  </si>
  <si>
    <t>FedEx Services</t>
  </si>
  <si>
    <t>Corporate, other and eliminations</t>
  </si>
  <si>
    <t>Total revenue</t>
  </si>
  <si>
    <t>Revenue by region:</t>
  </si>
  <si>
    <t>U.S.</t>
  </si>
  <si>
    <t>International</t>
  </si>
  <si>
    <t>Products:</t>
  </si>
  <si>
    <t>Product 1</t>
  </si>
  <si>
    <t>Product 2</t>
  </si>
  <si>
    <t>Product 3</t>
  </si>
  <si>
    <t>Product 4</t>
  </si>
  <si>
    <t>Product 5</t>
  </si>
  <si>
    <t>Notes &amp; Forecasts</t>
  </si>
  <si>
    <t>Separating FedEx Freight from FedEx Corporation</t>
  </si>
  <si>
    <t xml:space="preserve">The dynamics, cost structures and investment needs within LTL market are different from parcel delivery. To compete more effectively in the market, FedEx believes to be crucial separating FedEx Freight, creating two independent industry-leading companies. This is intended to be tax-efficient for share-holders and allows better capital allocation as well as more operational agility and accountability. Although cooperation between the two is ensured, this change can lead to a range of different investor bases. </t>
  </si>
  <si>
    <t>Remotion of de minimis exemption</t>
  </si>
  <si>
    <t>The recent end of the de minimis exemption means parcels now face tariffs, increasing costs for costumers. As FedEx focused heavily on direct shippments from China to U.S. by air, the air freight demand fell sharply and is expected to continue weak, meaning an incertain future for global logistics providers. Although all this resulted in a reduction of demand for these shipments, product mix is possibly shifting from low-value cheap parcels toward high-value shipment, more lucrative than the first ones.</t>
  </si>
  <si>
    <t>Introduction of the "Easy Returns" program</t>
  </si>
  <si>
    <t>The continuous rapid growth of online shopping also came with an increase in returns. However, handling these is expensive and complex. To improve costumer experience and reduce costs to better compete in the industry, FedEx Corporation introduced a new "Easy Returns" program, with boxless returns for items under 10 pounds, QR-code based tracking and an expansion of the drop-off network. This ended up stretching FedEx's domestic retail logistics footprint and positions it to capture higher-margin services.</t>
  </si>
  <si>
    <t>Transforming FedEx's operating companies into a unified structure (One FedEx)</t>
  </si>
  <si>
    <t>FedEx always operated multiple entities, meaning redundancies in operation, overlapping networks and inefficiencies in some management and logistics. As peers operate more integrated, to remain competitive in the industry, FedEx rannounced, in 2023, the One FedEx consolidation plan, integrating all operating companies into a single organization. This will have a positive impact in financial gains, costumer experience and workforce structure.</t>
  </si>
  <si>
    <t>in millions of USD</t>
  </si>
  <si>
    <t>Current</t>
  </si>
  <si>
    <t>% of</t>
  </si>
  <si>
    <t>Enterprise Value /</t>
  </si>
  <si>
    <t>LTM</t>
  </si>
  <si>
    <t>Net</t>
  </si>
  <si>
    <t>Price /</t>
  </si>
  <si>
    <t>LT</t>
  </si>
  <si>
    <t>Share</t>
  </si>
  <si>
    <t>52-week</t>
  </si>
  <si>
    <t>Equity</t>
  </si>
  <si>
    <t>Enterprise</t>
  </si>
  <si>
    <t>2025E</t>
  </si>
  <si>
    <t>2026E</t>
  </si>
  <si>
    <t>EBITDA</t>
  </si>
  <si>
    <t>Debt /</t>
  </si>
  <si>
    <t>EPS</t>
  </si>
  <si>
    <t>Company</t>
  </si>
  <si>
    <t>Price</t>
  </si>
  <si>
    <t>High</t>
  </si>
  <si>
    <t>Value</t>
  </si>
  <si>
    <t>Sales</t>
  </si>
  <si>
    <t>EBIT</t>
  </si>
  <si>
    <t>Margin</t>
  </si>
  <si>
    <t>Growth</t>
  </si>
  <si>
    <t>Tier I: US Distribution Sector</t>
  </si>
  <si>
    <t>UNITED PARCEL-B</t>
  </si>
  <si>
    <t>UPS US</t>
  </si>
  <si>
    <t>USD 82,58</t>
  </si>
  <si>
    <t>DHL GROUP</t>
  </si>
  <si>
    <t>DHL GR</t>
  </si>
  <si>
    <t>EUR 37,85</t>
  </si>
  <si>
    <t>OLD DOMINION FRT</t>
  </si>
  <si>
    <t>ODFL UW</t>
  </si>
  <si>
    <t>USD 140,6</t>
  </si>
  <si>
    <t>XPO INC</t>
  </si>
  <si>
    <t>XPO US</t>
  </si>
  <si>
    <t>USD 126,84</t>
  </si>
  <si>
    <t>HUNT (JB) TRANS</t>
  </si>
  <si>
    <t>JBHT US</t>
  </si>
  <si>
    <t>USD 134,2</t>
  </si>
  <si>
    <t>Mean</t>
  </si>
  <si>
    <t>Median</t>
  </si>
  <si>
    <t>Tier II: E-commerce</t>
  </si>
  <si>
    <t>AMAZON.COM INC</t>
  </si>
  <si>
    <t>AMZN US</t>
  </si>
  <si>
    <t>USD 218,15</t>
  </si>
  <si>
    <t>FSN E-COMMERCE V</t>
  </si>
  <si>
    <t>NYKAA IN</t>
  </si>
  <si>
    <t>INR 239,81</t>
  </si>
  <si>
    <t>#N/A N/A</t>
  </si>
  <si>
    <t>SHOPIFY INC - A</t>
  </si>
  <si>
    <t>SHOP US</t>
  </si>
  <si>
    <t>USD 151,3</t>
  </si>
  <si>
    <t>ALIBABA GRP-ADR</t>
  </si>
  <si>
    <t>BABA US</t>
  </si>
  <si>
    <t>USD 189,34</t>
  </si>
  <si>
    <t>JD.COM INC-ADR</t>
  </si>
  <si>
    <t>JD US</t>
  </si>
  <si>
    <t>USD 35,98</t>
  </si>
  <si>
    <t>Tier III: Logistics International Sector</t>
  </si>
  <si>
    <t>AP MOLLER-B</t>
  </si>
  <si>
    <t>MAERSKB DC</t>
  </si>
  <si>
    <t>DKK 12610</t>
  </si>
  <si>
    <t>KUEHNE &amp; NAGEL-R</t>
  </si>
  <si>
    <t>KNIN SW</t>
  </si>
  <si>
    <t>CHF 152,6</t>
  </si>
  <si>
    <t>DB SCHENKER</t>
  </si>
  <si>
    <t>3001735Z GR</t>
  </si>
  <si>
    <t>EUR #N/A N/A</t>
  </si>
  <si>
    <t>#N/A Field Not Applicable</t>
  </si>
  <si>
    <t>NIPPON EXPRESS H</t>
  </si>
  <si>
    <t>9147 JT</t>
  </si>
  <si>
    <t>JPY 3290</t>
  </si>
  <si>
    <t>EXPEDITORS INTL</t>
  </si>
  <si>
    <t>EXPD US</t>
  </si>
  <si>
    <t>USD 123,06</t>
  </si>
  <si>
    <t>Overall</t>
  </si>
  <si>
    <t>Low</t>
  </si>
  <si>
    <t>Peers</t>
  </si>
  <si>
    <t>FEDEX CORP</t>
  </si>
  <si>
    <t>Revenue (LTM)</t>
  </si>
  <si>
    <t>Revenue (3-yr CAGR)</t>
  </si>
  <si>
    <t>#N/A</t>
  </si>
  <si>
    <t>Gross profit (LTM)</t>
  </si>
  <si>
    <t>EBIT (LTM)</t>
  </si>
  <si>
    <t>EBITDA (LTM)</t>
  </si>
  <si>
    <t>FCF (LTM)</t>
  </si>
  <si>
    <t>Margins</t>
  </si>
  <si>
    <t>Gross margin</t>
  </si>
  <si>
    <t>EBIT margin</t>
  </si>
  <si>
    <t>EBITDA margin</t>
  </si>
  <si>
    <t>Net margin</t>
  </si>
  <si>
    <t>SG&amp;A margin</t>
  </si>
  <si>
    <t>R&amp;D margin</t>
  </si>
  <si>
    <t>Returns</t>
  </si>
  <si>
    <t>ROIC</t>
  </si>
  <si>
    <t>CROIC</t>
  </si>
  <si>
    <t>ROCE</t>
  </si>
  <si>
    <t>RONA</t>
  </si>
  <si>
    <t>ROE</t>
  </si>
  <si>
    <t>ROA</t>
  </si>
  <si>
    <t>Efficiency</t>
  </si>
  <si>
    <t>Asset turnover</t>
  </si>
  <si>
    <t>Net operating asset turnover</t>
  </si>
  <si>
    <t>Fixed asset turnover</t>
  </si>
  <si>
    <r>
      <t xml:space="preserve">Revenue per employee </t>
    </r>
    <r>
      <rPr>
        <i/>
        <sz val="7"/>
        <color theme="1"/>
        <rFont val="Arial Nova"/>
        <family val="2"/>
      </rPr>
      <t>thsnd of USD</t>
    </r>
  </si>
  <si>
    <r>
      <t xml:space="preserve">EBIT per employee </t>
    </r>
    <r>
      <rPr>
        <i/>
        <sz val="7"/>
        <color theme="1"/>
        <rFont val="Arial Nova"/>
        <family val="2"/>
      </rPr>
      <t>thsnd of USD</t>
    </r>
  </si>
  <si>
    <t>Working Capital</t>
  </si>
  <si>
    <t>DSO</t>
  </si>
  <si>
    <t>DIO</t>
  </si>
  <si>
    <t>DPO</t>
  </si>
  <si>
    <t>CCC</t>
  </si>
  <si>
    <t>Working capital intensity</t>
  </si>
  <si>
    <t>Cash conversion ratio</t>
  </si>
  <si>
    <t>CFO margin</t>
  </si>
  <si>
    <t>Leverage &amp; Coverage</t>
  </si>
  <si>
    <t>Net debt / EBITDA</t>
  </si>
  <si>
    <t>Net debt / FCF</t>
  </si>
  <si>
    <t>Interest coverage</t>
  </si>
  <si>
    <t>Debt / capital</t>
  </si>
  <si>
    <t>Short term debt / total debt</t>
  </si>
  <si>
    <t>Liquidity</t>
  </si>
  <si>
    <t>Current ratio</t>
  </si>
  <si>
    <t>Quick ratio</t>
  </si>
  <si>
    <t>Cash ratio</t>
  </si>
  <si>
    <t>Cash Deployment</t>
  </si>
  <si>
    <t>Capex intensity</t>
  </si>
  <si>
    <t>Capex / depreciation</t>
  </si>
  <si>
    <t>R&amp;D capitalization rate</t>
  </si>
  <si>
    <t>R&amp;D capitalization test</t>
  </si>
  <si>
    <t>Dividend payout</t>
  </si>
  <si>
    <t>FCF payout</t>
  </si>
  <si>
    <t>Buybacks as % CFO</t>
  </si>
  <si>
    <t>Earnings Quality</t>
  </si>
  <si>
    <t>Cash/earnings conversion</t>
  </si>
  <si>
    <t>FCF / net income</t>
  </si>
  <si>
    <t>Per Share &amp; Dilution</t>
  </si>
  <si>
    <t>Diluted share count YoY</t>
  </si>
  <si>
    <t>SBC / revenue</t>
  </si>
  <si>
    <t>SBC / CFO</t>
  </si>
  <si>
    <r>
      <t xml:space="preserve">EPS </t>
    </r>
    <r>
      <rPr>
        <i/>
        <sz val="7"/>
        <color theme="1"/>
        <rFont val="Arial Nova"/>
        <family val="2"/>
      </rPr>
      <t>in USD</t>
    </r>
  </si>
  <si>
    <t>Rolling WACC</t>
  </si>
  <si>
    <t>Equity Risk Premium</t>
  </si>
  <si>
    <t>Weights</t>
  </si>
  <si>
    <t>ERP</t>
  </si>
  <si>
    <t>Equity:</t>
  </si>
  <si>
    <r>
      <t>Market Cap</t>
    </r>
    <r>
      <rPr>
        <sz val="9"/>
        <color rgb="FF000000"/>
        <rFont val="Arial Nova"/>
        <family val="2"/>
      </rPr>
      <t xml:space="preserve"> </t>
    </r>
    <r>
      <rPr>
        <i/>
        <sz val="9"/>
        <color rgb="FF000000"/>
        <rFont val="Arial Nova"/>
        <family val="2"/>
      </rPr>
      <t>(in billions)</t>
    </r>
  </si>
  <si>
    <t>% of Equity</t>
  </si>
  <si>
    <t>Risk-Free Rate</t>
  </si>
  <si>
    <t>Unlevered Beta</t>
  </si>
  <si>
    <t>Ke (Cost of Equity)</t>
  </si>
  <si>
    <t>Preferred Equity:</t>
  </si>
  <si>
    <t>ROIC vs WACC</t>
  </si>
  <si>
    <t>Market Capitalization</t>
  </si>
  <si>
    <t>% of Preferred Equity</t>
  </si>
  <si>
    <t>Preferred Dividends</t>
  </si>
  <si>
    <t>Kp (Cost of Preferred Equity)</t>
  </si>
  <si>
    <t>Debt:</t>
  </si>
  <si>
    <r>
      <t>Debt</t>
    </r>
    <r>
      <rPr>
        <i/>
        <sz val="9"/>
        <color rgb="FF000000"/>
        <rFont val="Arial Nova"/>
        <family val="2"/>
      </rPr>
      <t xml:space="preserve"> (in millions)</t>
    </r>
  </si>
  <si>
    <t>% of Debt</t>
  </si>
  <si>
    <t>Debt Spread</t>
  </si>
  <si>
    <t>Cost of Debt</t>
  </si>
  <si>
    <t>Tax Rate</t>
  </si>
  <si>
    <t>Kd (After-Tax Cost of Debt)</t>
  </si>
  <si>
    <t>Total</t>
  </si>
  <si>
    <t>Country/Conglomerate/... Risk Premium</t>
  </si>
  <si>
    <t>WACC</t>
  </si>
  <si>
    <t>NOPAT</t>
  </si>
  <si>
    <t>Total Payout</t>
  </si>
  <si>
    <t>Book Value of Equity</t>
  </si>
  <si>
    <t>Invested Capital</t>
  </si>
  <si>
    <t xml:space="preserve">, </t>
  </si>
  <si>
    <t>DATA</t>
  </si>
  <si>
    <t>Prediction</t>
  </si>
  <si>
    <t>% of LT borrowings</t>
  </si>
  <si>
    <t>5 year average:</t>
  </si>
  <si>
    <t>Total is equal to</t>
  </si>
  <si>
    <t>Market Assumptions</t>
  </si>
  <si>
    <t>Industry</t>
  </si>
  <si>
    <t>data</t>
  </si>
  <si>
    <t>assumptions</t>
  </si>
  <si>
    <t>control</t>
  </si>
  <si>
    <t>Total Segments</t>
  </si>
  <si>
    <t>US</t>
  </si>
  <si>
    <t>FedEx Express Segment</t>
  </si>
  <si>
    <t>Market Share</t>
  </si>
  <si>
    <t>FedEx Ground Segment</t>
  </si>
  <si>
    <t>FedEx Freight Segment</t>
  </si>
  <si>
    <t>FedEx Services Segment</t>
  </si>
  <si>
    <t>Growth rate based on inflation</t>
  </si>
  <si>
    <t>Inflation assumption:</t>
  </si>
  <si>
    <t>% of revenue shown here | used for average</t>
  </si>
  <si>
    <t>Base assumption/trend</t>
  </si>
  <si>
    <t>Operating Assumptions</t>
  </si>
  <si>
    <t>Income Statement</t>
  </si>
  <si>
    <t>Revenue</t>
  </si>
  <si>
    <t>% of growth</t>
  </si>
  <si>
    <t>Cost of Goods &amp; Services</t>
  </si>
  <si>
    <t>% of sales</t>
  </si>
  <si>
    <t>COGS Depreciation &amp; Amortization</t>
  </si>
  <si>
    <t>% of cost of goods &amp; services</t>
  </si>
  <si>
    <t>Gross Profit</t>
  </si>
  <si>
    <t>SG&amp;A (Selling, General &amp; Administrative)</t>
  </si>
  <si>
    <t>R&amp;D (Research &amp; Development)</t>
  </si>
  <si>
    <t>% of gross profit</t>
  </si>
  <si>
    <t>D&amp;A (Depreciation &amp; Amortization)</t>
  </si>
  <si>
    <t>% of net pp&amp;e and intangibles excl. Goodwill</t>
  </si>
  <si>
    <t>Depreciation</t>
  </si>
  <si>
    <t>% of net pp&amp;e</t>
  </si>
  <si>
    <t>Amortization</t>
  </si>
  <si>
    <t>% of intangibles excl. goodwill</t>
  </si>
  <si>
    <t>Other Operating (Income) Expenses</t>
  </si>
  <si>
    <t>EBIT (Operating Income)</t>
  </si>
  <si>
    <t>Basic Weighted Average Shares</t>
  </si>
  <si>
    <t>Diluted Weighted Average Shares</t>
  </si>
  <si>
    <t>Balance Sheet</t>
  </si>
  <si>
    <t>Q1 22</t>
  </si>
  <si>
    <t>Q2 22</t>
  </si>
  <si>
    <t>Q3 22</t>
  </si>
  <si>
    <t>Q4 22</t>
  </si>
  <si>
    <t>FY 22</t>
  </si>
  <si>
    <t>Q1 23</t>
  </si>
  <si>
    <t xml:space="preserve">Q2 23 </t>
  </si>
  <si>
    <t>Q3 23</t>
  </si>
  <si>
    <t>Q4 23</t>
  </si>
  <si>
    <t>FY 23</t>
  </si>
  <si>
    <t>Q1 24</t>
  </si>
  <si>
    <t xml:space="preserve">Q2 24 </t>
  </si>
  <si>
    <t>Q3 24</t>
  </si>
  <si>
    <t>Q4 24</t>
  </si>
  <si>
    <t>FY 24</t>
  </si>
  <si>
    <t>Q1 25</t>
  </si>
  <si>
    <t>Q2 25</t>
  </si>
  <si>
    <t>Q3 25</t>
  </si>
  <si>
    <t>Q4 25</t>
  </si>
  <si>
    <t>FY 25</t>
  </si>
  <si>
    <t>Q1 26</t>
  </si>
  <si>
    <t>Q2 26</t>
  </si>
  <si>
    <t>Q3 26</t>
  </si>
  <si>
    <t>Q4 26</t>
  </si>
  <si>
    <t>FY 26</t>
  </si>
  <si>
    <t>FY 27</t>
  </si>
  <si>
    <t>FY 28</t>
  </si>
  <si>
    <t>FY 29</t>
  </si>
  <si>
    <t>Accounts Receivable</t>
  </si>
  <si>
    <t>days sales outstanding</t>
  </si>
  <si>
    <t>Inventory</t>
  </si>
  <si>
    <t>days inventory held</t>
  </si>
  <si>
    <t>Prepaid expenses and Other Current Assets</t>
  </si>
  <si>
    <t>Net PP&amp;E (Property, Plant and Equipment)</t>
  </si>
  <si>
    <t>capex allocation rate</t>
  </si>
  <si>
    <t>Intangibles</t>
  </si>
  <si>
    <t>r&amp;d capitalization rate</t>
  </si>
  <si>
    <t>Accounts Payable</t>
  </si>
  <si>
    <t>days payable outstanding</t>
  </si>
  <si>
    <t>Accrued Expenses and Other Current Liabilities</t>
  </si>
  <si>
    <t>% of sg&amp;a</t>
  </si>
  <si>
    <t>Cash Flow Statement</t>
  </si>
  <si>
    <t>Stock-Based Compensation Expense</t>
  </si>
  <si>
    <t>Based of Revenue</t>
  </si>
  <si>
    <t>implied equity value (p/s multiple)</t>
  </si>
  <si>
    <t>implied share price (for dilution)</t>
  </si>
  <si>
    <t>sbc dilution (shares issued)</t>
  </si>
  <si>
    <t>Changes in Net Working Capital</t>
  </si>
  <si>
    <t>% of change in sales</t>
  </si>
  <si>
    <t>Capital Expenditures</t>
  </si>
  <si>
    <t>Proceeds from Asset Disposals</t>
  </si>
  <si>
    <t>% of capex</t>
  </si>
  <si>
    <t>Dividends</t>
  </si>
  <si>
    <t>---</t>
  </si>
  <si>
    <t>expected to always grow in value, in a moderate way</t>
  </si>
  <si>
    <t>% of NOPAT</t>
  </si>
  <si>
    <t>Projection:</t>
  </si>
  <si>
    <t>Repurchase of Stock</t>
  </si>
  <si>
    <t>until 2026</t>
  </si>
  <si>
    <t>1.6Bi</t>
  </si>
  <si>
    <t>already done</t>
  </si>
  <si>
    <t>repurchase/revenue</t>
  </si>
  <si>
    <t>Free Cash Flow to Firm</t>
  </si>
  <si>
    <t>/5</t>
  </si>
  <si>
    <t>&lt;= divided by 5 quarters</t>
  </si>
  <si>
    <t>average per quarter:</t>
  </si>
  <si>
    <t>total:</t>
  </si>
  <si>
    <t>x2</t>
  </si>
  <si>
    <t>NOPAT (Net Operating Profit After Taxes)</t>
  </si>
  <si>
    <t>Stock-Based Compensation</t>
  </si>
  <si>
    <t>Net CapEx</t>
  </si>
  <si>
    <t>FCFF (Free Cash Flow to Firm)</t>
  </si>
  <si>
    <t>Valuation Summary</t>
  </si>
  <si>
    <t>Discounted Cash Flows (DCF)</t>
  </si>
  <si>
    <t>Discount Period</t>
  </si>
  <si>
    <t>Mid-Quarter/Year Convention Discount Period</t>
  </si>
  <si>
    <t>Rolling WACC (Weighted Average Cost of Capital)</t>
  </si>
  <si>
    <t>Cumulative Discount Factor</t>
  </si>
  <si>
    <t>Present Value of FCFF</t>
  </si>
  <si>
    <t>Terminal Value</t>
  </si>
  <si>
    <t>Preferred Method:</t>
  </si>
  <si>
    <t>EBITDA Exit</t>
  </si>
  <si>
    <t>EBITDA Exit Multiple</t>
  </si>
  <si>
    <t>Revenue Exit Multiple</t>
  </si>
  <si>
    <t>Gordon's Growth Model</t>
  </si>
  <si>
    <t>Used for EBITDA Exit Multiple</t>
  </si>
  <si>
    <t>Current EV/EBITDA</t>
  </si>
  <si>
    <t>Current EV/Sales</t>
  </si>
  <si>
    <t>Current Growth Rate</t>
  </si>
  <si>
    <t>Exit EV/EBITDA</t>
  </si>
  <si>
    <t>Exit EV/Sales</t>
  </si>
  <si>
    <t>Terminal Growth Rate</t>
  </si>
  <si>
    <t>DB Schenker purchase</t>
  </si>
  <si>
    <t>bought for (Millions):</t>
  </si>
  <si>
    <t>PV of Terminal Value</t>
  </si>
  <si>
    <t>Total sales in the last year:</t>
  </si>
  <si>
    <t>Implied Enterprise Value</t>
  </si>
  <si>
    <t>EBITDA in the last year:</t>
  </si>
  <si>
    <t>?</t>
  </si>
  <si>
    <t>(-) Net Debt</t>
  </si>
  <si>
    <t>~EV/Revenue</t>
  </si>
  <si>
    <t>not used</t>
  </si>
  <si>
    <t>(-) Preferred Stock Market Cap</t>
  </si>
  <si>
    <t>~EV/EBIT</t>
  </si>
  <si>
    <t>Sum</t>
  </si>
  <si>
    <t>(-) Non-controlling Interest</t>
  </si>
  <si>
    <t>Implied Equity Value</t>
  </si>
  <si>
    <t>Shares Outstanding</t>
  </si>
  <si>
    <t>Implied Stock Price</t>
  </si>
  <si>
    <t>https://pages.stern.nyu.edu/~adamodar/New_Home_Page/datafile/vebitda.html</t>
  </si>
  <si>
    <t>Current Stock Price</t>
  </si>
  <si>
    <t>https://fusoesaquisicoes.com/acontece-no-setor/avaliacao-e-multiplos-ebitda-para-empresas-de-tecnologia-2024/</t>
  </si>
  <si>
    <t>Upside (Downside)</t>
  </si>
  <si>
    <t>Not a good source, but wasn't relevant enough for the table</t>
  </si>
  <si>
    <t>Monte-Carlo Simulations</t>
  </si>
  <si>
    <t>Tornado Chart – Effect on Price Target</t>
  </si>
  <si>
    <t>Reference Price Target</t>
  </si>
  <si>
    <t>Base Price Target</t>
  </si>
  <si>
    <t>Reference</t>
  </si>
  <si>
    <t>Gordon PT</t>
  </si>
  <si>
    <t>Base Gordon PT</t>
  </si>
  <si>
    <t>Gordon</t>
  </si>
  <si>
    <t>EBITDA PT</t>
  </si>
  <si>
    <t>Base EBITDA PT</t>
  </si>
  <si>
    <t>Revenue PT</t>
  </si>
  <si>
    <t>Base Revenue PT</t>
  </si>
  <si>
    <t>Δ</t>
  </si>
  <si>
    <t>Δ Applied</t>
  </si>
  <si>
    <t>PT Low</t>
  </si>
  <si>
    <t>PT High</t>
  </si>
  <si>
    <t>Δ Low</t>
  </si>
  <si>
    <t>Δ High</t>
  </si>
  <si>
    <t>Max</t>
  </si>
  <si>
    <t>Capex Intensity</t>
  </si>
  <si>
    <t>COGS Margin</t>
  </si>
  <si>
    <t>SG&amp;A Margin</t>
  </si>
  <si>
    <t>Terminal g</t>
  </si>
  <si>
    <t>Revenue Exit</t>
  </si>
  <si>
    <t>Revenue:</t>
  </si>
  <si>
    <t>Segment 1</t>
  </si>
  <si>
    <t>Segment 2</t>
  </si>
  <si>
    <t>Segment 3</t>
  </si>
  <si>
    <t>Segment 4</t>
  </si>
  <si>
    <t>Segment 5</t>
  </si>
  <si>
    <t>Cost of revenue:</t>
  </si>
  <si>
    <t>Cost of goods and services</t>
  </si>
  <si>
    <t>Depreciation &amp; amortization</t>
  </si>
  <si>
    <t>Total cost of revenue</t>
  </si>
  <si>
    <t>Operating expenses:</t>
  </si>
  <si>
    <t>Selling, general and administrative</t>
  </si>
  <si>
    <t>Depreciation and amortization</t>
  </si>
  <si>
    <t>Research and development</t>
  </si>
  <si>
    <t>Other operating expenses</t>
  </si>
  <si>
    <t>Total operating expenses</t>
  </si>
  <si>
    <t>Other operating income</t>
  </si>
  <si>
    <t>Operating income</t>
  </si>
  <si>
    <t>Non-operating (income) loss:</t>
  </si>
  <si>
    <t>Interest expense</t>
  </si>
  <si>
    <t>Interest income</t>
  </si>
  <si>
    <t>Net interest (income) expense</t>
  </si>
  <si>
    <t>Foreign exchange (gains) losses</t>
  </si>
  <si>
    <t>Other non-operating (income) expenses</t>
  </si>
  <si>
    <t>Total non-operating expenses</t>
  </si>
  <si>
    <t>Pre-tax income</t>
  </si>
  <si>
    <t>Tax &amp; net income:</t>
  </si>
  <si>
    <t>Income tax expenses (benefits)</t>
  </si>
  <si>
    <t>Net extraordinary losses (gains)</t>
  </si>
  <si>
    <t>Net income including minority interest</t>
  </si>
  <si>
    <t>Attribution:</t>
  </si>
  <si>
    <t>Preferred dividends</t>
  </si>
  <si>
    <t>Income attributable to non-controlling interests</t>
  </si>
  <si>
    <t>Net income attributable to common shareholders</t>
  </si>
  <si>
    <t>Earnings per share:</t>
  </si>
  <si>
    <t>EPS basic</t>
  </si>
  <si>
    <t>EPS diluted</t>
  </si>
  <si>
    <t>Shares used in computing earnings per share:</t>
  </si>
  <si>
    <t>Basic weighted average shares</t>
  </si>
  <si>
    <t>Diluted weighted average shares</t>
  </si>
  <si>
    <t>Additional Items</t>
  </si>
  <si>
    <t>Depreciation (from opex)</t>
  </si>
  <si>
    <t>Amortization (form opex)</t>
  </si>
  <si>
    <t>Assets</t>
  </si>
  <si>
    <t>Current assets:</t>
  </si>
  <si>
    <t>Cash &amp; cash equivalents &amp; short-term investments</t>
  </si>
  <si>
    <t>Cash &amp; cash equivalents</t>
  </si>
  <si>
    <t>Short-term investments</t>
  </si>
  <si>
    <t>Accounts receivable</t>
  </si>
  <si>
    <t>Prepaid expenses and other current assets</t>
  </si>
  <si>
    <t>Total current assets</t>
  </si>
  <si>
    <t>Non-current assets:</t>
  </si>
  <si>
    <t>Gross PP&amp;E (Property, Plant and Equipment)</t>
  </si>
  <si>
    <t>Accumulated Depreciation</t>
  </si>
  <si>
    <t>Goodwill</t>
  </si>
  <si>
    <t>Intangibles excl. Goodwill</t>
  </si>
  <si>
    <t>Other Non-Current Assets</t>
  </si>
  <si>
    <t>Total Non-Current Assets</t>
  </si>
  <si>
    <t>Total Assets</t>
  </si>
  <si>
    <t>Liabilities &amp; shareholders' equity</t>
  </si>
  <si>
    <t>Current Liabilities:</t>
  </si>
  <si>
    <t>Accounts payable</t>
  </si>
  <si>
    <t>Short-term borrowings</t>
  </si>
  <si>
    <t>Current portion of lease liabilities</t>
  </si>
  <si>
    <t>Accrued expenses and other current liabilities</t>
  </si>
  <si>
    <t>Total current liabilities</t>
  </si>
  <si>
    <t>Non-current liabilities:</t>
  </si>
  <si>
    <t>Long-term borrowings</t>
  </si>
  <si>
    <t>Long-term operating lease liabilities</t>
  </si>
  <si>
    <t>Other non-current liabilities</t>
  </si>
  <si>
    <t>Total non-current liabilities</t>
  </si>
  <si>
    <t>Total liabilities</t>
  </si>
  <si>
    <t>Shareholders' equity:</t>
  </si>
  <si>
    <t>Common equity</t>
  </si>
  <si>
    <t>Preferred equity</t>
  </si>
  <si>
    <t>Non-controlling interest</t>
  </si>
  <si>
    <t>Total equity</t>
  </si>
  <si>
    <t>Total liabilities and shareholders' equity</t>
  </si>
  <si>
    <t>Capitalized R&amp;D</t>
  </si>
  <si>
    <t>Cash and cash equivalents, beginning balances</t>
  </si>
  <si>
    <t>Operating activities:</t>
  </si>
  <si>
    <t>Net income</t>
  </si>
  <si>
    <t>Adjustments to reconcile to cash from operations:</t>
  </si>
  <si>
    <t>Stock-based compensation expense</t>
  </si>
  <si>
    <t>Changes in working capital:</t>
  </si>
  <si>
    <t>Inventories</t>
  </si>
  <si>
    <t>Cash provided by operating activities</t>
  </si>
  <si>
    <t>Investing activities:</t>
  </si>
  <si>
    <t>Purchase of fixed assets and intangibles</t>
  </si>
  <si>
    <t>Disposal of fixed assets and intangibles</t>
  </si>
  <si>
    <t>Acquisitions</t>
  </si>
  <si>
    <t>Divestitures</t>
  </si>
  <si>
    <t>Joint Ventures</t>
  </si>
  <si>
    <t>Increase in long-term investments</t>
  </si>
  <si>
    <t>Decrease in long-term investments</t>
  </si>
  <si>
    <t>Other investing inflows/(outflows)</t>
  </si>
  <si>
    <t>Cash provided by/(used in) investing activities</t>
  </si>
  <si>
    <t>Financing activities:</t>
  </si>
  <si>
    <t>Payment of dividends</t>
  </si>
  <si>
    <t>Issuance (repurchase) of common shares</t>
  </si>
  <si>
    <t>Cash from (repayment) of short-term debt</t>
  </si>
  <si>
    <t>Proceeds from issuance of long-term debt</t>
  </si>
  <si>
    <t>Repayments of long-term debt</t>
  </si>
  <si>
    <t>Other financing inflows/(outflows)</t>
  </si>
  <si>
    <t>Cash provided by/(used in) financing activities</t>
  </si>
  <si>
    <t>Effects of foreign exchange</t>
  </si>
  <si>
    <t>Increase/(Decrease) in cash and cash equivalents</t>
  </si>
  <si>
    <t>Cash and cash equivalents, ending balances</t>
  </si>
  <si>
    <t>Income Statement – Sum of the Quarters = FY</t>
  </si>
  <si>
    <t xml:space="preserve"> </t>
  </si>
  <si>
    <t>Income Statement - Metrics</t>
  </si>
  <si>
    <t>Balance Sheet - Metrics</t>
  </si>
  <si>
    <t>Cash Flow – Sum of the Quarters = FY</t>
  </si>
  <si>
    <t>Share-based compensation expense</t>
  </si>
  <si>
    <t>Cash Flow Statement – Metrics</t>
  </si>
  <si>
    <t>Stock Data</t>
  </si>
  <si>
    <t>Bridge</t>
  </si>
  <si>
    <t>Valuation</t>
  </si>
  <si>
    <t>Indexes</t>
  </si>
  <si>
    <t>CURRENCY</t>
  </si>
  <si>
    <t>USD</t>
  </si>
  <si>
    <t>(+) Ordinary Stock Market Capitalization</t>
  </si>
  <si>
    <t>EV / Sales</t>
  </si>
  <si>
    <t>NASDAQ 100 STOCK INDX</t>
  </si>
  <si>
    <t>NDX Index</t>
  </si>
  <si>
    <t>FORMAT</t>
  </si>
  <si>
    <t>MLN</t>
  </si>
  <si>
    <t>(+) Preferred Stock Market Capitalization</t>
  </si>
  <si>
    <t>EV / EBITDA</t>
  </si>
  <si>
    <t>S&amp;P 500 AIR FRT &amp; LOG IX</t>
  </si>
  <si>
    <t>S5AIRFX Index</t>
  </si>
  <si>
    <t>TICKER</t>
  </si>
  <si>
    <t>FDX US Equity</t>
  </si>
  <si>
    <t>(+) Non-controlling Interest</t>
  </si>
  <si>
    <t>P / E</t>
  </si>
  <si>
    <t>PREFERRED TICKER</t>
  </si>
  <si>
    <t>(+) Total Debt</t>
  </si>
  <si>
    <t>P / Sales</t>
  </si>
  <si>
    <t>Peers Formatting</t>
  </si>
  <si>
    <t>Year-end</t>
  </si>
  <si>
    <t>(-) Cash &amp; Cash Equivalents &amp; Short-term Investments</t>
  </si>
  <si>
    <t>Quarter-end</t>
  </si>
  <si>
    <t>Enterprise Value</t>
  </si>
  <si>
    <t>Tier I Peers</t>
  </si>
  <si>
    <t>Tier II Peers</t>
  </si>
  <si>
    <t>Tier III Peers</t>
  </si>
  <si>
    <t>UPS US Equity</t>
  </si>
  <si>
    <t>AMZN US Equity</t>
  </si>
  <si>
    <t>MAERSKB DC Equity</t>
  </si>
  <si>
    <t>DHL GR Equity</t>
  </si>
  <si>
    <t>NYKAA IN Equity</t>
  </si>
  <si>
    <t>KNIN SW Equity</t>
  </si>
  <si>
    <t>ODFL UW Equity</t>
  </si>
  <si>
    <t>SHOP US Equity</t>
  </si>
  <si>
    <t>3001735Z GR Equity</t>
  </si>
  <si>
    <t>XPO US Equity</t>
  </si>
  <si>
    <t>BABA US Equity</t>
  </si>
  <si>
    <t>9147 JT Equity</t>
  </si>
  <si>
    <t>JBHT US Equity</t>
  </si>
  <si>
    <t>JD US Equity</t>
  </si>
  <si>
    <t>EXPD US Equity</t>
  </si>
  <si>
    <t>Stock Returns vs Peers</t>
  </si>
  <si>
    <t>Out. Shares</t>
  </si>
  <si>
    <t>Market Cap</t>
  </si>
  <si>
    <t>Price / Sales</t>
  </si>
  <si>
    <t>Operating Income</t>
  </si>
  <si>
    <t>Capex</t>
  </si>
  <si>
    <t>Debt to Equity</t>
  </si>
  <si>
    <t>Operating Margin</t>
  </si>
  <si>
    <t>ROIC-to-WACC</t>
  </si>
  <si>
    <t>Capex-to-Sales</t>
  </si>
  <si>
    <t>Environmental Data</t>
  </si>
  <si>
    <t>GHG_SCOPE_1</t>
  </si>
  <si>
    <t>ENERGY_CONSUMPTION</t>
  </si>
  <si>
    <t>WATER_CONSMPTN</t>
  </si>
  <si>
    <t>Total Waste</t>
  </si>
  <si>
    <t>TOTAL_WASTE</t>
  </si>
  <si>
    <t>.</t>
  </si>
  <si>
    <t>SALES_REV_TURN</t>
  </si>
  <si>
    <t>vs Index</t>
  </si>
  <si>
    <t>Stock Price</t>
  </si>
  <si>
    <t>Stock Returns</t>
  </si>
  <si>
    <t>Volume</t>
  </si>
  <si>
    <t>EQY_BETA</t>
  </si>
  <si>
    <t>RSI_PX_52WEEK</t>
  </si>
  <si>
    <t>MOV_AVG_100D</t>
  </si>
  <si>
    <t>VOLUME_AVG_30D</t>
  </si>
  <si>
    <t>EQY_SH_OUT</t>
  </si>
  <si>
    <t>EQY_FREE_FLOAT_PCT</t>
  </si>
  <si>
    <t>SI_PERCENT_EQUITY_FLOAT</t>
  </si>
  <si>
    <t>%Held by Insiders</t>
  </si>
  <si>
    <t>PCT_INSIDER_SHARES_OUT</t>
  </si>
  <si>
    <t>PCT_FLT_SHARES_INSTITUTIONS</t>
  </si>
  <si>
    <t xml:space="preserve">AMAZON.COM </t>
  </si>
  <si>
    <t xml:space="preserve">Corporate, other and elimin.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</si>
</sst>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_-* #,##0.00\ &quot;€&quot;_-;\-* #,##0.00\ &quot;€&quot;_-;_-* &quot;-&quot;??\ &quot;€&quot;_-;_-@_-"/>
    <numFmt numFmtId="165" formatCode="0&quot;A&quot;"/>
    <numFmt numFmtId="166" formatCode="0&quot;E&quot;"/>
    <numFmt numFmtId="167" formatCode="_-* #,##0.00\ _€_-;\-* #,##0.00\ _€_-;_-* &quot;-&quot;??\ _€_-;_-@_-"/>
    <numFmt numFmtId="168" formatCode="0.0%"/>
    <numFmt numFmtId="169" formatCode="0.0"/>
    <numFmt numFmtId="170" formatCode="_-[$₩-412]* #,##0_-;\-[$₩-412]* #,##0_-;_-[$₩-412]* &quot;-&quot;_-;_-@_-"/>
    <numFmt numFmtId="171" formatCode="0.0&quot;x&quot;"/>
    <numFmt numFmtId="172" formatCode="0.0\x"/>
    <numFmt numFmtId="173" formatCode="m/d/yy;@"/>
    <numFmt numFmtId="174" formatCode="#,##0.0_);\(#,##0.0\)"/>
    <numFmt numFmtId="175" formatCode="#,#00"/>
    <numFmt numFmtId="176" formatCode="#,#00.00"/>
    <numFmt numFmtId="177" formatCode="yyyy\-mm\-dd;@"/>
    <numFmt numFmtId="178" formatCode="#,##0_ ;\-#,##0\ "/>
    <numFmt numFmtId="179" formatCode="_([$$-409]* #,##0.00_);_([$$-409]* \(#,##0.00\);_([$$-409]* &quot;-&quot;??_);_(@_)"/>
    <numFmt numFmtId="180" formatCode="_([$€-2]\ * #,##0.00_);_([$€-2]\ * \(#,##0.00\);_([$€-2]\ * &quot;-&quot;??_);_(@_)"/>
    <numFmt numFmtId="181" formatCode="0.000%"/>
    <numFmt numFmtId="182" formatCode="_([$€-2]\ * #,##0.000_);_([$€-2]\ * \(#,##0.000\);_([$€-2]\ * &quot;-&quot;???_);_(@_)"/>
    <numFmt numFmtId="183" formatCode="0.00&quot;x&quot;"/>
  </numFmts>
  <fonts count="102">
    <font>
      <sz val="11"/>
      <color theme="1"/>
      <name val="Arial"/>
      <family val="2"/>
    </font>
    <font>
      <sz val="11"/>
      <color theme="1"/>
      <name val="Calibri"/>
      <family val="2"/>
      <scheme val="minor"/>
    </font>
    <font>
      <sz val="11"/>
      <color theme="1"/>
      <name val="Arial"/>
      <family val="2"/>
    </font>
    <font>
      <b/>
      <sz val="11"/>
      <color theme="1"/>
      <name val="Arial"/>
      <family val="2"/>
    </font>
    <font>
      <b/>
      <sz val="11"/>
      <color theme="0"/>
      <name val="Arial"/>
      <family val="2"/>
    </font>
    <font>
      <sz val="11"/>
      <color theme="0"/>
      <name val="Arial"/>
      <family val="2"/>
    </font>
    <font>
      <sz val="11"/>
      <color rgb="FF000000"/>
      <name val="Arial"/>
      <family val="2"/>
    </font>
    <font>
      <u/>
      <sz val="11"/>
      <color theme="10"/>
      <name val="Arial"/>
      <family val="2"/>
    </font>
    <font>
      <sz val="11"/>
      <name val="Arial"/>
      <family val="2"/>
    </font>
    <font>
      <sz val="10"/>
      <name val="Arial"/>
      <family val="2"/>
    </font>
    <font>
      <i/>
      <sz val="11"/>
      <color theme="1"/>
      <name val="Arial"/>
      <family val="2"/>
    </font>
    <font>
      <sz val="9"/>
      <color indexed="81"/>
      <name val="Tahoma"/>
      <family val="2"/>
    </font>
    <font>
      <sz val="11"/>
      <color rgb="FF00B050"/>
      <name val="Arial"/>
      <family val="2"/>
    </font>
    <font>
      <b/>
      <sz val="10"/>
      <color indexed="9"/>
      <name val="Arial"/>
      <family val="2"/>
    </font>
    <font>
      <b/>
      <sz val="11"/>
      <color indexed="9"/>
      <name val="Calibri"/>
      <family val="2"/>
    </font>
    <font>
      <sz val="12"/>
      <color theme="1"/>
      <name val="Arial Nova"/>
      <family val="2"/>
    </font>
    <font>
      <b/>
      <sz val="12"/>
      <color theme="0"/>
      <name val="Arial Nova"/>
      <family val="2"/>
    </font>
    <font>
      <sz val="12"/>
      <color theme="0"/>
      <name val="Arial Nova"/>
      <family val="2"/>
    </font>
    <font>
      <sz val="12"/>
      <name val="Arial Nova"/>
      <family val="2"/>
    </font>
    <font>
      <sz val="12"/>
      <color rgb="FF0070C0"/>
      <name val="Arial Nova"/>
      <family val="2"/>
    </font>
    <font>
      <sz val="12"/>
      <color rgb="FF000000"/>
      <name val="Arial Nova"/>
      <family val="2"/>
    </font>
    <font>
      <sz val="12"/>
      <color rgb="FF00B050"/>
      <name val="Arial Nova"/>
      <family val="2"/>
    </font>
    <font>
      <i/>
      <sz val="11"/>
      <color theme="0" tint="-0.499984740745262"/>
      <name val="Arial Nova"/>
      <family val="2"/>
    </font>
    <font>
      <i/>
      <sz val="11"/>
      <color rgb="FF0070C0"/>
      <name val="Arial Nova"/>
      <family val="2"/>
    </font>
    <font>
      <i/>
      <sz val="11"/>
      <name val="Arial Nova"/>
      <family val="2"/>
    </font>
    <font>
      <i/>
      <sz val="11"/>
      <color theme="1"/>
      <name val="Arial Nova"/>
      <family val="2"/>
    </font>
    <font>
      <sz val="11"/>
      <color rgb="FF0070C0"/>
      <name val="Arial Nova"/>
      <family val="2"/>
    </font>
    <font>
      <sz val="11"/>
      <name val="Arial Nova"/>
      <family val="2"/>
    </font>
    <font>
      <sz val="11"/>
      <color theme="1"/>
      <name val="Arial Nova"/>
      <family val="2"/>
    </font>
    <font>
      <i/>
      <sz val="12"/>
      <name val="Arial Nova"/>
      <family val="2"/>
    </font>
    <font>
      <i/>
      <sz val="12"/>
      <color rgb="FF00B050"/>
      <name val="Arial Nova"/>
      <family val="2"/>
    </font>
    <font>
      <i/>
      <sz val="11"/>
      <color theme="1" tint="0.499984740745262"/>
      <name val="Arial Nova"/>
      <family val="2"/>
    </font>
    <font>
      <i/>
      <sz val="12"/>
      <color theme="1"/>
      <name val="Arial Nova"/>
      <family val="2"/>
    </font>
    <font>
      <b/>
      <sz val="12"/>
      <color theme="1"/>
      <name val="Arial Nova"/>
      <family val="2"/>
    </font>
    <font>
      <b/>
      <sz val="11"/>
      <color theme="1"/>
      <name val="Arial Nova"/>
      <family val="2"/>
    </font>
    <font>
      <sz val="11"/>
      <color theme="0"/>
      <name val="Arial Nova"/>
      <family val="2"/>
    </font>
    <font>
      <i/>
      <sz val="12"/>
      <color theme="0" tint="-0.249977111117893"/>
      <name val="Arial Nova"/>
      <family val="2"/>
    </font>
    <font>
      <b/>
      <sz val="11"/>
      <color theme="0"/>
      <name val="Arial Nova"/>
      <family val="2"/>
    </font>
    <font>
      <sz val="11"/>
      <color rgb="FF7030A0"/>
      <name val="Arial Nova"/>
      <family val="2"/>
    </font>
    <font>
      <sz val="11"/>
      <color rgb="FF00B050"/>
      <name val="Arial Nova"/>
      <family val="2"/>
    </font>
    <font>
      <b/>
      <u/>
      <sz val="12"/>
      <color theme="0"/>
      <name val="Arial Nova"/>
      <family val="2"/>
    </font>
    <font>
      <sz val="11"/>
      <color theme="0" tint="-0.14999847407452621"/>
      <name val="Arial Nova"/>
      <family val="2"/>
    </font>
    <font>
      <i/>
      <sz val="11"/>
      <color theme="0"/>
      <name val="Arial Nova"/>
      <family val="2"/>
    </font>
    <font>
      <b/>
      <sz val="11"/>
      <name val="Arial Nova"/>
      <family val="2"/>
    </font>
    <font>
      <i/>
      <sz val="10"/>
      <color theme="0" tint="-0.499984740745262"/>
      <name val="Arial Nova"/>
      <family val="2"/>
    </font>
    <font>
      <i/>
      <sz val="12"/>
      <color theme="0"/>
      <name val="Arial Nova"/>
      <family val="2"/>
    </font>
    <font>
      <b/>
      <sz val="12"/>
      <color rgb="FF7B1314"/>
      <name val="Arial Nova"/>
      <family val="2"/>
    </font>
    <font>
      <sz val="12"/>
      <color rgb="FF7B1314"/>
      <name val="Arial Nova"/>
      <family val="2"/>
    </font>
    <font>
      <b/>
      <u/>
      <sz val="12"/>
      <color rgb="FF7B1314"/>
      <name val="Arial Nova"/>
      <family val="2"/>
    </font>
    <font>
      <sz val="11"/>
      <color rgb="FF7030A0"/>
      <name val="Arial"/>
      <family val="2"/>
    </font>
    <font>
      <i/>
      <sz val="11"/>
      <color theme="0" tint="-0.249977111117893"/>
      <name val="Arial Nova"/>
      <family val="2"/>
    </font>
    <font>
      <sz val="11"/>
      <color rgb="FF7B1314"/>
      <name val="Arial Nova"/>
      <family val="2"/>
    </font>
    <font>
      <sz val="11"/>
      <color rgb="FFFF0000"/>
      <name val="Arial Nova"/>
      <family val="2"/>
    </font>
    <font>
      <sz val="11"/>
      <color theme="4"/>
      <name val="Arial Nova"/>
      <family val="2"/>
    </font>
    <font>
      <b/>
      <i/>
      <sz val="11"/>
      <color theme="1"/>
      <name val="Arial"/>
      <family val="2"/>
    </font>
    <font>
      <b/>
      <u/>
      <sz val="11"/>
      <color theme="0"/>
      <name val="Arial"/>
      <family val="2"/>
    </font>
    <font>
      <sz val="11"/>
      <color rgb="FF000000"/>
      <name val="Arial Nova"/>
      <family val="2"/>
    </font>
    <font>
      <u/>
      <sz val="11"/>
      <color theme="10"/>
      <name val="Arial Nova"/>
      <family val="2"/>
    </font>
    <font>
      <b/>
      <sz val="14"/>
      <color rgb="FF000000"/>
      <name val="Arial Nova"/>
      <family val="2"/>
    </font>
    <font>
      <b/>
      <sz val="8"/>
      <color theme="0" tint="-0.499984740745262"/>
      <name val="Arial Nova"/>
      <family val="2"/>
    </font>
    <font>
      <sz val="11"/>
      <color theme="2" tint="-0.499984740745262"/>
      <name val="Arial Nova"/>
      <family val="2"/>
    </font>
    <font>
      <b/>
      <sz val="8"/>
      <color theme="0"/>
      <name val="Arial Nova"/>
      <family val="2"/>
    </font>
    <font>
      <b/>
      <sz val="11"/>
      <name val="Arial"/>
      <family val="2"/>
    </font>
    <font>
      <b/>
      <u/>
      <sz val="11"/>
      <name val="Arial"/>
      <family val="2"/>
    </font>
    <font>
      <sz val="11"/>
      <color theme="1"/>
      <name val="Arial Nova"/>
      <family val="2"/>
    </font>
    <font>
      <b/>
      <sz val="11"/>
      <color theme="0"/>
      <name val="Arial Nova"/>
      <family val="2"/>
    </font>
    <font>
      <sz val="11"/>
      <color theme="0"/>
      <name val="Arial Nova"/>
      <family val="2"/>
    </font>
    <font>
      <sz val="9"/>
      <color rgb="FF000000"/>
      <name val="Arial Nova"/>
      <family val="2"/>
    </font>
    <font>
      <i/>
      <sz val="9"/>
      <color rgb="FF000000"/>
      <name val="Arial Nova"/>
      <family val="2"/>
    </font>
    <font>
      <b/>
      <sz val="8"/>
      <color theme="1"/>
      <name val="Arial Nova"/>
      <family val="2"/>
    </font>
    <font>
      <sz val="8"/>
      <color theme="1"/>
      <name val="Arial Nova"/>
      <family val="2"/>
    </font>
    <font>
      <b/>
      <sz val="8"/>
      <color rgb="FF7B1314"/>
      <name val="Arial Nova"/>
      <family val="2"/>
    </font>
    <font>
      <sz val="8"/>
      <color theme="0" tint="-0.499984740745262"/>
      <name val="Arial Nova"/>
      <family val="2"/>
    </font>
    <font>
      <i/>
      <sz val="7"/>
      <color theme="1"/>
      <name val="Arial Nova"/>
      <family val="2"/>
    </font>
    <font>
      <i/>
      <sz val="11"/>
      <color rgb="FF7B1314"/>
      <name val="Arial Nova"/>
      <family val="2"/>
    </font>
    <font>
      <i/>
      <sz val="11"/>
      <color theme="4"/>
      <name val="Arial Nova"/>
      <family val="2"/>
    </font>
    <font>
      <sz val="11"/>
      <color theme="0" tint="-0.249977111117893"/>
      <name val="Arial Nova"/>
      <family val="2"/>
    </font>
    <font>
      <sz val="11"/>
      <color rgb="FF242424"/>
      <name val="Aptos Narrow"/>
      <family val="2"/>
    </font>
    <font>
      <sz val="10"/>
      <color rgb="FF000000"/>
      <name val="Tahoma"/>
      <family val="2"/>
    </font>
    <font>
      <b/>
      <sz val="10"/>
      <color rgb="FF000000"/>
      <name val="Tahoma"/>
      <family val="2"/>
    </font>
    <font>
      <sz val="10"/>
      <color rgb="FF141413"/>
      <name val="Helvetica"/>
      <family val="2"/>
    </font>
    <font>
      <b/>
      <sz val="11"/>
      <color rgb="FF000000"/>
      <name val="Arial Nova"/>
      <family val="2"/>
    </font>
    <font>
      <sz val="9"/>
      <color theme="1"/>
      <name val="Arial Nova"/>
      <family val="2"/>
    </font>
    <font>
      <b/>
      <sz val="9"/>
      <color theme="1"/>
      <name val="Arial Nova"/>
      <family val="2"/>
    </font>
    <font>
      <sz val="9"/>
      <color theme="0"/>
      <name val="Arial Nova"/>
      <family val="2"/>
    </font>
    <font>
      <sz val="12"/>
      <color theme="1"/>
      <name val="Arial Nova"/>
      <family val="2"/>
    </font>
    <font>
      <b/>
      <sz val="9"/>
      <color theme="1"/>
      <name val="Arial"/>
      <family val="2"/>
    </font>
    <font>
      <sz val="9"/>
      <color theme="1"/>
      <name val="Arial"/>
      <family val="2"/>
    </font>
    <font>
      <sz val="11"/>
      <color theme="1"/>
      <name val="Arial Nova"/>
    </font>
    <font>
      <sz val="11"/>
      <color rgb="FF0070C0"/>
      <name val="Arial Nova"/>
    </font>
    <font>
      <sz val="9"/>
      <color theme="1"/>
      <name val="Arial Nova"/>
    </font>
    <font>
      <sz val="8"/>
      <color theme="1"/>
      <name val="Arial"/>
      <family val="2"/>
    </font>
    <font>
      <b/>
      <sz val="14"/>
      <color theme="0"/>
      <name val="Arial Nova"/>
      <family val="2"/>
    </font>
    <font>
      <sz val="14"/>
      <color theme="0"/>
      <name val="Arial Nova"/>
      <family val="2"/>
    </font>
    <font>
      <sz val="14"/>
      <color rgb="FF7B1314"/>
      <name val="Arial Nova"/>
      <family val="2"/>
    </font>
    <font>
      <b/>
      <u/>
      <sz val="14"/>
      <color rgb="FF7B1314"/>
      <name val="Arial Nova"/>
      <family val="2"/>
    </font>
    <font>
      <sz val="14"/>
      <color theme="1"/>
      <name val="Arial Nova"/>
      <family val="2"/>
    </font>
    <font>
      <b/>
      <sz val="14"/>
      <color theme="1"/>
      <name val="Arial Nova"/>
      <family val="2"/>
    </font>
    <font>
      <sz val="14"/>
      <color rgb="FF7030A0"/>
      <name val="Arial Nova"/>
      <family val="2"/>
    </font>
    <font>
      <sz val="14"/>
      <name val="Arial Nova"/>
      <family val="2"/>
    </font>
    <font>
      <sz val="14"/>
      <color rgb="FF00B050"/>
      <name val="Arial Nova"/>
      <family val="2"/>
    </font>
    <font>
      <i/>
      <sz val="14"/>
      <color rgb="FF0070C0"/>
      <name val="Arial Nova"/>
      <family val="2"/>
    </font>
  </fonts>
  <fills count="23">
    <fill>
      <patternFill patternType="none"/>
    </fill>
    <fill>
      <patternFill patternType="gray125"/>
    </fill>
    <fill>
      <patternFill patternType="solid">
        <fgColor rgb="FF7B131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4F81BD"/>
        <bgColor indexed="64"/>
      </patternFill>
    </fill>
    <fill>
      <patternFill patternType="solid">
        <fgColor rgb="FF92D050"/>
        <bgColor indexed="64"/>
      </patternFill>
    </fill>
    <fill>
      <patternFill patternType="solid">
        <fgColor rgb="FFFF0000"/>
        <bgColor indexed="64"/>
      </patternFill>
    </fill>
    <fill>
      <patternFill patternType="solid">
        <fgColor theme="7" tint="0.79998168889431442"/>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rgb="FF781414"/>
        <bgColor indexed="64"/>
      </patternFill>
    </fill>
    <fill>
      <patternFill patternType="solid">
        <fgColor rgb="FFFFC000"/>
        <bgColor indexed="64"/>
      </patternFill>
    </fill>
    <fill>
      <patternFill patternType="solid">
        <fgColor theme="4" tint="-0.249977111117893"/>
        <bgColor indexed="64"/>
      </patternFill>
    </fill>
    <fill>
      <patternFill patternType="solid">
        <fgColor theme="4"/>
        <bgColor indexed="64"/>
      </patternFill>
    </fill>
    <fill>
      <patternFill patternType="solid">
        <fgColor theme="0" tint="-0.14999847407452621"/>
        <bgColor indexed="64"/>
      </patternFill>
    </fill>
    <fill>
      <patternFill patternType="solid">
        <fgColor rgb="FF00B050"/>
        <bgColor indexed="64"/>
      </patternFill>
    </fill>
    <fill>
      <patternFill patternType="solid">
        <fgColor rgb="FFF5C0C0"/>
        <bgColor indexed="64"/>
      </patternFill>
    </fill>
    <fill>
      <patternFill patternType="solid">
        <fgColor theme="8"/>
        <bgColor indexed="64"/>
      </patternFill>
    </fill>
    <fill>
      <patternFill patternType="solid">
        <fgColor theme="3" tint="0.39997558519241921"/>
        <bgColor indexed="64"/>
      </patternFill>
    </fill>
    <fill>
      <patternFill patternType="solid">
        <fgColor rgb="FFFFF2CC"/>
        <bgColor indexed="64"/>
      </patternFill>
    </fill>
    <fill>
      <patternFill patternType="solid">
        <fgColor theme="1"/>
        <bgColor indexed="64"/>
      </patternFill>
    </fill>
  </fills>
  <borders count="61">
    <border>
      <left/>
      <right/>
      <top/>
      <bottom/>
      <diagonal/>
    </border>
    <border>
      <left/>
      <right/>
      <top/>
      <bottom style="thin">
        <color indexed="64"/>
      </bottom>
      <diagonal/>
    </border>
    <border>
      <left/>
      <right/>
      <top style="medium">
        <color auto="1"/>
      </top>
      <bottom/>
      <diagonal/>
    </border>
    <border>
      <left/>
      <right style="thin">
        <color indexed="64"/>
      </right>
      <top/>
      <bottom/>
      <diagonal/>
    </border>
    <border>
      <left style="hair">
        <color indexed="64"/>
      </left>
      <right style="hair">
        <color indexed="64"/>
      </right>
      <top style="hair">
        <color indexed="64"/>
      </top>
      <bottom style="hair">
        <color indexed="64"/>
      </bottom>
      <diagonal/>
    </border>
    <border>
      <left/>
      <right style="thin">
        <color rgb="FF000000"/>
      </right>
      <top/>
      <bottom/>
      <diagonal/>
    </border>
    <border>
      <left/>
      <right style="hair">
        <color indexed="64"/>
      </right>
      <top style="hair">
        <color indexed="64"/>
      </top>
      <bottom style="hair">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theme="0"/>
      </bottom>
      <diagonal/>
    </border>
    <border>
      <left/>
      <right/>
      <top/>
      <bottom style="thin">
        <color theme="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hair">
        <color indexed="64"/>
      </left>
      <right/>
      <top style="hair">
        <color indexed="64"/>
      </top>
      <bottom style="hair">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top style="thin">
        <color indexed="64"/>
      </top>
      <bottom style="double">
        <color indexed="64"/>
      </bottom>
      <diagonal/>
    </border>
    <border>
      <left/>
      <right style="hair">
        <color indexed="64"/>
      </right>
      <top/>
      <bottom style="hair">
        <color indexed="64"/>
      </bottom>
      <diagonal/>
    </border>
    <border>
      <left/>
      <right/>
      <top/>
      <bottom style="medium">
        <color indexed="64"/>
      </bottom>
      <diagonal/>
    </border>
    <border>
      <left/>
      <right style="dotted">
        <color indexed="64"/>
      </right>
      <top/>
      <bottom style="thin">
        <color indexed="64"/>
      </bottom>
      <diagonal/>
    </border>
    <border>
      <left/>
      <right style="dotted">
        <color indexed="64"/>
      </right>
      <top/>
      <bottom/>
      <diagonal/>
    </border>
    <border>
      <left/>
      <right style="dotted">
        <color indexed="64"/>
      </right>
      <top style="thin">
        <color indexed="64"/>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theme="0"/>
      </bottom>
      <diagonal/>
    </border>
    <border>
      <left/>
      <right style="thin">
        <color rgb="FF000000"/>
      </right>
      <top/>
      <bottom style="thin">
        <color theme="0"/>
      </bottom>
      <diagonal/>
    </border>
    <border>
      <left style="thin">
        <color rgb="FF000000"/>
      </left>
      <right/>
      <top/>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style="thin">
        <color rgb="FF000000"/>
      </right>
      <top/>
      <bottom style="medium">
        <color rgb="FF000000"/>
      </bottom>
      <diagonal/>
    </border>
    <border>
      <left/>
      <right style="medium">
        <color rgb="FF000000"/>
      </right>
      <top/>
      <bottom style="medium">
        <color rgb="FF000000"/>
      </bottom>
      <diagonal/>
    </border>
    <border>
      <left style="medium">
        <color indexed="64"/>
      </left>
      <right/>
      <top style="medium">
        <color indexed="64"/>
      </top>
      <bottom/>
      <diagonal/>
    </border>
    <border>
      <left style="thin">
        <color rgb="FF000000"/>
      </left>
      <right/>
      <top style="medium">
        <color indexed="64"/>
      </top>
      <bottom/>
      <diagonal/>
    </border>
    <border>
      <left/>
      <right style="thin">
        <color rgb="FF000000"/>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rgb="FF000000"/>
      </left>
      <right/>
      <top/>
      <bottom style="medium">
        <color indexed="64"/>
      </bottom>
      <diagonal/>
    </border>
    <border>
      <left/>
      <right style="thin">
        <color rgb="FF000000"/>
      </right>
      <top/>
      <bottom style="medium">
        <color indexed="64"/>
      </bottom>
      <diagonal/>
    </border>
    <border>
      <left/>
      <right style="medium">
        <color indexed="64"/>
      </right>
      <top/>
      <bottom style="medium">
        <color indexed="64"/>
      </bottom>
      <diagonal/>
    </border>
  </borders>
  <cellStyleXfs count="14">
    <xf numFmtId="0" fontId="0" fillId="0" borderId="0"/>
    <xf numFmtId="167"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xf numFmtId="9" fontId="9" fillId="0" borderId="0" applyFont="0" applyFill="0" applyBorder="0" applyAlignment="0" applyProtection="0"/>
    <xf numFmtId="0" fontId="9" fillId="0" borderId="0"/>
    <xf numFmtId="0" fontId="9" fillId="0" borderId="0"/>
    <xf numFmtId="9" fontId="1" fillId="0" borderId="0" applyFont="0" applyFill="0" applyBorder="0" applyAlignment="0" applyProtection="0"/>
    <xf numFmtId="0" fontId="1" fillId="0" borderId="0"/>
    <xf numFmtId="164" fontId="2" fillId="0" borderId="0" applyFont="0" applyFill="0" applyBorder="0" applyAlignment="0" applyProtection="0"/>
    <xf numFmtId="0" fontId="1" fillId="0" borderId="0"/>
    <xf numFmtId="0" fontId="13" fillId="6" borderId="8">
      <alignment horizontal="right"/>
    </xf>
    <xf numFmtId="0" fontId="14" fillId="6" borderId="0"/>
    <xf numFmtId="0" fontId="9" fillId="0" borderId="0"/>
  </cellStyleXfs>
  <cellXfs count="791">
    <xf numFmtId="0" fontId="0" fillId="0" borderId="0" xfId="0"/>
    <xf numFmtId="0" fontId="3" fillId="0" borderId="0" xfId="0" applyFont="1"/>
    <xf numFmtId="0" fontId="4" fillId="2" borderId="0" xfId="0" applyFont="1" applyFill="1"/>
    <xf numFmtId="0" fontId="5" fillId="2" borderId="0" xfId="0" applyFont="1" applyFill="1"/>
    <xf numFmtId="0" fontId="8" fillId="0" borderId="0" xfId="0" applyFont="1"/>
    <xf numFmtId="0" fontId="3" fillId="0" borderId="0" xfId="0" applyFont="1" applyAlignment="1">
      <alignment horizontal="left" indent="1"/>
    </xf>
    <xf numFmtId="0" fontId="0" fillId="0" borderId="0" xfId="0" applyAlignment="1">
      <alignment horizontal="left" indent="1"/>
    </xf>
    <xf numFmtId="0" fontId="0" fillId="0" borderId="1" xfId="0" applyBorder="1"/>
    <xf numFmtId="37" fontId="3" fillId="0" borderId="0" xfId="0" applyNumberFormat="1" applyFont="1"/>
    <xf numFmtId="0" fontId="10" fillId="0" borderId="0" xfId="0" applyFont="1" applyAlignment="1">
      <alignment horizontal="left" indent="1"/>
    </xf>
    <xf numFmtId="0" fontId="2" fillId="0" borderId="0" xfId="0" applyFont="1"/>
    <xf numFmtId="3" fontId="2" fillId="0" borderId="0" xfId="0" applyNumberFormat="1" applyFont="1"/>
    <xf numFmtId="0" fontId="4" fillId="0" borderId="0" xfId="0" applyFont="1"/>
    <xf numFmtId="0" fontId="5" fillId="0" borderId="0" xfId="0" applyFont="1"/>
    <xf numFmtId="168" fontId="2" fillId="0" borderId="0" xfId="2" applyNumberFormat="1" applyFont="1"/>
    <xf numFmtId="14" fontId="0" fillId="0" borderId="0" xfId="0" applyNumberFormat="1"/>
    <xf numFmtId="0" fontId="0" fillId="0" borderId="1" xfId="0" applyBorder="1" applyAlignment="1">
      <alignment horizontal="left" indent="1"/>
    </xf>
    <xf numFmtId="0" fontId="15" fillId="0" borderId="0" xfId="0" applyFont="1"/>
    <xf numFmtId="0" fontId="17" fillId="2" borderId="0" xfId="0" applyFont="1" applyFill="1"/>
    <xf numFmtId="0" fontId="17" fillId="0" borderId="0" xfId="0" applyFont="1"/>
    <xf numFmtId="37" fontId="15" fillId="0" borderId="0" xfId="0" applyNumberFormat="1" applyFont="1"/>
    <xf numFmtId="0" fontId="22" fillId="0" borderId="0" xfId="0" applyFont="1"/>
    <xf numFmtId="0" fontId="25" fillId="0" borderId="0" xfId="0" applyFont="1"/>
    <xf numFmtId="0" fontId="28" fillId="0" borderId="0" xfId="0" applyFont="1"/>
    <xf numFmtId="37" fontId="28" fillId="0" borderId="0" xfId="0" applyNumberFormat="1" applyFont="1"/>
    <xf numFmtId="0" fontId="27" fillId="0" borderId="0" xfId="0" applyFont="1"/>
    <xf numFmtId="0" fontId="31" fillId="0" borderId="0" xfId="0" applyFont="1"/>
    <xf numFmtId="0" fontId="32" fillId="0" borderId="0" xfId="0" applyFont="1"/>
    <xf numFmtId="0" fontId="15" fillId="0" borderId="0" xfId="0" applyFont="1" applyAlignment="1">
      <alignment horizontal="left" indent="1"/>
    </xf>
    <xf numFmtId="0" fontId="32" fillId="0" borderId="0" xfId="0" applyFont="1" applyAlignment="1">
      <alignment horizontal="left" indent="1"/>
    </xf>
    <xf numFmtId="0" fontId="36" fillId="0" borderId="0" xfId="0" applyFont="1"/>
    <xf numFmtId="0" fontId="24" fillId="0" borderId="0" xfId="0" applyFont="1" applyAlignment="1">
      <alignment horizontal="left" indent="2"/>
    </xf>
    <xf numFmtId="0" fontId="35" fillId="2" borderId="0" xfId="0" applyFont="1" applyFill="1"/>
    <xf numFmtId="0" fontId="34" fillId="0" borderId="0" xfId="0" applyFont="1"/>
    <xf numFmtId="166" fontId="16" fillId="0" borderId="0" xfId="0" applyNumberFormat="1" applyFont="1"/>
    <xf numFmtId="0" fontId="17" fillId="10" borderId="0" xfId="0" applyFont="1" applyFill="1"/>
    <xf numFmtId="0" fontId="28" fillId="10" borderId="0" xfId="0" applyFont="1" applyFill="1"/>
    <xf numFmtId="0" fontId="37" fillId="2" borderId="0" xfId="0" applyFont="1" applyFill="1" applyAlignment="1">
      <alignment horizontal="right"/>
    </xf>
    <xf numFmtId="0" fontId="0" fillId="10" borderId="0" xfId="0" applyFill="1"/>
    <xf numFmtId="0" fontId="20" fillId="0" borderId="0" xfId="0" applyFont="1" applyAlignment="1">
      <alignment horizontal="left" indent="1"/>
    </xf>
    <xf numFmtId="2" fontId="0" fillId="0" borderId="0" xfId="0" applyNumberFormat="1"/>
    <xf numFmtId="0" fontId="15" fillId="0" borderId="0" xfId="0" applyFont="1" applyProtection="1">
      <protection locked="0"/>
    </xf>
    <xf numFmtId="0" fontId="33" fillId="0" borderId="0" xfId="0" applyFont="1" applyProtection="1">
      <protection locked="0"/>
    </xf>
    <xf numFmtId="0" fontId="17" fillId="0" borderId="0" xfId="0" applyFont="1" applyProtection="1">
      <protection locked="0"/>
    </xf>
    <xf numFmtId="0" fontId="41" fillId="0" borderId="0" xfId="0" applyFont="1" applyProtection="1">
      <protection locked="0"/>
    </xf>
    <xf numFmtId="0" fontId="28" fillId="0" borderId="0" xfId="0" applyFont="1" applyAlignment="1" applyProtection="1">
      <alignment horizontal="left" indent="1"/>
      <protection locked="0"/>
    </xf>
    <xf numFmtId="37" fontId="27" fillId="3" borderId="0" xfId="0" applyNumberFormat="1" applyFont="1" applyFill="1" applyProtection="1">
      <protection locked="0"/>
    </xf>
    <xf numFmtId="37" fontId="27" fillId="0" borderId="0" xfId="1" applyNumberFormat="1" applyFont="1" applyFill="1" applyProtection="1">
      <protection locked="0"/>
    </xf>
    <xf numFmtId="37" fontId="27" fillId="0" borderId="0" xfId="0" applyNumberFormat="1" applyFont="1"/>
    <xf numFmtId="37" fontId="27" fillId="0" borderId="3" xfId="1" applyNumberFormat="1" applyFont="1" applyFill="1" applyBorder="1" applyProtection="1"/>
    <xf numFmtId="37" fontId="39" fillId="3" borderId="0" xfId="0" applyNumberFormat="1" applyFont="1" applyFill="1" applyProtection="1">
      <protection locked="0"/>
    </xf>
    <xf numFmtId="37" fontId="27" fillId="0" borderId="0" xfId="1" applyNumberFormat="1" applyFont="1" applyFill="1" applyProtection="1"/>
    <xf numFmtId="37" fontId="39" fillId="0" borderId="0" xfId="1" applyNumberFormat="1" applyFont="1" applyFill="1" applyProtection="1">
      <protection locked="0"/>
    </xf>
    <xf numFmtId="37" fontId="39" fillId="0" borderId="0" xfId="1" applyNumberFormat="1" applyFont="1" applyFill="1" applyProtection="1"/>
    <xf numFmtId="3" fontId="27" fillId="0" borderId="0" xfId="0" applyNumberFormat="1" applyFont="1" applyProtection="1">
      <protection locked="0"/>
    </xf>
    <xf numFmtId="0" fontId="35" fillId="0" borderId="0" xfId="0" applyFont="1" applyProtection="1">
      <protection locked="0"/>
    </xf>
    <xf numFmtId="0" fontId="28" fillId="0" borderId="0" xfId="0" applyFont="1" applyAlignment="1" applyProtection="1">
      <alignment horizontal="left" indent="3"/>
      <protection locked="0"/>
    </xf>
    <xf numFmtId="37" fontId="27" fillId="0" borderId="0" xfId="1" applyNumberFormat="1" applyFont="1" applyFill="1" applyBorder="1" applyProtection="1">
      <protection locked="0"/>
    </xf>
    <xf numFmtId="37" fontId="39" fillId="0" borderId="0" xfId="1" applyNumberFormat="1" applyFont="1" applyFill="1" applyBorder="1" applyProtection="1">
      <protection locked="0"/>
    </xf>
    <xf numFmtId="0" fontId="28" fillId="0" borderId="0" xfId="0" applyFont="1" applyAlignment="1" applyProtection="1">
      <alignment horizontal="left" indent="5"/>
      <protection locked="0"/>
    </xf>
    <xf numFmtId="37" fontId="27" fillId="3" borderId="0" xfId="2" applyNumberFormat="1" applyFont="1" applyFill="1" applyBorder="1" applyProtection="1">
      <protection locked="0"/>
    </xf>
    <xf numFmtId="37" fontId="27" fillId="0" borderId="9" xfId="2" applyNumberFormat="1" applyFont="1" applyFill="1" applyBorder="1" applyProtection="1">
      <protection locked="0"/>
    </xf>
    <xf numFmtId="37" fontId="39" fillId="3" borderId="0" xfId="2" applyNumberFormat="1" applyFont="1" applyFill="1" applyBorder="1" applyProtection="1">
      <protection locked="0"/>
    </xf>
    <xf numFmtId="37" fontId="39" fillId="0" borderId="9" xfId="2" applyNumberFormat="1" applyFont="1" applyFill="1" applyBorder="1" applyProtection="1">
      <protection locked="0"/>
    </xf>
    <xf numFmtId="0" fontId="34" fillId="0" borderId="0" xfId="0" applyFont="1" applyAlignment="1" applyProtection="1">
      <alignment horizontal="left" indent="1"/>
      <protection locked="0"/>
    </xf>
    <xf numFmtId="0" fontId="28" fillId="0" borderId="0" xfId="0" applyFont="1" applyAlignment="1" applyProtection="1">
      <alignment horizontal="left" indent="2"/>
      <protection locked="0"/>
    </xf>
    <xf numFmtId="37" fontId="27" fillId="0" borderId="0" xfId="0" applyNumberFormat="1" applyFont="1" applyProtection="1">
      <protection locked="0"/>
    </xf>
    <xf numFmtId="37" fontId="27" fillId="4" borderId="0" xfId="1" applyNumberFormat="1" applyFont="1" applyFill="1" applyProtection="1"/>
    <xf numFmtId="37" fontId="39" fillId="0" borderId="0" xfId="0" applyNumberFormat="1" applyFont="1" applyProtection="1">
      <protection locked="0"/>
    </xf>
    <xf numFmtId="37" fontId="39" fillId="4" borderId="0" xfId="1" applyNumberFormat="1" applyFont="1" applyFill="1" applyProtection="1"/>
    <xf numFmtId="0" fontId="28" fillId="0" borderId="0" xfId="0" applyFont="1" applyAlignment="1" applyProtection="1">
      <alignment horizontal="left" indent="4"/>
      <protection locked="0"/>
    </xf>
    <xf numFmtId="37" fontId="27" fillId="0" borderId="0" xfId="1" applyNumberFormat="1" applyFont="1" applyFill="1" applyBorder="1" applyProtection="1"/>
    <xf numFmtId="37" fontId="39" fillId="0" borderId="0" xfId="1" applyNumberFormat="1" applyFont="1" applyFill="1" applyBorder="1" applyProtection="1"/>
    <xf numFmtId="0" fontId="22" fillId="0" borderId="0" xfId="0" applyFont="1" applyProtection="1">
      <protection locked="0"/>
    </xf>
    <xf numFmtId="37" fontId="27" fillId="0" borderId="1" xfId="0" applyNumberFormat="1" applyFont="1" applyBorder="1" applyProtection="1">
      <protection locked="0"/>
    </xf>
    <xf numFmtId="37" fontId="39" fillId="0" borderId="1" xfId="0" applyNumberFormat="1" applyFont="1" applyBorder="1" applyProtection="1">
      <protection locked="0"/>
    </xf>
    <xf numFmtId="0" fontId="28" fillId="0" borderId="0" xfId="0" applyFont="1" applyAlignment="1" applyProtection="1">
      <alignment horizontal="left" indent="6"/>
      <protection locked="0"/>
    </xf>
    <xf numFmtId="37" fontId="27" fillId="0" borderId="7" xfId="0" applyNumberFormat="1" applyFont="1" applyBorder="1" applyProtection="1">
      <protection locked="0"/>
    </xf>
    <xf numFmtId="37" fontId="39" fillId="0" borderId="7" xfId="0" applyNumberFormat="1" applyFont="1" applyBorder="1" applyProtection="1">
      <protection locked="0"/>
    </xf>
    <xf numFmtId="0" fontId="28" fillId="0" borderId="0" xfId="0" applyFont="1" applyAlignment="1" applyProtection="1">
      <alignment horizontal="left" indent="8"/>
      <protection locked="0"/>
    </xf>
    <xf numFmtId="0" fontId="22" fillId="0" borderId="0" xfId="0" applyFont="1" applyAlignment="1" applyProtection="1">
      <alignment horizontal="left" indent="3"/>
      <protection locked="0"/>
    </xf>
    <xf numFmtId="37" fontId="27" fillId="0" borderId="0" xfId="2" applyNumberFormat="1" applyFont="1" applyFill="1" applyProtection="1"/>
    <xf numFmtId="37" fontId="27" fillId="0" borderId="3" xfId="2" applyNumberFormat="1" applyFont="1" applyFill="1" applyBorder="1" applyProtection="1"/>
    <xf numFmtId="37" fontId="39" fillId="0" borderId="0" xfId="2" applyNumberFormat="1" applyFont="1" applyFill="1" applyProtection="1"/>
    <xf numFmtId="0" fontId="42" fillId="0" borderId="0" xfId="0" applyFont="1" applyProtection="1">
      <protection locked="0"/>
    </xf>
    <xf numFmtId="37" fontId="27" fillId="0" borderId="9" xfId="0" applyNumberFormat="1" applyFont="1" applyBorder="1" applyProtection="1">
      <protection locked="0"/>
    </xf>
    <xf numFmtId="37" fontId="27" fillId="0" borderId="0" xfId="2" applyNumberFormat="1" applyFont="1" applyFill="1" applyBorder="1" applyProtection="1"/>
    <xf numFmtId="37" fontId="39" fillId="0" borderId="0" xfId="2" applyNumberFormat="1" applyFont="1" applyFill="1" applyBorder="1" applyProtection="1"/>
    <xf numFmtId="37" fontId="27" fillId="4" borderId="0" xfId="2" applyNumberFormat="1" applyFont="1" applyFill="1" applyProtection="1"/>
    <xf numFmtId="37" fontId="39" fillId="4" borderId="0" xfId="2" applyNumberFormat="1" applyFont="1" applyFill="1" applyProtection="1"/>
    <xf numFmtId="0" fontId="28" fillId="0" borderId="0" xfId="0" applyFont="1" applyAlignment="1" applyProtection="1">
      <alignment horizontal="left" indent="10"/>
      <protection locked="0"/>
    </xf>
    <xf numFmtId="37" fontId="27" fillId="0" borderId="0" xfId="1" applyNumberFormat="1" applyFont="1" applyBorder="1" applyProtection="1"/>
    <xf numFmtId="37" fontId="27" fillId="0" borderId="0" xfId="1" applyNumberFormat="1" applyFont="1" applyProtection="1"/>
    <xf numFmtId="37" fontId="27" fillId="0" borderId="21" xfId="0" applyNumberFormat="1" applyFont="1" applyBorder="1" applyProtection="1">
      <protection locked="0"/>
    </xf>
    <xf numFmtId="37" fontId="39" fillId="0" borderId="21" xfId="0" applyNumberFormat="1" applyFont="1" applyBorder="1" applyProtection="1">
      <protection locked="0"/>
    </xf>
    <xf numFmtId="37" fontId="27" fillId="0" borderId="3" xfId="0" applyNumberFormat="1" applyFont="1" applyBorder="1"/>
    <xf numFmtId="37" fontId="39" fillId="0" borderId="0" xfId="0" applyNumberFormat="1" applyFont="1"/>
    <xf numFmtId="0" fontId="28" fillId="0" borderId="0" xfId="0" applyFont="1" applyProtection="1">
      <protection locked="0"/>
    </xf>
    <xf numFmtId="39" fontId="27" fillId="3" borderId="0" xfId="0" applyNumberFormat="1" applyFont="1" applyFill="1" applyProtection="1">
      <protection locked="0"/>
    </xf>
    <xf numFmtId="39" fontId="27" fillId="0" borderId="0" xfId="1" applyNumberFormat="1" applyFont="1" applyFill="1" applyProtection="1">
      <protection locked="0"/>
    </xf>
    <xf numFmtId="39" fontId="27" fillId="0" borderId="0" xfId="0" applyNumberFormat="1" applyFont="1"/>
    <xf numFmtId="39" fontId="27" fillId="0" borderId="3" xfId="0" applyNumberFormat="1" applyFont="1" applyBorder="1"/>
    <xf numFmtId="39" fontId="39" fillId="3" borderId="0" xfId="0" applyNumberFormat="1" applyFont="1" applyFill="1" applyProtection="1">
      <protection locked="0"/>
    </xf>
    <xf numFmtId="39" fontId="39" fillId="0" borderId="0" xfId="1" applyNumberFormat="1" applyFont="1" applyFill="1" applyProtection="1">
      <protection locked="0"/>
    </xf>
    <xf numFmtId="39" fontId="39" fillId="0" borderId="0" xfId="0" applyNumberFormat="1" applyFont="1"/>
    <xf numFmtId="0" fontId="34" fillId="0" borderId="0" xfId="0" applyFont="1" applyProtection="1">
      <protection locked="0"/>
    </xf>
    <xf numFmtId="0" fontId="43" fillId="0" borderId="0" xfId="0" applyFont="1" applyAlignment="1" applyProtection="1">
      <alignment horizontal="left" indent="1"/>
      <protection locked="0"/>
    </xf>
    <xf numFmtId="37" fontId="44" fillId="3" borderId="0" xfId="0" applyNumberFormat="1" applyFont="1" applyFill="1" applyProtection="1">
      <protection locked="0"/>
    </xf>
    <xf numFmtId="37" fontId="18" fillId="0" borderId="0" xfId="1" applyNumberFormat="1" applyFont="1" applyFill="1" applyProtection="1">
      <protection locked="0"/>
    </xf>
    <xf numFmtId="37" fontId="44" fillId="3" borderId="0" xfId="1" applyNumberFormat="1" applyFont="1" applyFill="1" applyProtection="1">
      <protection locked="0"/>
    </xf>
    <xf numFmtId="37" fontId="18" fillId="0" borderId="3" xfId="1" applyNumberFormat="1" applyFont="1" applyFill="1" applyBorder="1" applyProtection="1"/>
    <xf numFmtId="37" fontId="18" fillId="3" borderId="0" xfId="1" applyNumberFormat="1" applyFont="1" applyFill="1" applyBorder="1" applyProtection="1">
      <protection locked="0"/>
    </xf>
    <xf numFmtId="37" fontId="18" fillId="0" borderId="0" xfId="1" applyNumberFormat="1" applyFont="1" applyFill="1" applyProtection="1"/>
    <xf numFmtId="0" fontId="44" fillId="0" borderId="0" xfId="0" applyFont="1" applyProtection="1">
      <protection locked="0"/>
    </xf>
    <xf numFmtId="0" fontId="27" fillId="0" borderId="0" xfId="0" applyFont="1" applyAlignment="1" applyProtection="1">
      <alignment horizontal="left" indent="1"/>
      <protection locked="0"/>
    </xf>
    <xf numFmtId="0" fontId="44" fillId="0" borderId="0" xfId="0" applyFont="1"/>
    <xf numFmtId="37" fontId="44" fillId="0" borderId="0" xfId="0" applyNumberFormat="1" applyFont="1"/>
    <xf numFmtId="37" fontId="44" fillId="0" borderId="0" xfId="1" applyNumberFormat="1" applyFont="1" applyFill="1" applyProtection="1"/>
    <xf numFmtId="37" fontId="44" fillId="0" borderId="3" xfId="1" applyNumberFormat="1" applyFont="1" applyFill="1" applyBorder="1" applyProtection="1"/>
    <xf numFmtId="37" fontId="44" fillId="3" borderId="0" xfId="1" applyNumberFormat="1" applyFont="1" applyFill="1" applyBorder="1" applyProtection="1">
      <protection locked="0"/>
    </xf>
    <xf numFmtId="37" fontId="44" fillId="4" borderId="0" xfId="1" applyNumberFormat="1" applyFont="1" applyFill="1" applyProtection="1"/>
    <xf numFmtId="37" fontId="15" fillId="3" borderId="0" xfId="0" applyNumberFormat="1" applyFont="1" applyFill="1" applyProtection="1">
      <protection locked="0"/>
    </xf>
    <xf numFmtId="37" fontId="21" fillId="0" borderId="0" xfId="1" applyNumberFormat="1" applyFont="1" applyFill="1" applyProtection="1"/>
    <xf numFmtId="37" fontId="21" fillId="3" borderId="0" xfId="1" applyNumberFormat="1" applyFont="1" applyFill="1" applyProtection="1">
      <protection locked="0"/>
    </xf>
    <xf numFmtId="37" fontId="21" fillId="0" borderId="3" xfId="1" applyNumberFormat="1" applyFont="1" applyFill="1" applyBorder="1" applyProtection="1"/>
    <xf numFmtId="37" fontId="21" fillId="3" borderId="0" xfId="1" applyNumberFormat="1" applyFont="1" applyFill="1" applyBorder="1" applyProtection="1">
      <protection locked="0"/>
    </xf>
    <xf numFmtId="37" fontId="18" fillId="0" borderId="0" xfId="1" applyNumberFormat="1" applyFont="1" applyFill="1" applyBorder="1" applyProtection="1"/>
    <xf numFmtId="0" fontId="27" fillId="0" borderId="0" xfId="0" applyFont="1" applyAlignment="1" applyProtection="1">
      <alignment horizontal="left" indent="3"/>
      <protection locked="0"/>
    </xf>
    <xf numFmtId="37" fontId="44" fillId="0" borderId="0" xfId="1" applyNumberFormat="1" applyFont="1" applyFill="1" applyBorder="1" applyProtection="1"/>
    <xf numFmtId="37" fontId="44" fillId="0" borderId="0" xfId="2" applyNumberFormat="1" applyFont="1" applyFill="1" applyProtection="1"/>
    <xf numFmtId="37" fontId="44" fillId="0" borderId="3" xfId="2" applyNumberFormat="1" applyFont="1" applyFill="1" applyBorder="1" applyProtection="1"/>
    <xf numFmtId="37" fontId="31" fillId="0" borderId="0" xfId="0" applyNumberFormat="1" applyFont="1"/>
    <xf numFmtId="37" fontId="31" fillId="0" borderId="0" xfId="2" applyNumberFormat="1" applyFont="1" applyFill="1" applyProtection="1"/>
    <xf numFmtId="37" fontId="31" fillId="0" borderId="3" xfId="2" applyNumberFormat="1" applyFont="1" applyFill="1" applyBorder="1" applyProtection="1"/>
    <xf numFmtId="37" fontId="23" fillId="0" borderId="0" xfId="2" applyNumberFormat="1" applyFont="1" applyFill="1" applyProtection="1"/>
    <xf numFmtId="0" fontId="31" fillId="0" borderId="0" xfId="0" applyFont="1" applyProtection="1">
      <protection locked="0"/>
    </xf>
    <xf numFmtId="0" fontId="22" fillId="0" borderId="0" xfId="0" applyFont="1" applyAlignment="1" applyProtection="1">
      <alignment horizontal="left" indent="1"/>
      <protection locked="0"/>
    </xf>
    <xf numFmtId="37" fontId="19" fillId="0" borderId="0" xfId="2" applyNumberFormat="1" applyFont="1" applyFill="1" applyProtection="1"/>
    <xf numFmtId="0" fontId="27" fillId="0" borderId="0" xfId="0" applyFont="1" applyAlignment="1" applyProtection="1">
      <alignment horizontal="left" indent="5"/>
      <protection locked="0"/>
    </xf>
    <xf numFmtId="37" fontId="20" fillId="0" borderId="0" xfId="1" applyNumberFormat="1" applyFont="1" applyFill="1" applyProtection="1"/>
    <xf numFmtId="0" fontId="27" fillId="0" borderId="0" xfId="0" applyFont="1" applyAlignment="1" applyProtection="1">
      <alignment horizontal="left" indent="7"/>
      <protection locked="0"/>
    </xf>
    <xf numFmtId="37" fontId="44" fillId="0" borderId="0" xfId="2" applyNumberFormat="1" applyFont="1" applyFill="1" applyBorder="1" applyProtection="1"/>
    <xf numFmtId="0" fontId="45" fillId="0" borderId="0" xfId="0" applyFont="1" applyProtection="1">
      <protection locked="0"/>
    </xf>
    <xf numFmtId="0" fontId="15" fillId="0" borderId="0" xfId="0" applyFont="1" applyAlignment="1" applyProtection="1">
      <alignment horizontal="left" indent="1"/>
      <protection locked="0"/>
    </xf>
    <xf numFmtId="37" fontId="32" fillId="0" borderId="0" xfId="0" applyNumberFormat="1" applyFont="1"/>
    <xf numFmtId="37" fontId="30" fillId="0" borderId="0" xfId="1" applyNumberFormat="1" applyFont="1" applyFill="1" applyProtection="1"/>
    <xf numFmtId="37" fontId="30" fillId="0" borderId="3" xfId="1" applyNumberFormat="1" applyFont="1" applyFill="1" applyBorder="1" applyProtection="1"/>
    <xf numFmtId="0" fontId="32" fillId="0" borderId="0" xfId="0" applyFont="1" applyProtection="1">
      <protection locked="0"/>
    </xf>
    <xf numFmtId="37" fontId="20" fillId="0" borderId="0" xfId="1" applyNumberFormat="1" applyFont="1" applyProtection="1"/>
    <xf numFmtId="37" fontId="44" fillId="0" borderId="0" xfId="1" applyNumberFormat="1" applyFont="1" applyProtection="1"/>
    <xf numFmtId="37" fontId="15" fillId="0" borderId="3" xfId="0" applyNumberFormat="1" applyFont="1" applyBorder="1"/>
    <xf numFmtId="37" fontId="18" fillId="0" borderId="0" xfId="1" applyNumberFormat="1" applyFont="1" applyFill="1" applyAlignment="1" applyProtection="1">
      <alignment wrapText="1"/>
    </xf>
    <xf numFmtId="0" fontId="44" fillId="0" borderId="0" xfId="0" applyFont="1" applyAlignment="1" applyProtection="1">
      <alignment horizontal="left" indent="1"/>
      <protection locked="0"/>
    </xf>
    <xf numFmtId="37" fontId="44" fillId="0" borderId="3" xfId="0" applyNumberFormat="1" applyFont="1" applyBorder="1"/>
    <xf numFmtId="3" fontId="27" fillId="0" borderId="0" xfId="0" applyNumberFormat="1" applyFont="1" applyAlignment="1" applyProtection="1">
      <alignment horizontal="left" indent="1"/>
      <protection locked="0"/>
    </xf>
    <xf numFmtId="3" fontId="27" fillId="0" borderId="0" xfId="0" applyNumberFormat="1" applyFont="1" applyAlignment="1" applyProtection="1">
      <alignment horizontal="left" indent="3"/>
      <protection locked="0"/>
    </xf>
    <xf numFmtId="3" fontId="27" fillId="0" borderId="0" xfId="0" applyNumberFormat="1" applyFont="1" applyAlignment="1" applyProtection="1">
      <alignment horizontal="left" indent="5"/>
      <protection locked="0"/>
    </xf>
    <xf numFmtId="3" fontId="27" fillId="0" borderId="0" xfId="0" applyNumberFormat="1" applyFont="1" applyAlignment="1" applyProtection="1">
      <alignment horizontal="left" indent="7"/>
      <protection locked="0"/>
    </xf>
    <xf numFmtId="3" fontId="27" fillId="0" borderId="0" xfId="0" applyNumberFormat="1" applyFont="1" applyAlignment="1" applyProtection="1">
      <alignment horizontal="left" indent="2"/>
      <protection locked="0"/>
    </xf>
    <xf numFmtId="3" fontId="27" fillId="0" borderId="0" xfId="0" applyNumberFormat="1" applyFont="1" applyAlignment="1" applyProtection="1">
      <alignment horizontal="left" indent="4"/>
      <protection locked="0"/>
    </xf>
    <xf numFmtId="3" fontId="27" fillId="0" borderId="0" xfId="0" applyNumberFormat="1" applyFont="1" applyAlignment="1" applyProtection="1">
      <alignment horizontal="left" indent="6"/>
      <protection locked="0"/>
    </xf>
    <xf numFmtId="0" fontId="16" fillId="2" borderId="0" xfId="0" applyFont="1" applyFill="1" applyAlignment="1" applyProtection="1">
      <alignment horizontal="left"/>
      <protection locked="0"/>
    </xf>
    <xf numFmtId="0" fontId="17" fillId="2" borderId="0" xfId="0" applyFont="1" applyFill="1" applyProtection="1">
      <protection locked="0"/>
    </xf>
    <xf numFmtId="0" fontId="16" fillId="2" borderId="0" xfId="0" applyFont="1" applyFill="1" applyProtection="1">
      <protection locked="0"/>
    </xf>
    <xf numFmtId="0" fontId="16" fillId="2" borderId="0" xfId="0" applyFont="1" applyFill="1" applyAlignment="1" applyProtection="1">
      <alignment horizontal="left" indent="1"/>
      <protection locked="0"/>
    </xf>
    <xf numFmtId="165" fontId="16" fillId="2" borderId="0" xfId="0" applyNumberFormat="1" applyFont="1" applyFill="1" applyAlignment="1">
      <alignment horizontal="center"/>
    </xf>
    <xf numFmtId="166" fontId="16" fillId="2" borderId="10" xfId="0" applyNumberFormat="1" applyFont="1" applyFill="1" applyBorder="1" applyAlignment="1" applyProtection="1">
      <alignment horizontal="center"/>
      <protection locked="0"/>
    </xf>
    <xf numFmtId="165" fontId="40" fillId="2" borderId="0" xfId="0" applyNumberFormat="1" applyFont="1" applyFill="1" applyAlignment="1">
      <alignment horizontal="center"/>
    </xf>
    <xf numFmtId="165" fontId="16" fillId="2" borderId="0" xfId="0" applyNumberFormat="1" applyFont="1" applyFill="1" applyAlignment="1" applyProtection="1">
      <alignment horizontal="center"/>
      <protection locked="0"/>
    </xf>
    <xf numFmtId="0" fontId="47" fillId="2" borderId="0" xfId="0" applyFont="1" applyFill="1"/>
    <xf numFmtId="165" fontId="46" fillId="2" borderId="0" xfId="0" applyNumberFormat="1" applyFont="1" applyFill="1" applyAlignment="1">
      <alignment horizontal="center"/>
    </xf>
    <xf numFmtId="165" fontId="48" fillId="2" borderId="0" xfId="0" applyNumberFormat="1" applyFont="1" applyFill="1" applyAlignment="1">
      <alignment horizontal="center"/>
    </xf>
    <xf numFmtId="0" fontId="16" fillId="0" borderId="0" xfId="0" applyFont="1" applyProtection="1">
      <protection locked="0"/>
    </xf>
    <xf numFmtId="165" fontId="16" fillId="0" borderId="0" xfId="0" applyNumberFormat="1" applyFont="1" applyProtection="1">
      <protection locked="0"/>
    </xf>
    <xf numFmtId="165" fontId="16" fillId="0" borderId="0" xfId="0" applyNumberFormat="1" applyFont="1"/>
    <xf numFmtId="166" fontId="16" fillId="0" borderId="0" xfId="0" applyNumberFormat="1" applyFont="1" applyProtection="1">
      <protection locked="0"/>
    </xf>
    <xf numFmtId="0" fontId="16" fillId="10" borderId="0" xfId="0" applyFont="1" applyFill="1" applyProtection="1">
      <protection locked="0"/>
    </xf>
    <xf numFmtId="165" fontId="16" fillId="10" borderId="0" xfId="0" applyNumberFormat="1" applyFont="1" applyFill="1" applyProtection="1">
      <protection locked="0"/>
    </xf>
    <xf numFmtId="165" fontId="16" fillId="10" borderId="0" xfId="0" applyNumberFormat="1" applyFont="1" applyFill="1"/>
    <xf numFmtId="166" fontId="16" fillId="10" borderId="0" xfId="0" applyNumberFormat="1" applyFont="1" applyFill="1" applyProtection="1">
      <protection locked="0"/>
    </xf>
    <xf numFmtId="166" fontId="16" fillId="10" borderId="0" xfId="0" applyNumberFormat="1" applyFont="1" applyFill="1"/>
    <xf numFmtId="37" fontId="27" fillId="0" borderId="0" xfId="2" applyNumberFormat="1" applyFont="1" applyFill="1" applyBorder="1" applyProtection="1">
      <protection locked="0"/>
    </xf>
    <xf numFmtId="37" fontId="39" fillId="0" borderId="0" xfId="2" applyNumberFormat="1" applyFont="1" applyFill="1" applyBorder="1" applyProtection="1">
      <protection locked="0"/>
    </xf>
    <xf numFmtId="37" fontId="27" fillId="4" borderId="0" xfId="1" applyNumberFormat="1" applyFont="1" applyFill="1" applyBorder="1" applyProtection="1"/>
    <xf numFmtId="37" fontId="39" fillId="4" borderId="0" xfId="1" applyNumberFormat="1" applyFont="1" applyFill="1" applyBorder="1" applyProtection="1"/>
    <xf numFmtId="37" fontId="27" fillId="4" borderId="0" xfId="2" applyNumberFormat="1" applyFont="1" applyFill="1" applyBorder="1" applyProtection="1"/>
    <xf numFmtId="0" fontId="28" fillId="2" borderId="0" xfId="0" applyFont="1" applyFill="1"/>
    <xf numFmtId="37" fontId="27" fillId="2" borderId="0" xfId="0" applyNumberFormat="1" applyFont="1" applyFill="1" applyProtection="1">
      <protection locked="0"/>
    </xf>
    <xf numFmtId="37" fontId="27" fillId="2" borderId="0" xfId="1" applyNumberFormat="1" applyFont="1" applyFill="1" applyBorder="1" applyProtection="1">
      <protection locked="0"/>
    </xf>
    <xf numFmtId="37" fontId="27" fillId="2" borderId="0" xfId="1" applyNumberFormat="1" applyFont="1" applyFill="1" applyBorder="1" applyProtection="1"/>
    <xf numFmtId="37" fontId="39" fillId="2" borderId="0" xfId="0" applyNumberFormat="1" applyFont="1" applyFill="1" applyProtection="1">
      <protection locked="0"/>
    </xf>
    <xf numFmtId="37" fontId="39" fillId="2" borderId="0" xfId="1" applyNumberFormat="1" applyFont="1" applyFill="1" applyBorder="1" applyProtection="1">
      <protection locked="0"/>
    </xf>
    <xf numFmtId="37" fontId="39" fillId="2" borderId="0" xfId="1" applyNumberFormat="1" applyFont="1" applyFill="1" applyBorder="1" applyProtection="1"/>
    <xf numFmtId="3" fontId="27" fillId="2" borderId="0" xfId="0" applyNumberFormat="1" applyFont="1" applyFill="1" applyProtection="1">
      <protection locked="0"/>
    </xf>
    <xf numFmtId="0" fontId="28" fillId="10" borderId="0" xfId="0" applyFont="1" applyFill="1" applyAlignment="1" applyProtection="1">
      <alignment horizontal="left" indent="1"/>
      <protection locked="0"/>
    </xf>
    <xf numFmtId="37" fontId="27" fillId="10" borderId="0" xfId="0" applyNumberFormat="1" applyFont="1" applyFill="1" applyProtection="1">
      <protection locked="0"/>
    </xf>
    <xf numFmtId="37" fontId="27" fillId="10" borderId="0" xfId="1" applyNumberFormat="1" applyFont="1" applyFill="1" applyBorder="1" applyProtection="1">
      <protection locked="0"/>
    </xf>
    <xf numFmtId="37" fontId="27" fillId="10" borderId="0" xfId="1" applyNumberFormat="1" applyFont="1" applyFill="1" applyBorder="1" applyProtection="1"/>
    <xf numFmtId="37" fontId="39" fillId="10" borderId="0" xfId="0" applyNumberFormat="1" applyFont="1" applyFill="1" applyProtection="1">
      <protection locked="0"/>
    </xf>
    <xf numFmtId="37" fontId="39" fillId="10" borderId="0" xfId="1" applyNumberFormat="1" applyFont="1" applyFill="1" applyBorder="1" applyProtection="1">
      <protection locked="0"/>
    </xf>
    <xf numFmtId="37" fontId="39" fillId="10" borderId="0" xfId="1" applyNumberFormat="1" applyFont="1" applyFill="1" applyBorder="1" applyProtection="1"/>
    <xf numFmtId="3" fontId="27" fillId="10" borderId="0" xfId="0" applyNumberFormat="1" applyFont="1" applyFill="1" applyProtection="1">
      <protection locked="0"/>
    </xf>
    <xf numFmtId="165" fontId="46" fillId="2" borderId="0" xfId="0" applyNumberFormat="1" applyFont="1" applyFill="1" applyAlignment="1" applyProtection="1">
      <alignment horizontal="center"/>
      <protection locked="0"/>
    </xf>
    <xf numFmtId="166" fontId="46" fillId="2" borderId="0" xfId="0" applyNumberFormat="1" applyFont="1" applyFill="1" applyAlignment="1" applyProtection="1">
      <alignment horizontal="center"/>
      <protection locked="0"/>
    </xf>
    <xf numFmtId="165" fontId="16" fillId="0" borderId="3" xfId="0" applyNumberFormat="1" applyFont="1" applyBorder="1"/>
    <xf numFmtId="0" fontId="28" fillId="0" borderId="3" xfId="0" applyFont="1" applyBorder="1"/>
    <xf numFmtId="0" fontId="22" fillId="0" borderId="0" xfId="0" applyFont="1" applyAlignment="1" applyProtection="1">
      <alignment horizontal="left"/>
      <protection locked="0"/>
    </xf>
    <xf numFmtId="0" fontId="28" fillId="0" borderId="0" xfId="0" applyFont="1" applyAlignment="1" applyProtection="1">
      <alignment horizontal="left"/>
      <protection locked="0"/>
    </xf>
    <xf numFmtId="37" fontId="27" fillId="3" borderId="0" xfId="0" applyNumberFormat="1" applyFont="1" applyFill="1" applyAlignment="1" applyProtection="1">
      <alignment horizontal="right"/>
      <protection locked="0"/>
    </xf>
    <xf numFmtId="37" fontId="27" fillId="0" borderId="0" xfId="1" applyNumberFormat="1" applyFont="1" applyFill="1" applyAlignment="1" applyProtection="1">
      <alignment horizontal="right"/>
      <protection locked="0"/>
    </xf>
    <xf numFmtId="37" fontId="27" fillId="0" borderId="0" xfId="0" applyNumberFormat="1" applyFont="1" applyAlignment="1">
      <alignment horizontal="right"/>
    </xf>
    <xf numFmtId="37" fontId="27" fillId="0" borderId="3" xfId="1" applyNumberFormat="1" applyFont="1" applyFill="1" applyBorder="1" applyAlignment="1" applyProtection="1">
      <alignment horizontal="right"/>
    </xf>
    <xf numFmtId="37" fontId="39" fillId="3" borderId="0" xfId="0" applyNumberFormat="1" applyFont="1" applyFill="1" applyAlignment="1" applyProtection="1">
      <alignment horizontal="right"/>
      <protection locked="0"/>
    </xf>
    <xf numFmtId="37" fontId="27" fillId="0" borderId="0" xfId="1" applyNumberFormat="1" applyFont="1" applyFill="1" applyAlignment="1" applyProtection="1">
      <alignment horizontal="right"/>
    </xf>
    <xf numFmtId="37" fontId="39" fillId="0" borderId="0" xfId="1" applyNumberFormat="1" applyFont="1" applyFill="1" applyAlignment="1" applyProtection="1">
      <alignment horizontal="right"/>
      <protection locked="0"/>
    </xf>
    <xf numFmtId="37" fontId="39" fillId="0" borderId="0" xfId="1" applyNumberFormat="1" applyFont="1" applyFill="1" applyAlignment="1" applyProtection="1">
      <alignment horizontal="right"/>
    </xf>
    <xf numFmtId="37" fontId="27" fillId="0" borderId="0" xfId="1" applyNumberFormat="1" applyFont="1" applyFill="1" applyBorder="1" applyAlignment="1" applyProtection="1">
      <alignment horizontal="right"/>
      <protection locked="0"/>
    </xf>
    <xf numFmtId="37" fontId="27" fillId="3" borderId="0" xfId="2" applyNumberFormat="1" applyFont="1" applyFill="1" applyBorder="1" applyAlignment="1" applyProtection="1">
      <alignment horizontal="right"/>
      <protection locked="0"/>
    </xf>
    <xf numFmtId="37" fontId="27" fillId="0" borderId="9" xfId="2" applyNumberFormat="1" applyFont="1" applyFill="1" applyBorder="1" applyAlignment="1" applyProtection="1">
      <alignment horizontal="right"/>
      <protection locked="0"/>
    </xf>
    <xf numFmtId="37" fontId="39" fillId="3" borderId="0" xfId="2" applyNumberFormat="1" applyFont="1" applyFill="1" applyBorder="1" applyAlignment="1" applyProtection="1">
      <alignment horizontal="right"/>
      <protection locked="0"/>
    </xf>
    <xf numFmtId="37" fontId="27" fillId="0" borderId="0" xfId="0" applyNumberFormat="1" applyFont="1" applyAlignment="1" applyProtection="1">
      <alignment horizontal="right"/>
      <protection locked="0"/>
    </xf>
    <xf numFmtId="37" fontId="27" fillId="4" borderId="0" xfId="1" applyNumberFormat="1" applyFont="1" applyFill="1" applyAlignment="1" applyProtection="1">
      <alignment horizontal="right"/>
    </xf>
    <xf numFmtId="37" fontId="39" fillId="0" borderId="0" xfId="0" applyNumberFormat="1" applyFont="1" applyAlignment="1" applyProtection="1">
      <alignment horizontal="right"/>
      <protection locked="0"/>
    </xf>
    <xf numFmtId="37" fontId="39" fillId="4" borderId="0" xfId="1" applyNumberFormat="1" applyFont="1" applyFill="1" applyAlignment="1" applyProtection="1">
      <alignment horizontal="right"/>
    </xf>
    <xf numFmtId="37" fontId="27" fillId="0" borderId="0" xfId="1" applyNumberFormat="1" applyFont="1" applyFill="1" applyBorder="1" applyAlignment="1" applyProtection="1">
      <alignment horizontal="right"/>
    </xf>
    <xf numFmtId="37" fontId="39" fillId="0" borderId="0" xfId="1" applyNumberFormat="1" applyFont="1" applyFill="1" applyBorder="1" applyAlignment="1" applyProtection="1">
      <alignment horizontal="right"/>
    </xf>
    <xf numFmtId="37" fontId="27" fillId="0" borderId="1" xfId="0" applyNumberFormat="1" applyFont="1" applyBorder="1" applyAlignment="1" applyProtection="1">
      <alignment horizontal="right"/>
      <protection locked="0"/>
    </xf>
    <xf numFmtId="37" fontId="27" fillId="0" borderId="7" xfId="0" applyNumberFormat="1" applyFont="1" applyBorder="1" applyAlignment="1" applyProtection="1">
      <alignment horizontal="right"/>
      <protection locked="0"/>
    </xf>
    <xf numFmtId="37" fontId="27" fillId="0" borderId="0" xfId="2" applyNumberFormat="1" applyFont="1" applyFill="1" applyAlignment="1" applyProtection="1">
      <alignment horizontal="right"/>
    </xf>
    <xf numFmtId="37" fontId="27" fillId="0" borderId="3" xfId="2" applyNumberFormat="1" applyFont="1" applyFill="1" applyBorder="1" applyAlignment="1" applyProtection="1">
      <alignment horizontal="right"/>
    </xf>
    <xf numFmtId="37" fontId="39" fillId="0" borderId="0" xfId="2" applyNumberFormat="1" applyFont="1" applyFill="1" applyAlignment="1" applyProtection="1">
      <alignment horizontal="right"/>
    </xf>
    <xf numFmtId="37" fontId="27" fillId="0" borderId="9" xfId="0" applyNumberFormat="1" applyFont="1" applyBorder="1" applyAlignment="1" applyProtection="1">
      <alignment horizontal="right"/>
      <protection locked="0"/>
    </xf>
    <xf numFmtId="37" fontId="27" fillId="0" borderId="0" xfId="2" applyNumberFormat="1" applyFont="1" applyFill="1" applyBorder="1" applyAlignment="1" applyProtection="1">
      <alignment horizontal="right"/>
    </xf>
    <xf numFmtId="37" fontId="27" fillId="4" borderId="0" xfId="2" applyNumberFormat="1" applyFont="1" applyFill="1" applyAlignment="1" applyProtection="1">
      <alignment horizontal="right"/>
    </xf>
    <xf numFmtId="37" fontId="39" fillId="4" borderId="0" xfId="2" applyNumberFormat="1" applyFont="1" applyFill="1" applyAlignment="1" applyProtection="1">
      <alignment horizontal="right"/>
    </xf>
    <xf numFmtId="37" fontId="27" fillId="0" borderId="0" xfId="1" applyNumberFormat="1" applyFont="1" applyBorder="1" applyAlignment="1" applyProtection="1">
      <alignment horizontal="right"/>
    </xf>
    <xf numFmtId="37" fontId="27" fillId="0" borderId="0" xfId="1" applyNumberFormat="1" applyFont="1" applyAlignment="1" applyProtection="1">
      <alignment horizontal="right"/>
    </xf>
    <xf numFmtId="37" fontId="27" fillId="0" borderId="21" xfId="0" applyNumberFormat="1" applyFont="1" applyBorder="1" applyAlignment="1" applyProtection="1">
      <alignment horizontal="right"/>
      <protection locked="0"/>
    </xf>
    <xf numFmtId="37" fontId="27" fillId="0" borderId="3" xfId="0" applyNumberFormat="1" applyFont="1" applyBorder="1" applyAlignment="1">
      <alignment horizontal="right"/>
    </xf>
    <xf numFmtId="37" fontId="39" fillId="0" borderId="0" xfId="0" applyNumberFormat="1" applyFont="1" applyAlignment="1">
      <alignment horizontal="right"/>
    </xf>
    <xf numFmtId="39" fontId="27" fillId="3" borderId="0" xfId="0" applyNumberFormat="1" applyFont="1" applyFill="1" applyAlignment="1" applyProtection="1">
      <alignment horizontal="right"/>
      <protection locked="0"/>
    </xf>
    <xf numFmtId="39" fontId="27" fillId="0" borderId="0" xfId="1" applyNumberFormat="1" applyFont="1" applyFill="1" applyAlignment="1" applyProtection="1">
      <alignment horizontal="right"/>
      <protection locked="0"/>
    </xf>
    <xf numFmtId="39" fontId="27" fillId="0" borderId="0" xfId="0" applyNumberFormat="1" applyFont="1" applyAlignment="1">
      <alignment horizontal="right"/>
    </xf>
    <xf numFmtId="39" fontId="27" fillId="0" borderId="3" xfId="0" applyNumberFormat="1" applyFont="1" applyBorder="1" applyAlignment="1">
      <alignment horizontal="right"/>
    </xf>
    <xf numFmtId="39" fontId="39" fillId="3" borderId="0" xfId="0" applyNumberFormat="1" applyFont="1" applyFill="1" applyAlignment="1" applyProtection="1">
      <alignment horizontal="right"/>
      <protection locked="0"/>
    </xf>
    <xf numFmtId="39" fontId="39" fillId="0" borderId="0" xfId="0" applyNumberFormat="1" applyFont="1" applyAlignment="1">
      <alignment horizontal="right"/>
    </xf>
    <xf numFmtId="3" fontId="27" fillId="0" borderId="0" xfId="0" applyNumberFormat="1" applyFont="1" applyAlignment="1" applyProtection="1">
      <alignment horizontal="right"/>
      <protection locked="0"/>
    </xf>
    <xf numFmtId="37" fontId="39" fillId="0" borderId="0" xfId="1" applyNumberFormat="1" applyFont="1" applyAlignment="1" applyProtection="1">
      <alignment horizontal="right"/>
    </xf>
    <xf numFmtId="37" fontId="15" fillId="0" borderId="0" xfId="0" applyNumberFormat="1" applyFont="1" applyAlignment="1">
      <alignment horizontal="right"/>
    </xf>
    <xf numFmtId="37" fontId="44" fillId="3" borderId="0" xfId="0" applyNumberFormat="1" applyFont="1" applyFill="1" applyAlignment="1" applyProtection="1">
      <alignment horizontal="right"/>
      <protection locked="0"/>
    </xf>
    <xf numFmtId="37" fontId="18" fillId="0" borderId="0" xfId="1" applyNumberFormat="1" applyFont="1" applyFill="1" applyAlignment="1" applyProtection="1">
      <alignment horizontal="right"/>
      <protection locked="0"/>
    </xf>
    <xf numFmtId="37" fontId="44" fillId="3" borderId="0" xfId="1" applyNumberFormat="1" applyFont="1" applyFill="1" applyAlignment="1" applyProtection="1">
      <alignment horizontal="right"/>
      <protection locked="0"/>
    </xf>
    <xf numFmtId="37" fontId="18" fillId="0" borderId="3" xfId="1" applyNumberFormat="1" applyFont="1" applyFill="1" applyBorder="1" applyAlignment="1" applyProtection="1">
      <alignment horizontal="right"/>
    </xf>
    <xf numFmtId="37" fontId="18" fillId="3" borderId="0" xfId="1" applyNumberFormat="1" applyFont="1" applyFill="1" applyBorder="1" applyAlignment="1" applyProtection="1">
      <alignment horizontal="right"/>
      <protection locked="0"/>
    </xf>
    <xf numFmtId="37" fontId="18" fillId="0" borderId="0" xfId="1" applyNumberFormat="1" applyFont="1" applyFill="1" applyAlignment="1" applyProtection="1">
      <alignment horizontal="right"/>
    </xf>
    <xf numFmtId="0" fontId="15" fillId="0" borderId="0" xfId="0" applyFont="1" applyAlignment="1" applyProtection="1">
      <alignment horizontal="right"/>
      <protection locked="0"/>
    </xf>
    <xf numFmtId="37" fontId="44" fillId="0" borderId="0" xfId="0" applyNumberFormat="1" applyFont="1" applyAlignment="1">
      <alignment horizontal="right"/>
    </xf>
    <xf numFmtId="37" fontId="44" fillId="0" borderId="0" xfId="1" applyNumberFormat="1" applyFont="1" applyFill="1" applyAlignment="1" applyProtection="1">
      <alignment horizontal="right"/>
    </xf>
    <xf numFmtId="37" fontId="44" fillId="0" borderId="3" xfId="1" applyNumberFormat="1" applyFont="1" applyFill="1" applyBorder="1" applyAlignment="1" applyProtection="1">
      <alignment horizontal="right"/>
    </xf>
    <xf numFmtId="37" fontId="44" fillId="3" borderId="0" xfId="1" applyNumberFormat="1" applyFont="1" applyFill="1" applyBorder="1" applyAlignment="1" applyProtection="1">
      <alignment horizontal="right"/>
      <protection locked="0"/>
    </xf>
    <xf numFmtId="37" fontId="44" fillId="4" borderId="0" xfId="1" applyNumberFormat="1" applyFont="1" applyFill="1" applyAlignment="1" applyProtection="1">
      <alignment horizontal="right"/>
    </xf>
    <xf numFmtId="0" fontId="44" fillId="0" borderId="0" xfId="0" applyFont="1" applyAlignment="1" applyProtection="1">
      <alignment horizontal="right"/>
      <protection locked="0"/>
    </xf>
    <xf numFmtId="37" fontId="15" fillId="3" borderId="0" xfId="0" applyNumberFormat="1" applyFont="1" applyFill="1" applyAlignment="1" applyProtection="1">
      <alignment horizontal="right"/>
      <protection locked="0"/>
    </xf>
    <xf numFmtId="37" fontId="21" fillId="0" borderId="0" xfId="1" applyNumberFormat="1" applyFont="1" applyFill="1" applyAlignment="1" applyProtection="1">
      <alignment horizontal="right"/>
    </xf>
    <xf numFmtId="37" fontId="21" fillId="3" borderId="0" xfId="1" applyNumberFormat="1" applyFont="1" applyFill="1" applyAlignment="1" applyProtection="1">
      <alignment horizontal="right"/>
      <protection locked="0"/>
    </xf>
    <xf numFmtId="37" fontId="21" fillId="0" borderId="3" xfId="1" applyNumberFormat="1" applyFont="1" applyFill="1" applyBorder="1" applyAlignment="1" applyProtection="1">
      <alignment horizontal="right"/>
    </xf>
    <xf numFmtId="37" fontId="21" fillId="3" borderId="0" xfId="1" applyNumberFormat="1" applyFont="1" applyFill="1" applyBorder="1" applyAlignment="1" applyProtection="1">
      <alignment horizontal="right"/>
      <protection locked="0"/>
    </xf>
    <xf numFmtId="37" fontId="18" fillId="0" borderId="0" xfId="1" applyNumberFormat="1" applyFont="1" applyFill="1" applyBorder="1" applyAlignment="1" applyProtection="1">
      <alignment horizontal="right"/>
    </xf>
    <xf numFmtId="37" fontId="31" fillId="0" borderId="0" xfId="0" applyNumberFormat="1" applyFont="1" applyAlignment="1">
      <alignment horizontal="right"/>
    </xf>
    <xf numFmtId="37" fontId="31" fillId="0" borderId="0" xfId="2" applyNumberFormat="1" applyFont="1" applyFill="1" applyAlignment="1" applyProtection="1">
      <alignment horizontal="right"/>
    </xf>
    <xf numFmtId="37" fontId="31" fillId="0" borderId="3" xfId="2" applyNumberFormat="1" applyFont="1" applyFill="1" applyBorder="1" applyAlignment="1" applyProtection="1">
      <alignment horizontal="right"/>
    </xf>
    <xf numFmtId="37" fontId="23" fillId="0" borderId="0" xfId="2" applyNumberFormat="1" applyFont="1" applyFill="1" applyAlignment="1" applyProtection="1">
      <alignment horizontal="right"/>
    </xf>
    <xf numFmtId="0" fontId="31" fillId="0" borderId="0" xfId="0" applyFont="1" applyAlignment="1" applyProtection="1">
      <alignment horizontal="right"/>
      <protection locked="0"/>
    </xf>
    <xf numFmtId="37" fontId="44" fillId="0" borderId="0" xfId="2" applyNumberFormat="1" applyFont="1" applyFill="1" applyAlignment="1" applyProtection="1">
      <alignment horizontal="right"/>
    </xf>
    <xf numFmtId="37" fontId="44" fillId="0" borderId="3" xfId="2" applyNumberFormat="1" applyFont="1" applyFill="1" applyBorder="1" applyAlignment="1" applyProtection="1">
      <alignment horizontal="right"/>
    </xf>
    <xf numFmtId="37" fontId="20" fillId="0" borderId="0" xfId="1" applyNumberFormat="1" applyFont="1" applyFill="1" applyAlignment="1" applyProtection="1">
      <alignment horizontal="right"/>
    </xf>
    <xf numFmtId="37" fontId="44" fillId="0" borderId="0" xfId="2" applyNumberFormat="1" applyFont="1" applyFill="1" applyBorder="1" applyAlignment="1" applyProtection="1">
      <alignment horizontal="right"/>
    </xf>
    <xf numFmtId="37" fontId="32" fillId="0" borderId="0" xfId="0" applyNumberFormat="1" applyFont="1" applyAlignment="1">
      <alignment horizontal="right"/>
    </xf>
    <xf numFmtId="37" fontId="30" fillId="0" borderId="0" xfId="1" applyNumberFormat="1" applyFont="1" applyFill="1" applyAlignment="1" applyProtection="1">
      <alignment horizontal="right"/>
    </xf>
    <xf numFmtId="37" fontId="30" fillId="0" borderId="3" xfId="1" applyNumberFormat="1" applyFont="1" applyFill="1" applyBorder="1" applyAlignment="1" applyProtection="1">
      <alignment horizontal="right"/>
    </xf>
    <xf numFmtId="37" fontId="29" fillId="0" borderId="0" xfId="1" applyNumberFormat="1" applyFont="1" applyFill="1" applyAlignment="1" applyProtection="1">
      <alignment horizontal="right"/>
    </xf>
    <xf numFmtId="0" fontId="32" fillId="0" borderId="0" xfId="0" applyFont="1" applyAlignment="1" applyProtection="1">
      <alignment horizontal="right"/>
      <protection locked="0"/>
    </xf>
    <xf numFmtId="37" fontId="20" fillId="0" borderId="0" xfId="1" applyNumberFormat="1" applyFont="1" applyAlignment="1" applyProtection="1">
      <alignment horizontal="right"/>
    </xf>
    <xf numFmtId="37" fontId="44" fillId="0" borderId="0" xfId="1" applyNumberFormat="1" applyFont="1" applyAlignment="1" applyProtection="1">
      <alignment horizontal="right"/>
    </xf>
    <xf numFmtId="37" fontId="15" fillId="0" borderId="3" xfId="0" applyNumberFormat="1" applyFont="1" applyBorder="1" applyAlignment="1">
      <alignment horizontal="right"/>
    </xf>
    <xf numFmtId="37" fontId="44" fillId="0" borderId="3" xfId="0" applyNumberFormat="1" applyFont="1" applyBorder="1" applyAlignment="1">
      <alignment horizontal="right"/>
    </xf>
    <xf numFmtId="0" fontId="28" fillId="2" borderId="0" xfId="0" applyFont="1" applyFill="1" applyProtection="1">
      <protection locked="0"/>
    </xf>
    <xf numFmtId="0" fontId="34" fillId="2" borderId="0" xfId="0" applyFont="1" applyFill="1" applyProtection="1">
      <protection locked="0"/>
    </xf>
    <xf numFmtId="0" fontId="28" fillId="10" borderId="0" xfId="0" applyFont="1" applyFill="1" applyProtection="1">
      <protection locked="0"/>
    </xf>
    <xf numFmtId="0" fontId="34" fillId="10" borderId="0" xfId="0" applyFont="1" applyFill="1" applyProtection="1">
      <protection locked="0"/>
    </xf>
    <xf numFmtId="0" fontId="28" fillId="3" borderId="0" xfId="0" applyFont="1" applyFill="1" applyProtection="1">
      <protection locked="0"/>
    </xf>
    <xf numFmtId="0" fontId="34" fillId="11" borderId="7" xfId="0" applyFont="1" applyFill="1" applyBorder="1" applyProtection="1">
      <protection locked="0"/>
    </xf>
    <xf numFmtId="0" fontId="34" fillId="11" borderId="18" xfId="0" applyFont="1" applyFill="1" applyBorder="1" applyAlignment="1" applyProtection="1">
      <alignment horizontal="left" indent="1"/>
      <protection locked="0"/>
    </xf>
    <xf numFmtId="0" fontId="34" fillId="11" borderId="7" xfId="0" applyFont="1" applyFill="1" applyBorder="1"/>
    <xf numFmtId="10" fontId="28" fillId="0" borderId="0" xfId="0" applyNumberFormat="1" applyFont="1" applyProtection="1">
      <protection locked="0"/>
    </xf>
    <xf numFmtId="0" fontId="27" fillId="0" borderId="0" xfId="0" applyFont="1" applyProtection="1">
      <protection locked="0"/>
    </xf>
    <xf numFmtId="10" fontId="27" fillId="0" borderId="0" xfId="0" applyNumberFormat="1" applyFont="1" applyProtection="1">
      <protection locked="0"/>
    </xf>
    <xf numFmtId="2" fontId="28" fillId="0" borderId="0" xfId="0" applyNumberFormat="1" applyFont="1" applyProtection="1">
      <protection locked="0"/>
    </xf>
    <xf numFmtId="0" fontId="34" fillId="11" borderId="18" xfId="0" applyFont="1" applyFill="1" applyBorder="1" applyProtection="1">
      <protection locked="0"/>
    </xf>
    <xf numFmtId="37" fontId="38" fillId="3" borderId="0" xfId="0" applyNumberFormat="1" applyFont="1" applyFill="1" applyProtection="1">
      <protection locked="0"/>
    </xf>
    <xf numFmtId="0" fontId="15" fillId="0" borderId="0" xfId="0" applyFont="1" applyAlignment="1">
      <alignment horizontal="left" indent="3"/>
    </xf>
    <xf numFmtId="0" fontId="24" fillId="0" borderId="0" xfId="0" applyFont="1" applyAlignment="1">
      <alignment horizontal="left" indent="4"/>
    </xf>
    <xf numFmtId="173" fontId="0" fillId="0" borderId="0" xfId="0" applyNumberFormat="1"/>
    <xf numFmtId="39" fontId="0" fillId="0" borderId="0" xfId="0" applyNumberFormat="1"/>
    <xf numFmtId="168" fontId="24" fillId="3" borderId="0" xfId="2" applyNumberFormat="1" applyFont="1" applyFill="1" applyProtection="1">
      <protection locked="0"/>
    </xf>
    <xf numFmtId="168" fontId="24" fillId="0" borderId="0" xfId="2" applyNumberFormat="1" applyFont="1" applyFill="1" applyBorder="1" applyProtection="1">
      <protection locked="0"/>
    </xf>
    <xf numFmtId="168" fontId="24" fillId="3" borderId="0" xfId="2" applyNumberFormat="1" applyFont="1" applyFill="1" applyBorder="1" applyProtection="1">
      <protection locked="0"/>
    </xf>
    <xf numFmtId="168" fontId="24" fillId="0" borderId="0" xfId="2" applyNumberFormat="1" applyFont="1" applyProtection="1">
      <protection locked="0"/>
    </xf>
    <xf numFmtId="168" fontId="39" fillId="3" borderId="0" xfId="2" applyNumberFormat="1" applyFont="1" applyFill="1" applyProtection="1">
      <protection locked="0"/>
    </xf>
    <xf numFmtId="168" fontId="39" fillId="0" borderId="0" xfId="2" applyNumberFormat="1" applyFont="1" applyProtection="1">
      <protection locked="0"/>
    </xf>
    <xf numFmtId="37" fontId="38" fillId="0" borderId="0" xfId="0" applyNumberFormat="1" applyFont="1" applyProtection="1">
      <protection locked="0"/>
    </xf>
    <xf numFmtId="37" fontId="28" fillId="0" borderId="0" xfId="0" applyNumberFormat="1" applyFont="1" applyProtection="1">
      <protection locked="0"/>
    </xf>
    <xf numFmtId="37" fontId="28" fillId="0" borderId="7" xfId="0" applyNumberFormat="1" applyFont="1" applyBorder="1" applyProtection="1">
      <protection locked="0"/>
    </xf>
    <xf numFmtId="37" fontId="28" fillId="3" borderId="0" xfId="0" applyNumberFormat="1" applyFont="1" applyFill="1" applyProtection="1">
      <protection locked="0"/>
    </xf>
    <xf numFmtId="37" fontId="34" fillId="11" borderId="7" xfId="0" applyNumberFormat="1" applyFont="1" applyFill="1" applyBorder="1" applyProtection="1">
      <protection locked="0"/>
    </xf>
    <xf numFmtId="168" fontId="23" fillId="9" borderId="4" xfId="2" applyNumberFormat="1" applyFont="1" applyFill="1" applyBorder="1" applyProtection="1">
      <protection locked="0"/>
    </xf>
    <xf numFmtId="37" fontId="38" fillId="0" borderId="0" xfId="1" applyNumberFormat="1" applyFont="1" applyFill="1" applyBorder="1" applyProtection="1">
      <protection locked="0"/>
    </xf>
    <xf numFmtId="168" fontId="28" fillId="0" borderId="0" xfId="0" applyNumberFormat="1" applyFont="1" applyProtection="1">
      <protection locked="0"/>
    </xf>
    <xf numFmtId="168" fontId="25" fillId="0" borderId="0" xfId="0" applyNumberFormat="1" applyFont="1" applyProtection="1">
      <protection locked="0"/>
    </xf>
    <xf numFmtId="174" fontId="27" fillId="3" borderId="0" xfId="0" applyNumberFormat="1" applyFont="1" applyFill="1" applyProtection="1">
      <protection locked="0"/>
    </xf>
    <xf numFmtId="39" fontId="34" fillId="0" borderId="0" xfId="0" applyNumberFormat="1" applyFont="1" applyProtection="1">
      <protection locked="0"/>
    </xf>
    <xf numFmtId="37" fontId="34" fillId="0" borderId="0" xfId="0" applyNumberFormat="1" applyFont="1" applyProtection="1">
      <protection locked="0"/>
    </xf>
    <xf numFmtId="37" fontId="24" fillId="3" borderId="0" xfId="0" applyNumberFormat="1" applyFont="1" applyFill="1" applyProtection="1">
      <protection locked="0"/>
    </xf>
    <xf numFmtId="37" fontId="25" fillId="0" borderId="0" xfId="0" applyNumberFormat="1" applyFont="1" applyProtection="1">
      <protection locked="0"/>
    </xf>
    <xf numFmtId="37" fontId="25" fillId="0" borderId="0" xfId="0" applyNumberFormat="1" applyFont="1"/>
    <xf numFmtId="37" fontId="25" fillId="0" borderId="3" xfId="0" applyNumberFormat="1" applyFont="1" applyBorder="1"/>
    <xf numFmtId="37" fontId="23" fillId="9" borderId="4" xfId="0" applyNumberFormat="1" applyFont="1" applyFill="1" applyBorder="1" applyProtection="1">
      <protection locked="0"/>
    </xf>
    <xf numFmtId="168" fontId="28" fillId="0" borderId="0" xfId="2" applyNumberFormat="1" applyFont="1" applyProtection="1">
      <protection locked="0"/>
    </xf>
    <xf numFmtId="174" fontId="23" fillId="9" borderId="4" xfId="0" applyNumberFormat="1" applyFont="1" applyFill="1" applyBorder="1" applyProtection="1">
      <protection locked="0"/>
    </xf>
    <xf numFmtId="174" fontId="27" fillId="0" borderId="0" xfId="0" applyNumberFormat="1" applyFont="1" applyProtection="1">
      <protection locked="0"/>
    </xf>
    <xf numFmtId="174" fontId="27" fillId="0" borderId="0" xfId="0" applyNumberFormat="1" applyFont="1"/>
    <xf numFmtId="174" fontId="27" fillId="0" borderId="3" xfId="0" applyNumberFormat="1" applyFont="1" applyBorder="1"/>
    <xf numFmtId="174" fontId="39" fillId="3" borderId="0" xfId="0" applyNumberFormat="1" applyFont="1" applyFill="1" applyProtection="1">
      <protection locked="0"/>
    </xf>
    <xf numFmtId="174" fontId="27" fillId="0" borderId="0" xfId="1" applyNumberFormat="1" applyFont="1" applyFill="1" applyBorder="1" applyProtection="1"/>
    <xf numFmtId="174" fontId="27" fillId="0" borderId="3" xfId="1" applyNumberFormat="1" applyFont="1" applyFill="1" applyBorder="1" applyProtection="1"/>
    <xf numFmtId="174" fontId="25" fillId="0" borderId="0" xfId="0" applyNumberFormat="1" applyFont="1" applyProtection="1">
      <protection locked="0"/>
    </xf>
    <xf numFmtId="39" fontId="25" fillId="0" borderId="0" xfId="0" applyNumberFormat="1" applyFont="1" applyProtection="1">
      <protection locked="0"/>
    </xf>
    <xf numFmtId="168" fontId="25" fillId="0" borderId="0" xfId="2" applyNumberFormat="1" applyFont="1" applyProtection="1">
      <protection locked="0"/>
    </xf>
    <xf numFmtId="0" fontId="28" fillId="0" borderId="13" xfId="0" applyFont="1" applyBorder="1"/>
    <xf numFmtId="0" fontId="35" fillId="2" borderId="0" xfId="0" applyFont="1" applyFill="1" applyProtection="1">
      <protection locked="0"/>
    </xf>
    <xf numFmtId="0" fontId="37" fillId="0" borderId="0" xfId="0" applyFont="1" applyProtection="1">
      <protection locked="0"/>
    </xf>
    <xf numFmtId="0" fontId="37" fillId="0" borderId="0" xfId="0" applyFont="1"/>
    <xf numFmtId="0" fontId="37" fillId="2" borderId="0" xfId="0" applyFont="1" applyFill="1" applyProtection="1">
      <protection locked="0"/>
    </xf>
    <xf numFmtId="0" fontId="43" fillId="0" borderId="0" xfId="0" applyFont="1" applyProtection="1">
      <protection locked="0"/>
    </xf>
    <xf numFmtId="0" fontId="43" fillId="0" borderId="0" xfId="0" applyFont="1"/>
    <xf numFmtId="37" fontId="43" fillId="0" borderId="0" xfId="0" applyNumberFormat="1" applyFont="1" applyProtection="1">
      <protection locked="0"/>
    </xf>
    <xf numFmtId="0" fontId="28" fillId="0" borderId="1" xfId="0" applyFont="1" applyBorder="1" applyProtection="1">
      <protection locked="0"/>
    </xf>
    <xf numFmtId="37" fontId="28" fillId="0" borderId="1" xfId="0" applyNumberFormat="1" applyFont="1" applyBorder="1" applyProtection="1">
      <protection locked="0"/>
    </xf>
    <xf numFmtId="174" fontId="38" fillId="0" borderId="1" xfId="0" applyNumberFormat="1" applyFont="1" applyBorder="1" applyProtection="1">
      <protection locked="0"/>
    </xf>
    <xf numFmtId="37" fontId="49" fillId="0" borderId="0" xfId="0" applyNumberFormat="1" applyFont="1"/>
    <xf numFmtId="37" fontId="12" fillId="0" borderId="0" xfId="0" applyNumberFormat="1" applyFont="1"/>
    <xf numFmtId="37" fontId="12" fillId="0" borderId="1" xfId="0" applyNumberFormat="1" applyFont="1" applyBorder="1"/>
    <xf numFmtId="171" fontId="0" fillId="0" borderId="0" xfId="0" applyNumberFormat="1"/>
    <xf numFmtId="39" fontId="39" fillId="0" borderId="0" xfId="0" applyNumberFormat="1" applyFont="1" applyProtection="1">
      <protection locked="0"/>
    </xf>
    <xf numFmtId="0" fontId="28" fillId="0" borderId="1" xfId="0" applyFont="1" applyBorder="1"/>
    <xf numFmtId="0" fontId="34" fillId="0" borderId="1" xfId="0" applyFont="1" applyBorder="1" applyProtection="1">
      <protection locked="0"/>
    </xf>
    <xf numFmtId="172" fontId="39" fillId="0" borderId="0" xfId="0" applyNumberFormat="1" applyFont="1" applyProtection="1">
      <protection locked="0"/>
    </xf>
    <xf numFmtId="0" fontId="37" fillId="2" borderId="0" xfId="0" applyFont="1" applyFill="1" applyAlignment="1" applyProtection="1">
      <alignment horizontal="right"/>
      <protection locked="0"/>
    </xf>
    <xf numFmtId="174" fontId="39" fillId="0" borderId="0" xfId="0" applyNumberFormat="1" applyFont="1" applyProtection="1">
      <protection locked="0"/>
    </xf>
    <xf numFmtId="37" fontId="28" fillId="0" borderId="9" xfId="0" applyNumberFormat="1" applyFont="1" applyBorder="1" applyProtection="1">
      <protection locked="0"/>
    </xf>
    <xf numFmtId="0" fontId="44" fillId="0" borderId="3" xfId="0" applyFont="1" applyBorder="1"/>
    <xf numFmtId="3" fontId="39" fillId="0" borderId="0" xfId="0" applyNumberFormat="1" applyFont="1" applyProtection="1">
      <protection locked="0"/>
    </xf>
    <xf numFmtId="0" fontId="6" fillId="9" borderId="4" xfId="13" applyFont="1" applyFill="1" applyBorder="1"/>
    <xf numFmtId="0" fontId="6" fillId="9" borderId="4" xfId="13" applyFont="1" applyFill="1" applyBorder="1" applyAlignment="1">
      <alignment wrapText="1"/>
    </xf>
    <xf numFmtId="0" fontId="5" fillId="12" borderId="0" xfId="0" applyFont="1" applyFill="1"/>
    <xf numFmtId="169" fontId="2" fillId="0" borderId="0" xfId="0" applyNumberFormat="1" applyFont="1"/>
    <xf numFmtId="0" fontId="4" fillId="12" borderId="0" xfId="0" applyFont="1" applyFill="1"/>
    <xf numFmtId="0" fontId="2" fillId="12" borderId="0" xfId="0" applyFont="1" applyFill="1"/>
    <xf numFmtId="0" fontId="3" fillId="0" borderId="0" xfId="0" applyFont="1" applyAlignment="1">
      <alignment horizontal="left"/>
    </xf>
    <xf numFmtId="0" fontId="6" fillId="9" borderId="20" xfId="13" applyFont="1" applyFill="1" applyBorder="1"/>
    <xf numFmtId="0" fontId="0" fillId="9" borderId="22" xfId="0" applyFill="1" applyBorder="1"/>
    <xf numFmtId="0" fontId="6" fillId="9" borderId="16" xfId="13" applyFont="1" applyFill="1" applyBorder="1"/>
    <xf numFmtId="0" fontId="0" fillId="9" borderId="6" xfId="0" applyFill="1" applyBorder="1"/>
    <xf numFmtId="0" fontId="37" fillId="2" borderId="0" xfId="0" applyFont="1" applyFill="1"/>
    <xf numFmtId="0" fontId="34" fillId="0" borderId="0" xfId="0" applyFont="1" applyAlignment="1">
      <alignment horizontal="left" indent="1"/>
    </xf>
    <xf numFmtId="0" fontId="34" fillId="0" borderId="0" xfId="0" applyFont="1" applyAlignment="1">
      <alignment horizontal="center" vertical="center" wrapText="1"/>
    </xf>
    <xf numFmtId="0" fontId="28" fillId="0" borderId="0" xfId="0" applyFont="1" applyAlignment="1">
      <alignment horizontal="left" indent="1"/>
    </xf>
    <xf numFmtId="0" fontId="34" fillId="0" borderId="0" xfId="0" applyFont="1" applyAlignment="1">
      <alignment horizontal="left" vertical="top" indent="1"/>
    </xf>
    <xf numFmtId="0" fontId="27" fillId="0" borderId="0" xfId="5" applyFont="1" applyAlignment="1">
      <alignment vertical="center"/>
    </xf>
    <xf numFmtId="0" fontId="43" fillId="0" borderId="0" xfId="5" applyFont="1" applyAlignment="1">
      <alignment vertical="center"/>
    </xf>
    <xf numFmtId="0" fontId="28" fillId="10" borderId="0" xfId="0" applyFont="1" applyFill="1" applyAlignment="1">
      <alignment horizontal="center"/>
    </xf>
    <xf numFmtId="0" fontId="50" fillId="0" borderId="0" xfId="0" applyFont="1"/>
    <xf numFmtId="0" fontId="37" fillId="2" borderId="0" xfId="0" applyFont="1" applyFill="1" applyAlignment="1" applyProtection="1">
      <alignment horizontal="left"/>
      <protection locked="0"/>
    </xf>
    <xf numFmtId="0" fontId="37" fillId="2" borderId="0" xfId="0" applyFont="1" applyFill="1" applyAlignment="1" applyProtection="1">
      <alignment horizontal="left" indent="1"/>
      <protection locked="0"/>
    </xf>
    <xf numFmtId="165" fontId="37" fillId="2" borderId="0" xfId="0" applyNumberFormat="1" applyFont="1" applyFill="1" applyAlignment="1">
      <alignment horizontal="center"/>
    </xf>
    <xf numFmtId="0" fontId="51" fillId="2" borderId="0" xfId="0" applyFont="1" applyFill="1"/>
    <xf numFmtId="165" fontId="37" fillId="2" borderId="0" xfId="0" applyNumberFormat="1" applyFont="1" applyFill="1" applyAlignment="1" applyProtection="1">
      <alignment horizontal="center"/>
      <protection locked="0"/>
    </xf>
    <xf numFmtId="0" fontId="37" fillId="10" borderId="0" xfId="0" applyFont="1" applyFill="1" applyProtection="1">
      <protection locked="0"/>
    </xf>
    <xf numFmtId="0" fontId="35" fillId="10" borderId="0" xfId="0" applyFont="1" applyFill="1"/>
    <xf numFmtId="165" fontId="37" fillId="10" borderId="0" xfId="0" applyNumberFormat="1" applyFont="1" applyFill="1" applyProtection="1">
      <protection locked="0"/>
    </xf>
    <xf numFmtId="165" fontId="37" fillId="10" borderId="0" xfId="0" applyNumberFormat="1" applyFont="1" applyFill="1"/>
    <xf numFmtId="0" fontId="37" fillId="2" borderId="0" xfId="5" applyFont="1" applyFill="1" applyAlignment="1">
      <alignment vertical="center"/>
    </xf>
    <xf numFmtId="0" fontId="37" fillId="0" borderId="0" xfId="0" applyFont="1" applyAlignment="1" applyProtection="1">
      <alignment horizontal="left" indent="1"/>
      <protection locked="0"/>
    </xf>
    <xf numFmtId="0" fontId="27" fillId="10" borderId="0" xfId="5" applyFont="1" applyFill="1" applyAlignment="1">
      <alignment vertical="center"/>
    </xf>
    <xf numFmtId="0" fontId="43" fillId="10" borderId="0" xfId="5" applyFont="1" applyFill="1" applyAlignment="1">
      <alignment vertical="center"/>
    </xf>
    <xf numFmtId="0" fontId="27" fillId="0" borderId="23" xfId="5" applyFont="1" applyBorder="1" applyAlignment="1">
      <alignment vertical="center"/>
    </xf>
    <xf numFmtId="0" fontId="43" fillId="0" borderId="23" xfId="5" applyFont="1" applyBorder="1" applyAlignment="1">
      <alignment vertical="center"/>
    </xf>
    <xf numFmtId="0" fontId="27" fillId="0" borderId="0" xfId="5" applyFont="1" applyAlignment="1">
      <alignment horizontal="center" vertical="center"/>
    </xf>
    <xf numFmtId="0" fontId="27" fillId="0" borderId="0" xfId="5" applyFont="1" applyAlignment="1">
      <alignment horizontal="left" vertical="center" wrapText="1"/>
    </xf>
    <xf numFmtId="0" fontId="27" fillId="0" borderId="0" xfId="5" applyFont="1" applyAlignment="1">
      <alignment horizontal="left" vertical="top" wrapText="1"/>
    </xf>
    <xf numFmtId="0" fontId="25" fillId="0" borderId="0" xfId="0" applyFont="1" applyAlignment="1">
      <alignment horizontal="left" indent="1"/>
    </xf>
    <xf numFmtId="0" fontId="43" fillId="0" borderId="23" xfId="5" applyFont="1" applyBorder="1" applyAlignment="1">
      <alignment horizontal="right" vertical="center"/>
    </xf>
    <xf numFmtId="0" fontId="43" fillId="0" borderId="0" xfId="5" applyFont="1" applyAlignment="1">
      <alignment horizontal="left" vertical="center" indent="1"/>
    </xf>
    <xf numFmtId="0" fontId="53" fillId="0" borderId="0" xfId="5" applyFont="1" applyAlignment="1">
      <alignment vertical="center"/>
    </xf>
    <xf numFmtId="14" fontId="53" fillId="0" borderId="0" xfId="5" applyNumberFormat="1" applyFont="1" applyAlignment="1">
      <alignment horizontal="right" vertical="center"/>
    </xf>
    <xf numFmtId="0" fontId="6" fillId="9" borderId="19" xfId="13" applyFont="1" applyFill="1" applyBorder="1"/>
    <xf numFmtId="0" fontId="54" fillId="0" borderId="23" xfId="0" applyFont="1" applyBorder="1"/>
    <xf numFmtId="0" fontId="0" fillId="0" borderId="23" xfId="0" applyBorder="1"/>
    <xf numFmtId="0" fontId="3" fillId="0" borderId="23" xfId="0" applyFont="1" applyBorder="1"/>
    <xf numFmtId="39" fontId="0" fillId="0" borderId="0" xfId="0" applyNumberFormat="1" applyAlignment="1">
      <alignment horizontal="right"/>
    </xf>
    <xf numFmtId="0" fontId="55" fillId="2" borderId="0" xfId="0" applyFont="1" applyFill="1" applyAlignment="1">
      <alignment horizontal="right"/>
    </xf>
    <xf numFmtId="0" fontId="35" fillId="0" borderId="0" xfId="0" applyFont="1"/>
    <xf numFmtId="0" fontId="37" fillId="10" borderId="0" xfId="0" applyFont="1" applyFill="1"/>
    <xf numFmtId="37" fontId="39" fillId="0" borderId="1" xfId="0" applyNumberFormat="1" applyFont="1" applyBorder="1"/>
    <xf numFmtId="165" fontId="37" fillId="2" borderId="0" xfId="0" applyNumberFormat="1" applyFont="1" applyFill="1"/>
    <xf numFmtId="166" fontId="37" fillId="2" borderId="0" xfId="0" applyNumberFormat="1" applyFont="1" applyFill="1"/>
    <xf numFmtId="168" fontId="28" fillId="0" borderId="0" xfId="2" applyNumberFormat="1" applyFont="1"/>
    <xf numFmtId="0" fontId="28" fillId="0" borderId="0" xfId="0" applyFont="1" applyAlignment="1">
      <alignment horizontal="left" indent="3"/>
    </xf>
    <xf numFmtId="0" fontId="56" fillId="0" borderId="0" xfId="0" applyFont="1" applyAlignment="1">
      <alignment horizontal="left" indent="1"/>
    </xf>
    <xf numFmtId="9" fontId="28" fillId="0" borderId="0" xfId="2" applyFont="1"/>
    <xf numFmtId="174" fontId="24" fillId="3" borderId="0" xfId="0" applyNumberFormat="1" applyFont="1" applyFill="1" applyProtection="1">
      <protection locked="0"/>
    </xf>
    <xf numFmtId="166" fontId="37" fillId="2" borderId="0" xfId="0" applyNumberFormat="1" applyFont="1" applyFill="1" applyAlignment="1">
      <alignment horizontal="center"/>
    </xf>
    <xf numFmtId="0" fontId="28" fillId="0" borderId="0" xfId="0" applyFont="1" applyAlignment="1">
      <alignment horizontal="left" vertical="top" wrapText="1"/>
    </xf>
    <xf numFmtId="0" fontId="28" fillId="0" borderId="0" xfId="0" applyFont="1" applyAlignment="1">
      <alignment horizontal="center"/>
    </xf>
    <xf numFmtId="0" fontId="53" fillId="0" borderId="0" xfId="5" applyFont="1" applyAlignment="1">
      <alignment horizontal="right" vertical="center"/>
    </xf>
    <xf numFmtId="0" fontId="24" fillId="0" borderId="0" xfId="5" applyFont="1" applyAlignment="1">
      <alignment vertical="center"/>
    </xf>
    <xf numFmtId="0" fontId="35" fillId="2" borderId="0" xfId="0" applyFont="1" applyFill="1" applyAlignment="1" applyProtection="1">
      <alignment horizontal="left" indent="1"/>
      <protection locked="0"/>
    </xf>
    <xf numFmtId="37" fontId="39" fillId="0" borderId="3" xfId="1" applyNumberFormat="1" applyFont="1" applyFill="1" applyBorder="1" applyProtection="1"/>
    <xf numFmtId="0" fontId="57" fillId="0" borderId="0" xfId="3" applyFont="1"/>
    <xf numFmtId="168" fontId="34" fillId="0" borderId="0" xfId="2" applyNumberFormat="1" applyFont="1"/>
    <xf numFmtId="1" fontId="37" fillId="2" borderId="0" xfId="0" applyNumberFormat="1" applyFont="1" applyFill="1"/>
    <xf numFmtId="1" fontId="37" fillId="2" borderId="0" xfId="0" applyNumberFormat="1" applyFont="1" applyFill="1" applyAlignment="1">
      <alignment horizontal="right"/>
    </xf>
    <xf numFmtId="1" fontId="37" fillId="0" borderId="0" xfId="0" applyNumberFormat="1" applyFont="1"/>
    <xf numFmtId="168" fontId="34" fillId="0" borderId="0" xfId="2" applyNumberFormat="1" applyFont="1" applyAlignment="1">
      <alignment horizontal="right"/>
    </xf>
    <xf numFmtId="0" fontId="28" fillId="0" borderId="3" xfId="0" applyFont="1" applyBorder="1" applyAlignment="1">
      <alignment horizontal="left" vertical="center"/>
    </xf>
    <xf numFmtId="0" fontId="28" fillId="9" borderId="4" xfId="0" applyFont="1" applyFill="1" applyBorder="1"/>
    <xf numFmtId="0" fontId="34" fillId="0" borderId="0" xfId="0" applyFont="1" applyAlignment="1">
      <alignment horizontal="left" vertical="center" indent="1"/>
    </xf>
    <xf numFmtId="0" fontId="25" fillId="0" borderId="0" xfId="0" applyFont="1" applyAlignment="1">
      <alignment horizontal="left" indent="2"/>
    </xf>
    <xf numFmtId="37" fontId="34" fillId="3" borderId="0" xfId="2" applyNumberFormat="1" applyFont="1" applyFill="1"/>
    <xf numFmtId="0" fontId="34" fillId="0" borderId="0" xfId="0" applyFont="1" applyAlignment="1">
      <alignment horizontal="left" wrapText="1" indent="1"/>
    </xf>
    <xf numFmtId="168" fontId="25" fillId="0" borderId="0" xfId="2" applyNumberFormat="1" applyFont="1"/>
    <xf numFmtId="10" fontId="28" fillId="0" borderId="0" xfId="0" applyNumberFormat="1" applyFont="1"/>
    <xf numFmtId="165" fontId="40" fillId="0" borderId="0" xfId="0" applyNumberFormat="1" applyFont="1" applyAlignment="1">
      <alignment horizontal="center"/>
    </xf>
    <xf numFmtId="165" fontId="16" fillId="0" borderId="0" xfId="0" applyNumberFormat="1" applyFont="1" applyAlignment="1">
      <alignment horizontal="center"/>
    </xf>
    <xf numFmtId="0" fontId="28" fillId="0" borderId="0" xfId="0" applyFont="1" applyAlignment="1">
      <alignment vertical="top" wrapText="1"/>
    </xf>
    <xf numFmtId="0" fontId="51" fillId="0" borderId="0" xfId="3" applyFont="1" applyAlignment="1">
      <alignment horizontal="left" indent="1"/>
    </xf>
    <xf numFmtId="0" fontId="60" fillId="0" borderId="0" xfId="3" applyFont="1" applyAlignment="1">
      <alignment horizontal="left" indent="1"/>
    </xf>
    <xf numFmtId="0" fontId="58" fillId="0" borderId="0" xfId="3" applyFont="1" applyBorder="1" applyAlignment="1">
      <alignment horizontal="right"/>
    </xf>
    <xf numFmtId="169" fontId="8" fillId="0" borderId="0" xfId="0" applyNumberFormat="1" applyFont="1"/>
    <xf numFmtId="0" fontId="63" fillId="0" borderId="11" xfId="0" applyFont="1" applyBorder="1" applyAlignment="1">
      <alignment horizontal="right"/>
    </xf>
    <xf numFmtId="173" fontId="8" fillId="0" borderId="0" xfId="0" applyNumberFormat="1" applyFont="1"/>
    <xf numFmtId="39" fontId="8" fillId="0" borderId="0" xfId="0" applyNumberFormat="1" applyFont="1"/>
    <xf numFmtId="14" fontId="8" fillId="0" borderId="0" xfId="0" applyNumberFormat="1" applyFont="1"/>
    <xf numFmtId="0" fontId="62" fillId="0" borderId="0" xfId="0" applyFont="1"/>
    <xf numFmtId="0" fontId="55" fillId="2" borderId="0" xfId="0" applyFont="1" applyFill="1" applyAlignment="1">
      <alignment horizontal="left"/>
    </xf>
    <xf numFmtId="0" fontId="64" fillId="10" borderId="0" xfId="0" applyFont="1" applyFill="1"/>
    <xf numFmtId="0" fontId="65" fillId="0" borderId="0" xfId="0" applyFont="1"/>
    <xf numFmtId="0" fontId="64" fillId="0" borderId="0" xfId="0" applyFont="1"/>
    <xf numFmtId="0" fontId="66" fillId="0" borderId="0" xfId="0" applyFont="1"/>
    <xf numFmtId="9" fontId="27" fillId="3" borderId="0" xfId="2" applyFont="1" applyFill="1" applyProtection="1">
      <protection locked="0"/>
    </xf>
    <xf numFmtId="0" fontId="51" fillId="0" borderId="0" xfId="3" applyFont="1" applyAlignment="1">
      <alignment horizontal="left" vertical="top" indent="1"/>
    </xf>
    <xf numFmtId="0" fontId="60" fillId="0" borderId="0" xfId="3" applyFont="1" applyAlignment="1">
      <alignment horizontal="left" vertical="top" indent="1"/>
    </xf>
    <xf numFmtId="0" fontId="34" fillId="0" borderId="0" xfId="0" applyFont="1" applyAlignment="1">
      <alignment horizontal="left" vertical="center" wrapText="1" indent="1"/>
    </xf>
    <xf numFmtId="0" fontId="8" fillId="14" borderId="0" xfId="0" applyFont="1" applyFill="1"/>
    <xf numFmtId="0" fontId="15" fillId="10" borderId="0" xfId="0" applyFont="1" applyFill="1" applyProtection="1">
      <protection locked="0"/>
    </xf>
    <xf numFmtId="0" fontId="15" fillId="10" borderId="0" xfId="0" applyFont="1" applyFill="1"/>
    <xf numFmtId="0" fontId="33" fillId="10" borderId="0" xfId="0" applyFont="1" applyFill="1" applyProtection="1">
      <protection locked="0"/>
    </xf>
    <xf numFmtId="0" fontId="8" fillId="10" borderId="0" xfId="0" applyFont="1" applyFill="1"/>
    <xf numFmtId="0" fontId="28" fillId="15" borderId="0" xfId="0" applyFont="1" applyFill="1"/>
    <xf numFmtId="9" fontId="28" fillId="0" borderId="0" xfId="2" applyFont="1" applyAlignment="1">
      <alignment horizontal="center"/>
    </xf>
    <xf numFmtId="172" fontId="28" fillId="0" borderId="0" xfId="2" applyNumberFormat="1" applyFont="1" applyAlignment="1">
      <alignment horizontal="center"/>
    </xf>
    <xf numFmtId="175" fontId="28" fillId="0" borderId="0" xfId="2" applyNumberFormat="1" applyFont="1" applyAlignment="1">
      <alignment horizontal="center"/>
    </xf>
    <xf numFmtId="9" fontId="8" fillId="0" borderId="0" xfId="2" applyFont="1"/>
    <xf numFmtId="2" fontId="74" fillId="0" borderId="0" xfId="0" applyNumberFormat="1" applyFont="1"/>
    <xf numFmtId="168" fontId="74" fillId="0" borderId="0" xfId="2" applyNumberFormat="1" applyFont="1"/>
    <xf numFmtId="0" fontId="74" fillId="0" borderId="0" xfId="0" applyFont="1"/>
    <xf numFmtId="3" fontId="74" fillId="0" borderId="0" xfId="0" applyNumberFormat="1" applyFont="1"/>
    <xf numFmtId="0" fontId="75" fillId="0" borderId="0" xfId="0" applyFont="1" applyAlignment="1">
      <alignment horizontal="right"/>
    </xf>
    <xf numFmtId="0" fontId="37" fillId="15" borderId="0" xfId="0" applyFont="1" applyFill="1"/>
    <xf numFmtId="176" fontId="28" fillId="0" borderId="0" xfId="2" applyNumberFormat="1" applyFont="1" applyAlignment="1">
      <alignment horizontal="center"/>
    </xf>
    <xf numFmtId="0" fontId="43" fillId="15" borderId="0" xfId="5" applyFont="1" applyFill="1" applyAlignment="1">
      <alignment vertical="center"/>
    </xf>
    <xf numFmtId="0" fontId="27" fillId="15" borderId="0" xfId="5" applyFont="1" applyFill="1" applyAlignment="1">
      <alignment vertical="center"/>
    </xf>
    <xf numFmtId="0" fontId="28" fillId="10" borderId="0" xfId="0" applyFont="1" applyFill="1" applyAlignment="1">
      <alignment horizontal="left" indent="1"/>
    </xf>
    <xf numFmtId="0" fontId="37" fillId="15" borderId="0" xfId="0" applyFont="1" applyFill="1" applyAlignment="1">
      <alignment horizontal="left"/>
    </xf>
    <xf numFmtId="0" fontId="61" fillId="15" borderId="0" xfId="0" applyFont="1" applyFill="1" applyAlignment="1">
      <alignment horizontal="center"/>
    </xf>
    <xf numFmtId="9" fontId="28" fillId="0" borderId="0" xfId="0" applyNumberFormat="1" applyFont="1" applyProtection="1">
      <protection locked="0"/>
    </xf>
    <xf numFmtId="39" fontId="28" fillId="0" borderId="0" xfId="0" applyNumberFormat="1" applyFont="1"/>
    <xf numFmtId="0" fontId="35" fillId="2" borderId="0" xfId="0" applyFont="1" applyFill="1" applyAlignment="1">
      <alignment horizontal="right"/>
    </xf>
    <xf numFmtId="9" fontId="35" fillId="2" borderId="0" xfId="0" applyNumberFormat="1" applyFont="1" applyFill="1" applyAlignment="1">
      <alignment horizontal="right"/>
    </xf>
    <xf numFmtId="168" fontId="26" fillId="9" borderId="4" xfId="0" applyNumberFormat="1" applyFont="1" applyFill="1" applyBorder="1" applyProtection="1">
      <protection locked="0"/>
    </xf>
    <xf numFmtId="172" fontId="26" fillId="9" borderId="4" xfId="0" applyNumberFormat="1" applyFont="1" applyFill="1" applyBorder="1" applyProtection="1">
      <protection locked="0"/>
    </xf>
    <xf numFmtId="168" fontId="27" fillId="0" borderId="0" xfId="0" applyNumberFormat="1" applyFont="1" applyProtection="1">
      <protection locked="0"/>
    </xf>
    <xf numFmtId="172" fontId="27" fillId="0" borderId="0" xfId="0" applyNumberFormat="1" applyFont="1" applyProtection="1">
      <protection locked="0"/>
    </xf>
    <xf numFmtId="177" fontId="8" fillId="10" borderId="0" xfId="0" applyNumberFormat="1" applyFont="1" applyFill="1"/>
    <xf numFmtId="177" fontId="5" fillId="10" borderId="0" xfId="0" applyNumberFormat="1" applyFont="1" applyFill="1"/>
    <xf numFmtId="0" fontId="43" fillId="0" borderId="0" xfId="0" applyFont="1" applyAlignment="1" applyProtection="1">
      <alignment horizontal="right"/>
      <protection locked="0"/>
    </xf>
    <xf numFmtId="0" fontId="26" fillId="0" borderId="0" xfId="0" applyFont="1" applyProtection="1">
      <protection locked="0"/>
    </xf>
    <xf numFmtId="168" fontId="27" fillId="0" borderId="0" xfId="2" applyNumberFormat="1" applyFont="1" applyProtection="1">
      <protection locked="0"/>
    </xf>
    <xf numFmtId="165" fontId="28" fillId="0" borderId="0" xfId="0" applyNumberFormat="1" applyFont="1" applyProtection="1">
      <protection locked="0"/>
    </xf>
    <xf numFmtId="166" fontId="28" fillId="0" borderId="0" xfId="0" applyNumberFormat="1" applyFont="1" applyProtection="1">
      <protection locked="0"/>
    </xf>
    <xf numFmtId="0" fontId="34" fillId="16" borderId="18" xfId="0" applyFont="1" applyFill="1" applyBorder="1" applyAlignment="1">
      <alignment horizontal="left" indent="1"/>
    </xf>
    <xf numFmtId="168" fontId="23" fillId="0" borderId="0" xfId="2" applyNumberFormat="1" applyFont="1" applyFill="1" applyBorder="1" applyProtection="1">
      <protection locked="0"/>
    </xf>
    <xf numFmtId="3" fontId="35" fillId="0" borderId="0" xfId="0" applyNumberFormat="1" applyFont="1"/>
    <xf numFmtId="37" fontId="35" fillId="0" borderId="0" xfId="0" applyNumberFormat="1" applyFont="1"/>
    <xf numFmtId="178" fontId="23" fillId="9" borderId="4" xfId="2" applyNumberFormat="1" applyFont="1" applyFill="1" applyBorder="1" applyProtection="1">
      <protection locked="0"/>
    </xf>
    <xf numFmtId="0" fontId="76" fillId="0" borderId="0" xfId="0" applyFont="1"/>
    <xf numFmtId="2" fontId="26" fillId="9" borderId="4" xfId="0" applyNumberFormat="1" applyFont="1" applyFill="1" applyBorder="1" applyProtection="1">
      <protection locked="0"/>
    </xf>
    <xf numFmtId="2" fontId="26" fillId="9" borderId="4" xfId="0" applyNumberFormat="1" applyFont="1" applyFill="1" applyBorder="1"/>
    <xf numFmtId="0" fontId="42" fillId="2" borderId="0" xfId="0" applyFont="1" applyFill="1"/>
    <xf numFmtId="0" fontId="37" fillId="2" borderId="0" xfId="0" applyFont="1" applyFill="1" applyAlignment="1">
      <alignment horizontal="center"/>
    </xf>
    <xf numFmtId="0" fontId="28" fillId="0" borderId="0" xfId="0" applyFont="1" applyAlignment="1">
      <alignment horizontal="right"/>
    </xf>
    <xf numFmtId="37" fontId="28" fillId="0" borderId="0" xfId="1" applyNumberFormat="1" applyFont="1" applyAlignment="1">
      <alignment horizontal="right" wrapText="1"/>
    </xf>
    <xf numFmtId="171" fontId="28" fillId="0" borderId="0" xfId="1" applyNumberFormat="1" applyFont="1" applyAlignment="1">
      <alignment horizontal="right"/>
    </xf>
    <xf numFmtId="171" fontId="28" fillId="0" borderId="25" xfId="1" applyNumberFormat="1" applyFont="1" applyBorder="1" applyAlignment="1">
      <alignment horizontal="right"/>
    </xf>
    <xf numFmtId="0" fontId="28" fillId="0" borderId="25" xfId="0" applyFont="1" applyBorder="1"/>
    <xf numFmtId="0" fontId="34" fillId="11" borderId="14" xfId="0" applyFont="1" applyFill="1" applyBorder="1"/>
    <xf numFmtId="0" fontId="28" fillId="11" borderId="9" xfId="0" applyFont="1" applyFill="1" applyBorder="1"/>
    <xf numFmtId="171" fontId="34" fillId="11" borderId="9" xfId="0" applyNumberFormat="1" applyFont="1" applyFill="1" applyBorder="1"/>
    <xf numFmtId="171" fontId="34" fillId="11" borderId="26" xfId="0" applyNumberFormat="1" applyFont="1" applyFill="1" applyBorder="1"/>
    <xf numFmtId="168" fontId="34" fillId="11" borderId="9" xfId="2" applyNumberFormat="1" applyFont="1" applyFill="1" applyBorder="1"/>
    <xf numFmtId="0" fontId="28" fillId="11" borderId="26" xfId="0" applyFont="1" applyFill="1" applyBorder="1"/>
    <xf numFmtId="0" fontId="34" fillId="11" borderId="15" xfId="0" applyFont="1" applyFill="1" applyBorder="1"/>
    <xf numFmtId="0" fontId="28" fillId="11" borderId="1" xfId="0" applyFont="1" applyFill="1" applyBorder="1"/>
    <xf numFmtId="171" fontId="34" fillId="11" borderId="1" xfId="0" applyNumberFormat="1" applyFont="1" applyFill="1" applyBorder="1"/>
    <xf numFmtId="171" fontId="34" fillId="11" borderId="24" xfId="0" applyNumberFormat="1" applyFont="1" applyFill="1" applyBorder="1"/>
    <xf numFmtId="168" fontId="34" fillId="11" borderId="1" xfId="2" applyNumberFormat="1" applyFont="1" applyFill="1" applyBorder="1"/>
    <xf numFmtId="0" fontId="28" fillId="11" borderId="24" xfId="0" applyFont="1" applyFill="1" applyBorder="1"/>
    <xf numFmtId="0" fontId="28" fillId="0" borderId="24" xfId="0" applyFont="1" applyBorder="1"/>
    <xf numFmtId="9" fontId="28" fillId="11" borderId="12" xfId="0" applyNumberFormat="1" applyFont="1" applyFill="1" applyBorder="1"/>
    <xf numFmtId="9" fontId="28" fillId="11" borderId="13" xfId="0" applyNumberFormat="1" applyFont="1" applyFill="1" applyBorder="1"/>
    <xf numFmtId="14" fontId="28" fillId="0" borderId="0" xfId="0" applyNumberFormat="1" applyFont="1"/>
    <xf numFmtId="14" fontId="35" fillId="2" borderId="0" xfId="0" applyNumberFormat="1" applyFont="1" applyFill="1"/>
    <xf numFmtId="14" fontId="28" fillId="10" borderId="0" xfId="0" applyNumberFormat="1" applyFont="1" applyFill="1"/>
    <xf numFmtId="170" fontId="28" fillId="0" borderId="0" xfId="9" applyNumberFormat="1" applyFont="1" applyFill="1" applyAlignment="1">
      <alignment horizontal="right"/>
    </xf>
    <xf numFmtId="0" fontId="35" fillId="2" borderId="10" xfId="0" applyFont="1" applyFill="1" applyBorder="1"/>
    <xf numFmtId="0" fontId="37" fillId="2" borderId="10" xfId="0" applyFont="1" applyFill="1" applyBorder="1" applyAlignment="1">
      <alignment horizontal="right"/>
    </xf>
    <xf numFmtId="170" fontId="28" fillId="0" borderId="0" xfId="9" applyNumberFormat="1" applyFont="1" applyFill="1" applyAlignment="1">
      <alignment horizontal="left" indent="1"/>
    </xf>
    <xf numFmtId="10" fontId="26" fillId="9" borderId="4" xfId="2" applyNumberFormat="1" applyFont="1" applyFill="1" applyBorder="1"/>
    <xf numFmtId="168" fontId="28" fillId="0" borderId="0" xfId="2" applyNumberFormat="1" applyFont="1" applyFill="1" applyAlignment="1">
      <alignment horizontal="right"/>
    </xf>
    <xf numFmtId="0" fontId="56" fillId="0" borderId="0" xfId="0" applyFont="1" applyAlignment="1">
      <alignment horizontal="left" indent="3"/>
    </xf>
    <xf numFmtId="37" fontId="39" fillId="0" borderId="0" xfId="9" applyNumberFormat="1" applyFont="1" applyFill="1" applyAlignment="1">
      <alignment horizontal="right"/>
    </xf>
    <xf numFmtId="0" fontId="25" fillId="0" borderId="0" xfId="0" applyFont="1" applyAlignment="1">
      <alignment horizontal="left" indent="4"/>
    </xf>
    <xf numFmtId="4" fontId="39" fillId="0" borderId="0" xfId="2" applyNumberFormat="1" applyFont="1" applyFill="1" applyBorder="1"/>
    <xf numFmtId="4" fontId="28" fillId="0" borderId="0" xfId="2" applyNumberFormat="1" applyFont="1" applyFill="1" applyBorder="1"/>
    <xf numFmtId="10" fontId="28" fillId="0" borderId="0" xfId="2" applyNumberFormat="1" applyFont="1" applyFill="1" applyBorder="1"/>
    <xf numFmtId="10" fontId="38" fillId="0" borderId="1" xfId="2" applyNumberFormat="1" applyFont="1" applyFill="1" applyBorder="1"/>
    <xf numFmtId="2" fontId="28" fillId="0" borderId="0" xfId="0" applyNumberFormat="1" applyFont="1"/>
    <xf numFmtId="10" fontId="34" fillId="11" borderId="18" xfId="0" applyNumberFormat="1" applyFont="1" applyFill="1" applyBorder="1" applyAlignment="1">
      <alignment horizontal="left" indent="1"/>
    </xf>
    <xf numFmtId="10" fontId="34" fillId="11" borderId="7" xfId="0" applyNumberFormat="1" applyFont="1" applyFill="1" applyBorder="1"/>
    <xf numFmtId="0" fontId="34" fillId="0" borderId="0" xfId="0" applyFont="1" applyAlignment="1">
      <alignment horizontal="left" indent="5"/>
    </xf>
    <xf numFmtId="10" fontId="34" fillId="0" borderId="0" xfId="2" applyNumberFormat="1" applyFont="1" applyFill="1" applyBorder="1"/>
    <xf numFmtId="10" fontId="56" fillId="0" borderId="0" xfId="2" applyNumberFormat="1" applyFont="1" applyFill="1" applyBorder="1"/>
    <xf numFmtId="37" fontId="28" fillId="0" borderId="1" xfId="0" applyNumberFormat="1" applyFont="1" applyBorder="1"/>
    <xf numFmtId="3" fontId="28" fillId="0" borderId="0" xfId="0" applyNumberFormat="1" applyFont="1"/>
    <xf numFmtId="3" fontId="39" fillId="0" borderId="0" xfId="0" applyNumberFormat="1" applyFont="1"/>
    <xf numFmtId="168" fontId="39" fillId="0" borderId="1" xfId="2" applyNumberFormat="1" applyFont="1" applyFill="1" applyBorder="1"/>
    <xf numFmtId="10" fontId="28" fillId="9" borderId="4" xfId="2" applyNumberFormat="1" applyFont="1" applyFill="1" applyBorder="1"/>
    <xf numFmtId="0" fontId="34" fillId="11" borderId="18" xfId="0" applyFont="1" applyFill="1" applyBorder="1" applyAlignment="1">
      <alignment horizontal="left" indent="1"/>
    </xf>
    <xf numFmtId="0" fontId="28" fillId="11" borderId="7" xfId="0" applyFont="1" applyFill="1" applyBorder="1"/>
    <xf numFmtId="10" fontId="34" fillId="11" borderId="7" xfId="2" applyNumberFormat="1" applyFont="1" applyFill="1" applyBorder="1"/>
    <xf numFmtId="10" fontId="34" fillId="11" borderId="17" xfId="2" applyNumberFormat="1" applyFont="1" applyFill="1" applyBorder="1"/>
    <xf numFmtId="9" fontId="28" fillId="0" borderId="0" xfId="0" applyNumberFormat="1" applyFont="1"/>
    <xf numFmtId="0" fontId="28" fillId="16" borderId="7" xfId="0" applyFont="1" applyFill="1" applyBorder="1"/>
    <xf numFmtId="10" fontId="34" fillId="16" borderId="7" xfId="2" applyNumberFormat="1" applyFont="1" applyFill="1" applyBorder="1"/>
    <xf numFmtId="10" fontId="34" fillId="16" borderId="17" xfId="2" applyNumberFormat="1" applyFont="1" applyFill="1" applyBorder="1"/>
    <xf numFmtId="3" fontId="77" fillId="0" borderId="0" xfId="0" applyNumberFormat="1" applyFont="1"/>
    <xf numFmtId="0" fontId="28" fillId="0" borderId="0" xfId="0" applyFont="1" applyAlignment="1" applyProtection="1">
      <alignment horizontal="center" indent="3"/>
      <protection locked="0"/>
    </xf>
    <xf numFmtId="0" fontId="7" fillId="0" borderId="0" xfId="3" applyAlignment="1">
      <alignment horizontal="left" vertical="top" indent="1"/>
    </xf>
    <xf numFmtId="179" fontId="74" fillId="0" borderId="0" xfId="0" applyNumberFormat="1" applyFont="1"/>
    <xf numFmtId="0" fontId="28" fillId="0" borderId="0" xfId="0" applyFont="1" applyAlignment="1">
      <alignment horizontal="left" vertical="center" wrapText="1"/>
    </xf>
    <xf numFmtId="10" fontId="25" fillId="3" borderId="0" xfId="2" applyNumberFormat="1" applyFont="1" applyFill="1"/>
    <xf numFmtId="0" fontId="28" fillId="0" borderId="0" xfId="0" applyFont="1" applyAlignment="1">
      <alignment horizontal="left" wrapText="1" indent="1"/>
    </xf>
    <xf numFmtId="10" fontId="34" fillId="0" borderId="0" xfId="0" applyNumberFormat="1" applyFont="1" applyProtection="1">
      <protection locked="0"/>
    </xf>
    <xf numFmtId="4" fontId="28" fillId="0" borderId="0" xfId="0" applyNumberFormat="1" applyFont="1"/>
    <xf numFmtId="166" fontId="16" fillId="2" borderId="10" xfId="0" applyNumberFormat="1" applyFont="1" applyFill="1" applyBorder="1" applyAlignment="1">
      <alignment horizontal="center"/>
    </xf>
    <xf numFmtId="165" fontId="16" fillId="2" borderId="10" xfId="0" applyNumberFormat="1" applyFont="1" applyFill="1" applyBorder="1" applyAlignment="1">
      <alignment horizontal="center"/>
    </xf>
    <xf numFmtId="165" fontId="16" fillId="2" borderId="10" xfId="0" applyNumberFormat="1" applyFont="1" applyFill="1" applyBorder="1"/>
    <xf numFmtId="166" fontId="16" fillId="2" borderId="10" xfId="0" applyNumberFormat="1" applyFont="1" applyFill="1" applyBorder="1"/>
    <xf numFmtId="0" fontId="82" fillId="0" borderId="0" xfId="0" applyFont="1" applyProtection="1">
      <protection locked="0"/>
    </xf>
    <xf numFmtId="0" fontId="82" fillId="0" borderId="0" xfId="0" applyFont="1"/>
    <xf numFmtId="0" fontId="83" fillId="0" borderId="0" xfId="0" applyFont="1" applyProtection="1">
      <protection locked="0"/>
    </xf>
    <xf numFmtId="165" fontId="82" fillId="0" borderId="0" xfId="0" applyNumberFormat="1" applyFont="1" applyProtection="1">
      <protection locked="0"/>
    </xf>
    <xf numFmtId="166" fontId="82" fillId="0" borderId="0" xfId="0" applyNumberFormat="1" applyFont="1" applyProtection="1">
      <protection locked="0"/>
    </xf>
    <xf numFmtId="180" fontId="28" fillId="0" borderId="0" xfId="0" applyNumberFormat="1" applyFont="1" applyProtection="1">
      <protection locked="0"/>
    </xf>
    <xf numFmtId="10" fontId="82" fillId="0" borderId="0" xfId="0" applyNumberFormat="1" applyFont="1" applyProtection="1">
      <protection locked="0"/>
    </xf>
    <xf numFmtId="0" fontId="17" fillId="2" borderId="27" xfId="0" applyFont="1" applyFill="1" applyBorder="1" applyProtection="1">
      <protection locked="0"/>
    </xf>
    <xf numFmtId="0" fontId="17" fillId="2" borderId="28" xfId="0" applyFont="1" applyFill="1" applyBorder="1" applyProtection="1">
      <protection locked="0"/>
    </xf>
    <xf numFmtId="0" fontId="17" fillId="2" borderId="29" xfId="0" applyFont="1" applyFill="1" applyBorder="1" applyProtection="1">
      <protection locked="0"/>
    </xf>
    <xf numFmtId="165" fontId="16" fillId="2" borderId="32" xfId="0" applyNumberFormat="1" applyFont="1" applyFill="1" applyBorder="1" applyAlignment="1" applyProtection="1">
      <alignment horizontal="center"/>
      <protection locked="0"/>
    </xf>
    <xf numFmtId="165" fontId="16" fillId="2" borderId="5" xfId="0" applyNumberFormat="1" applyFont="1" applyFill="1" applyBorder="1" applyAlignment="1" applyProtection="1">
      <alignment horizontal="center"/>
      <protection locked="0"/>
    </xf>
    <xf numFmtId="0" fontId="28" fillId="0" borderId="32" xfId="0" applyFont="1" applyBorder="1" applyProtection="1">
      <protection locked="0"/>
    </xf>
    <xf numFmtId="0" fontId="28" fillId="0" borderId="5" xfId="0" applyFont="1" applyBorder="1" applyProtection="1">
      <protection locked="0"/>
    </xf>
    <xf numFmtId="180" fontId="28" fillId="0" borderId="32" xfId="0" applyNumberFormat="1" applyFont="1" applyBorder="1" applyProtection="1">
      <protection locked="0"/>
    </xf>
    <xf numFmtId="180" fontId="28" fillId="0" borderId="5" xfId="0" applyNumberFormat="1" applyFont="1" applyBorder="1" applyProtection="1">
      <protection locked="0"/>
    </xf>
    <xf numFmtId="10" fontId="82" fillId="0" borderId="32" xfId="0" applyNumberFormat="1" applyFont="1" applyBorder="1" applyProtection="1">
      <protection locked="0"/>
    </xf>
    <xf numFmtId="10" fontId="82" fillId="0" borderId="5" xfId="0" applyNumberFormat="1" applyFont="1" applyBorder="1" applyProtection="1">
      <protection locked="0"/>
    </xf>
    <xf numFmtId="165" fontId="16" fillId="2" borderId="30" xfId="0" applyNumberFormat="1" applyFont="1" applyFill="1" applyBorder="1" applyAlignment="1">
      <alignment horizontal="center"/>
    </xf>
    <xf numFmtId="165" fontId="16" fillId="2" borderId="31" xfId="0" applyNumberFormat="1" applyFont="1" applyFill="1" applyBorder="1" applyAlignment="1">
      <alignment horizontal="center"/>
    </xf>
    <xf numFmtId="0" fontId="47" fillId="2" borderId="0" xfId="0" applyFont="1" applyFill="1" applyAlignment="1">
      <alignment horizontal="center"/>
    </xf>
    <xf numFmtId="0" fontId="28" fillId="18" borderId="0" xfId="0" applyFont="1" applyFill="1" applyProtection="1">
      <protection locked="0"/>
    </xf>
    <xf numFmtId="0" fontId="28" fillId="18" borderId="0" xfId="0" applyFont="1" applyFill="1"/>
    <xf numFmtId="0" fontId="28" fillId="18" borderId="32" xfId="0" applyFont="1" applyFill="1" applyBorder="1" applyProtection="1">
      <protection locked="0"/>
    </xf>
    <xf numFmtId="0" fontId="28" fillId="18" borderId="5" xfId="0" applyFont="1" applyFill="1" applyBorder="1" applyProtection="1">
      <protection locked="0"/>
    </xf>
    <xf numFmtId="9" fontId="28" fillId="5" borderId="0" xfId="2" applyFont="1" applyFill="1" applyAlignment="1">
      <alignment horizontal="center"/>
    </xf>
    <xf numFmtId="0" fontId="84" fillId="0" borderId="0" xfId="0" applyFont="1"/>
    <xf numFmtId="0" fontId="67" fillId="0" borderId="0" xfId="0" applyFont="1" applyProtection="1">
      <protection locked="0"/>
    </xf>
    <xf numFmtId="0" fontId="6" fillId="19" borderId="16" xfId="13" applyFont="1" applyFill="1" applyBorder="1"/>
    <xf numFmtId="181" fontId="82" fillId="0" borderId="32" xfId="0" applyNumberFormat="1" applyFont="1" applyBorder="1" applyProtection="1">
      <protection locked="0"/>
    </xf>
    <xf numFmtId="10" fontId="17" fillId="2" borderId="0" xfId="0" applyNumberFormat="1" applyFont="1" applyFill="1" applyProtection="1">
      <protection locked="0"/>
    </xf>
    <xf numFmtId="0" fontId="85" fillId="0" borderId="0" xfId="0" applyFont="1" applyProtection="1">
      <protection locked="0"/>
    </xf>
    <xf numFmtId="0" fontId="28" fillId="18" borderId="27" xfId="0" applyFont="1" applyFill="1" applyBorder="1" applyProtection="1">
      <protection locked="0"/>
    </xf>
    <xf numFmtId="0" fontId="28" fillId="18" borderId="28" xfId="0" applyFont="1" applyFill="1" applyBorder="1"/>
    <xf numFmtId="0" fontId="28" fillId="18" borderId="28" xfId="0" applyFont="1" applyFill="1" applyBorder="1" applyProtection="1">
      <protection locked="0"/>
    </xf>
    <xf numFmtId="0" fontId="28" fillId="18" borderId="29" xfId="0" applyFont="1" applyFill="1" applyBorder="1" applyProtection="1">
      <protection locked="0"/>
    </xf>
    <xf numFmtId="0" fontId="82" fillId="0" borderId="32" xfId="0" applyFont="1" applyBorder="1" applyProtection="1">
      <protection locked="0"/>
    </xf>
    <xf numFmtId="0" fontId="28" fillId="0" borderId="36" xfId="0" applyFont="1" applyBorder="1" applyProtection="1">
      <protection locked="0"/>
    </xf>
    <xf numFmtId="0" fontId="28" fillId="0" borderId="37" xfId="0" applyFont="1" applyBorder="1"/>
    <xf numFmtId="180" fontId="28" fillId="0" borderId="36" xfId="0" applyNumberFormat="1" applyFont="1" applyBorder="1" applyProtection="1">
      <protection locked="0"/>
    </xf>
    <xf numFmtId="180" fontId="28" fillId="0" borderId="0" xfId="0" applyNumberFormat="1" applyFont="1"/>
    <xf numFmtId="0" fontId="28" fillId="18" borderId="39" xfId="0" applyFont="1" applyFill="1" applyBorder="1" applyProtection="1">
      <protection locked="0"/>
    </xf>
    <xf numFmtId="0" fontId="28" fillId="18" borderId="40" xfId="0" applyFont="1" applyFill="1" applyBorder="1"/>
    <xf numFmtId="0" fontId="28" fillId="18" borderId="41" xfId="0" applyFont="1" applyFill="1" applyBorder="1" applyProtection="1">
      <protection locked="0"/>
    </xf>
    <xf numFmtId="0" fontId="28" fillId="18" borderId="40" xfId="0" applyFont="1" applyFill="1" applyBorder="1" applyProtection="1">
      <protection locked="0"/>
    </xf>
    <xf numFmtId="0" fontId="28" fillId="18" borderId="42" xfId="0" applyFont="1" applyFill="1" applyBorder="1" applyProtection="1">
      <protection locked="0"/>
    </xf>
    <xf numFmtId="0" fontId="28" fillId="18" borderId="43" xfId="0" applyFont="1" applyFill="1" applyBorder="1" applyProtection="1">
      <protection locked="0"/>
    </xf>
    <xf numFmtId="0" fontId="28" fillId="0" borderId="44" xfId="0" applyFont="1" applyBorder="1" applyProtection="1">
      <protection locked="0"/>
    </xf>
    <xf numFmtId="180" fontId="28" fillId="0" borderId="45" xfId="0" applyNumberFormat="1" applyFont="1" applyBorder="1" applyProtection="1">
      <protection locked="0"/>
    </xf>
    <xf numFmtId="0" fontId="28" fillId="0" borderId="46" xfId="0" applyFont="1" applyBorder="1" applyProtection="1">
      <protection locked="0"/>
    </xf>
    <xf numFmtId="0" fontId="28" fillId="0" borderId="47" xfId="0" applyFont="1" applyBorder="1"/>
    <xf numFmtId="180" fontId="28" fillId="0" borderId="48" xfId="0" applyNumberFormat="1" applyFont="1" applyBorder="1" applyProtection="1">
      <protection locked="0"/>
    </xf>
    <xf numFmtId="180" fontId="28" fillId="0" borderId="47" xfId="0" applyNumberFormat="1" applyFont="1" applyBorder="1" applyProtection="1">
      <protection locked="0"/>
    </xf>
    <xf numFmtId="180" fontId="28" fillId="0" borderId="49" xfId="0" applyNumberFormat="1" applyFont="1" applyBorder="1" applyProtection="1">
      <protection locked="0"/>
    </xf>
    <xf numFmtId="180" fontId="28" fillId="0" borderId="50" xfId="0" applyNumberFormat="1" applyFont="1" applyBorder="1" applyProtection="1">
      <protection locked="0"/>
    </xf>
    <xf numFmtId="0" fontId="34" fillId="0" borderId="0" xfId="0" applyFont="1" applyAlignment="1">
      <alignment horizontal="center" vertical="center"/>
    </xf>
    <xf numFmtId="10" fontId="26" fillId="5" borderId="4" xfId="2" applyNumberFormat="1" applyFont="1" applyFill="1" applyBorder="1"/>
    <xf numFmtId="0" fontId="28" fillId="20" borderId="0" xfId="0" applyFont="1" applyFill="1" applyProtection="1">
      <protection locked="0"/>
    </xf>
    <xf numFmtId="3" fontId="26" fillId="5" borderId="4" xfId="0" applyNumberFormat="1" applyFont="1" applyFill="1" applyBorder="1"/>
    <xf numFmtId="0" fontId="82" fillId="5" borderId="32" xfId="0" applyFont="1" applyFill="1" applyBorder="1" applyProtection="1">
      <protection locked="0"/>
    </xf>
    <xf numFmtId="0" fontId="82" fillId="5" borderId="0" xfId="0" applyFont="1" applyFill="1"/>
    <xf numFmtId="0" fontId="81" fillId="0" borderId="0" xfId="0" applyFont="1" applyAlignment="1">
      <alignment horizontal="left" indent="1"/>
    </xf>
    <xf numFmtId="37" fontId="27" fillId="0" borderId="0" xfId="1" applyNumberFormat="1" applyFont="1" applyProtection="1">
      <protection locked="0"/>
    </xf>
    <xf numFmtId="37" fontId="39" fillId="0" borderId="0" xfId="1" applyNumberFormat="1" applyFont="1" applyProtection="1">
      <protection locked="0"/>
    </xf>
    <xf numFmtId="180" fontId="28" fillId="0" borderId="37" xfId="0" applyNumberFormat="1" applyFont="1" applyBorder="1" applyProtection="1">
      <protection locked="0"/>
    </xf>
    <xf numFmtId="180" fontId="28" fillId="0" borderId="38" xfId="0" applyNumberFormat="1" applyFont="1" applyBorder="1" applyProtection="1">
      <protection locked="0"/>
    </xf>
    <xf numFmtId="0" fontId="33" fillId="11" borderId="18" xfId="0" applyFont="1" applyFill="1" applyBorder="1" applyAlignment="1">
      <alignment horizontal="left" indent="1"/>
    </xf>
    <xf numFmtId="0" fontId="33" fillId="11" borderId="7" xfId="0" applyFont="1" applyFill="1" applyBorder="1"/>
    <xf numFmtId="0" fontId="33" fillId="11" borderId="33" xfId="0" applyFont="1" applyFill="1" applyBorder="1" applyProtection="1">
      <protection locked="0"/>
    </xf>
    <xf numFmtId="0" fontId="33" fillId="11" borderId="34" xfId="0" applyFont="1" applyFill="1" applyBorder="1" applyProtection="1">
      <protection locked="0"/>
    </xf>
    <xf numFmtId="0" fontId="33" fillId="11" borderId="35" xfId="0" applyFont="1" applyFill="1" applyBorder="1" applyProtection="1">
      <protection locked="0"/>
    </xf>
    <xf numFmtId="0" fontId="33" fillId="11" borderId="7" xfId="0" applyFont="1" applyFill="1" applyBorder="1" applyProtection="1">
      <protection locked="0"/>
    </xf>
    <xf numFmtId="0" fontId="33" fillId="11" borderId="17" xfId="0" applyFont="1" applyFill="1" applyBorder="1"/>
    <xf numFmtId="37" fontId="33" fillId="11" borderId="7" xfId="0" applyNumberFormat="1" applyFont="1" applyFill="1" applyBorder="1" applyProtection="1">
      <protection locked="0"/>
    </xf>
    <xf numFmtId="37" fontId="33" fillId="11" borderId="7" xfId="0" applyNumberFormat="1" applyFont="1" applyFill="1" applyBorder="1"/>
    <xf numFmtId="0" fontId="33" fillId="11" borderId="17" xfId="0" applyFont="1" applyFill="1" applyBorder="1" applyProtection="1">
      <protection locked="0"/>
    </xf>
    <xf numFmtId="37" fontId="39" fillId="0" borderId="0" xfId="1" applyNumberFormat="1" applyFont="1"/>
    <xf numFmtId="180" fontId="27" fillId="0" borderId="0" xfId="0" applyNumberFormat="1" applyFont="1" applyProtection="1">
      <protection locked="0"/>
    </xf>
    <xf numFmtId="2" fontId="27" fillId="0" borderId="0" xfId="0" applyNumberFormat="1" applyFont="1" applyProtection="1">
      <protection locked="0"/>
    </xf>
    <xf numFmtId="14" fontId="28" fillId="0" borderId="0" xfId="0" applyNumberFormat="1" applyFont="1" applyProtection="1">
      <protection locked="0"/>
    </xf>
    <xf numFmtId="0" fontId="7" fillId="0" borderId="0" xfId="3" applyProtection="1">
      <protection locked="0"/>
    </xf>
    <xf numFmtId="0" fontId="88" fillId="0" borderId="0" xfId="0" applyFont="1" applyAlignment="1">
      <alignment horizontal="left" indent="1"/>
    </xf>
    <xf numFmtId="10" fontId="88" fillId="0" borderId="0" xfId="0" applyNumberFormat="1" applyFont="1"/>
    <xf numFmtId="0" fontId="88" fillId="0" borderId="0" xfId="0" applyFont="1"/>
    <xf numFmtId="0" fontId="28" fillId="0" borderId="37" xfId="0" applyFont="1" applyBorder="1" applyProtection="1">
      <protection locked="0"/>
    </xf>
    <xf numFmtId="37" fontId="28" fillId="0" borderId="37" xfId="0" applyNumberFormat="1" applyFont="1" applyBorder="1" applyProtection="1">
      <protection locked="0"/>
    </xf>
    <xf numFmtId="10" fontId="88" fillId="0" borderId="0" xfId="0" applyNumberFormat="1" applyFont="1" applyProtection="1">
      <protection locked="0"/>
    </xf>
    <xf numFmtId="10" fontId="82" fillId="0" borderId="3" xfId="0" applyNumberFormat="1" applyFont="1" applyBorder="1" applyProtection="1">
      <protection locked="0"/>
    </xf>
    <xf numFmtId="2" fontId="89" fillId="9" borderId="4" xfId="0" applyNumberFormat="1" applyFont="1" applyFill="1" applyBorder="1" applyProtection="1">
      <protection locked="0"/>
    </xf>
    <xf numFmtId="2" fontId="89" fillId="9" borderId="4" xfId="0" applyNumberFormat="1" applyFont="1" applyFill="1" applyBorder="1"/>
    <xf numFmtId="9" fontId="82" fillId="0" borderId="0" xfId="0" applyNumberFormat="1" applyFont="1" applyProtection="1">
      <protection locked="0"/>
    </xf>
    <xf numFmtId="182" fontId="28" fillId="0" borderId="5" xfId="0" applyNumberFormat="1" applyFont="1" applyBorder="1" applyProtection="1">
      <protection locked="0"/>
    </xf>
    <xf numFmtId="181" fontId="82" fillId="0" borderId="5" xfId="0" applyNumberFormat="1" applyFont="1" applyBorder="1" applyProtection="1">
      <protection locked="0"/>
    </xf>
    <xf numFmtId="10" fontId="82" fillId="5" borderId="0" xfId="0" applyNumberFormat="1" applyFont="1" applyFill="1" applyProtection="1">
      <protection locked="0"/>
    </xf>
    <xf numFmtId="10" fontId="90" fillId="5" borderId="0" xfId="0" applyNumberFormat="1" applyFont="1" applyFill="1" applyProtection="1">
      <protection locked="0"/>
    </xf>
    <xf numFmtId="182" fontId="28" fillId="0" borderId="0" xfId="0" applyNumberFormat="1" applyFont="1" applyProtection="1">
      <protection locked="0"/>
    </xf>
    <xf numFmtId="181" fontId="82" fillId="0" borderId="0" xfId="0" applyNumberFormat="1" applyFont="1" applyProtection="1">
      <protection locked="0"/>
    </xf>
    <xf numFmtId="10" fontId="39" fillId="5" borderId="0" xfId="0" applyNumberFormat="1" applyFont="1" applyFill="1"/>
    <xf numFmtId="10" fontId="28" fillId="5" borderId="4" xfId="2" applyNumberFormat="1" applyFont="1" applyFill="1" applyBorder="1"/>
    <xf numFmtId="0" fontId="0" fillId="0" borderId="0" xfId="0" applyAlignment="1">
      <alignment horizontal="center"/>
    </xf>
    <xf numFmtId="37" fontId="0" fillId="0" borderId="0" xfId="0" applyNumberFormat="1"/>
    <xf numFmtId="0" fontId="87" fillId="0" borderId="0" xfId="0" applyFont="1"/>
    <xf numFmtId="10" fontId="87" fillId="0" borderId="0" xfId="0" applyNumberFormat="1" applyFont="1"/>
    <xf numFmtId="10" fontId="0" fillId="0" borderId="0" xfId="0" applyNumberFormat="1"/>
    <xf numFmtId="10" fontId="91" fillId="0" borderId="0" xfId="0" applyNumberFormat="1" applyFont="1"/>
    <xf numFmtId="10" fontId="91" fillId="0" borderId="0" xfId="0" applyNumberFormat="1" applyFont="1" applyAlignment="1">
      <alignment horizontal="center"/>
    </xf>
    <xf numFmtId="10" fontId="28" fillId="5" borderId="0" xfId="0" applyNumberFormat="1" applyFont="1" applyFill="1" applyProtection="1">
      <protection locked="0"/>
    </xf>
    <xf numFmtId="168" fontId="23" fillId="21" borderId="4" xfId="2" applyNumberFormat="1" applyFont="1" applyFill="1" applyBorder="1" applyProtection="1">
      <protection locked="0"/>
    </xf>
    <xf numFmtId="10" fontId="87" fillId="2" borderId="0" xfId="0" applyNumberFormat="1" applyFont="1" applyFill="1"/>
    <xf numFmtId="180" fontId="28" fillId="0" borderId="3" xfId="0" applyNumberFormat="1" applyFont="1" applyBorder="1" applyProtection="1">
      <protection locked="0"/>
    </xf>
    <xf numFmtId="1" fontId="0" fillId="0" borderId="0" xfId="0" applyNumberFormat="1"/>
    <xf numFmtId="10" fontId="26" fillId="21" borderId="4" xfId="2" applyNumberFormat="1" applyFont="1" applyFill="1" applyBorder="1"/>
    <xf numFmtId="0" fontId="28" fillId="18" borderId="51" xfId="0" applyFont="1" applyFill="1" applyBorder="1" applyProtection="1">
      <protection locked="0"/>
    </xf>
    <xf numFmtId="0" fontId="28" fillId="18" borderId="52" xfId="0" applyFont="1" applyFill="1" applyBorder="1" applyProtection="1">
      <protection locked="0"/>
    </xf>
    <xf numFmtId="0" fontId="28" fillId="18" borderId="2" xfId="0" applyFont="1" applyFill="1" applyBorder="1" applyProtection="1">
      <protection locked="0"/>
    </xf>
    <xf numFmtId="0" fontId="28" fillId="18" borderId="53" xfId="0" applyFont="1" applyFill="1" applyBorder="1" applyProtection="1">
      <protection locked="0"/>
    </xf>
    <xf numFmtId="0" fontId="28" fillId="18" borderId="54" xfId="0" applyFont="1" applyFill="1" applyBorder="1" applyProtection="1">
      <protection locked="0"/>
    </xf>
    <xf numFmtId="0" fontId="28" fillId="0" borderId="55" xfId="0" applyFont="1" applyBorder="1" applyProtection="1">
      <protection locked="0"/>
    </xf>
    <xf numFmtId="180" fontId="28" fillId="0" borderId="56" xfId="0" applyNumberFormat="1" applyFont="1" applyBorder="1" applyProtection="1">
      <protection locked="0"/>
    </xf>
    <xf numFmtId="0" fontId="28" fillId="0" borderId="57" xfId="0" applyFont="1" applyBorder="1" applyProtection="1">
      <protection locked="0"/>
    </xf>
    <xf numFmtId="180" fontId="28" fillId="0" borderId="58" xfId="0" applyNumberFormat="1" applyFont="1" applyBorder="1" applyProtection="1">
      <protection locked="0"/>
    </xf>
    <xf numFmtId="180" fontId="28" fillId="0" borderId="23" xfId="0" applyNumberFormat="1" applyFont="1" applyBorder="1" applyProtection="1">
      <protection locked="0"/>
    </xf>
    <xf numFmtId="180" fontId="28" fillId="0" borderId="59" xfId="0" applyNumberFormat="1" applyFont="1" applyBorder="1" applyProtection="1">
      <protection locked="0"/>
    </xf>
    <xf numFmtId="180" fontId="28" fillId="0" borderId="60" xfId="0" applyNumberFormat="1" applyFont="1" applyBorder="1" applyProtection="1">
      <protection locked="0"/>
    </xf>
    <xf numFmtId="0" fontId="92" fillId="2" borderId="0" xfId="0" applyFont="1" applyFill="1" applyAlignment="1" applyProtection="1">
      <alignment horizontal="left"/>
      <protection locked="0"/>
    </xf>
    <xf numFmtId="0" fontId="93" fillId="2" borderId="0" xfId="0" applyFont="1" applyFill="1"/>
    <xf numFmtId="0" fontId="93" fillId="2" borderId="0" xfId="0" applyFont="1" applyFill="1" applyProtection="1">
      <protection locked="0"/>
    </xf>
    <xf numFmtId="0" fontId="92" fillId="2" borderId="0" xfId="0" applyFont="1" applyFill="1" applyProtection="1">
      <protection locked="0"/>
    </xf>
    <xf numFmtId="0" fontId="92" fillId="2" borderId="0" xfId="0" applyFont="1" applyFill="1" applyAlignment="1" applyProtection="1">
      <alignment horizontal="left" indent="1"/>
      <protection locked="0"/>
    </xf>
    <xf numFmtId="0" fontId="94" fillId="2" borderId="0" xfId="0" applyFont="1" applyFill="1"/>
    <xf numFmtId="165" fontId="95" fillId="2" borderId="0" xfId="0" applyNumberFormat="1" applyFont="1" applyFill="1" applyAlignment="1">
      <alignment horizontal="center"/>
    </xf>
    <xf numFmtId="166" fontId="92" fillId="2" borderId="10" xfId="0" applyNumberFormat="1" applyFont="1" applyFill="1" applyBorder="1"/>
    <xf numFmtId="165" fontId="92" fillId="2" borderId="0" xfId="0" applyNumberFormat="1" applyFont="1" applyFill="1" applyAlignment="1" applyProtection="1">
      <alignment horizontal="center"/>
      <protection locked="0"/>
    </xf>
    <xf numFmtId="165" fontId="92" fillId="2" borderId="0" xfId="0" applyNumberFormat="1" applyFont="1" applyFill="1" applyAlignment="1">
      <alignment horizontal="center"/>
    </xf>
    <xf numFmtId="0" fontId="92" fillId="10" borderId="0" xfId="0" applyFont="1" applyFill="1" applyProtection="1">
      <protection locked="0"/>
    </xf>
    <xf numFmtId="0" fontId="93" fillId="10" borderId="0" xfId="0" applyFont="1" applyFill="1"/>
    <xf numFmtId="165" fontId="92" fillId="10" borderId="0" xfId="0" applyNumberFormat="1" applyFont="1" applyFill="1" applyProtection="1">
      <protection locked="0"/>
    </xf>
    <xf numFmtId="165" fontId="92" fillId="10" borderId="0" xfId="0" applyNumberFormat="1" applyFont="1" applyFill="1"/>
    <xf numFmtId="166" fontId="92" fillId="10" borderId="0" xfId="0" applyNumberFormat="1" applyFont="1" applyFill="1" applyProtection="1">
      <protection locked="0"/>
    </xf>
    <xf numFmtId="166" fontId="92" fillId="10" borderId="0" xfId="0" applyNumberFormat="1" applyFont="1" applyFill="1"/>
    <xf numFmtId="0" fontId="96" fillId="4" borderId="0" xfId="0" applyFont="1" applyFill="1" applyProtection="1">
      <protection locked="0"/>
    </xf>
    <xf numFmtId="0" fontId="96" fillId="4" borderId="0" xfId="0" applyFont="1" applyFill="1"/>
    <xf numFmtId="0" fontId="96" fillId="4" borderId="3" xfId="0" applyFont="1" applyFill="1" applyBorder="1"/>
    <xf numFmtId="0" fontId="97" fillId="4" borderId="0" xfId="0" applyFont="1" applyFill="1" applyProtection="1">
      <protection locked="0"/>
    </xf>
    <xf numFmtId="0" fontId="96" fillId="4" borderId="0" xfId="0" applyFont="1" applyFill="1" applyAlignment="1">
      <alignment horizontal="left" indent="1"/>
    </xf>
    <xf numFmtId="37" fontId="98" fillId="3" borderId="0" xfId="0" applyNumberFormat="1" applyFont="1" applyFill="1" applyProtection="1">
      <protection locked="0"/>
    </xf>
    <xf numFmtId="37" fontId="98" fillId="4" borderId="0" xfId="0" applyNumberFormat="1" applyFont="1" applyFill="1" applyProtection="1">
      <protection locked="0"/>
    </xf>
    <xf numFmtId="37" fontId="99" fillId="3" borderId="0" xfId="0" applyNumberFormat="1" applyFont="1" applyFill="1" applyProtection="1">
      <protection locked="0"/>
    </xf>
    <xf numFmtId="37" fontId="96" fillId="4" borderId="0" xfId="0" applyNumberFormat="1" applyFont="1" applyFill="1" applyProtection="1">
      <protection locked="0"/>
    </xf>
    <xf numFmtId="168" fontId="100" fillId="3" borderId="0" xfId="2" applyNumberFormat="1" applyFont="1" applyFill="1" applyProtection="1">
      <protection locked="0"/>
    </xf>
    <xf numFmtId="168" fontId="100" fillId="4" borderId="0" xfId="2" applyNumberFormat="1" applyFont="1" applyFill="1" applyProtection="1">
      <protection locked="0"/>
    </xf>
    <xf numFmtId="168" fontId="101" fillId="9" borderId="4" xfId="2" applyNumberFormat="1" applyFont="1" applyFill="1" applyBorder="1" applyProtection="1">
      <protection locked="0"/>
    </xf>
    <xf numFmtId="168" fontId="96" fillId="4" borderId="0" xfId="0" applyNumberFormat="1" applyFont="1" applyFill="1" applyProtection="1">
      <protection locked="0"/>
    </xf>
    <xf numFmtId="168" fontId="101" fillId="4" borderId="4" xfId="2" applyNumberFormat="1" applyFont="1" applyFill="1" applyBorder="1" applyProtection="1">
      <protection locked="0"/>
    </xf>
    <xf numFmtId="37" fontId="96" fillId="4" borderId="7" xfId="0" applyNumberFormat="1" applyFont="1" applyFill="1" applyBorder="1" applyProtection="1">
      <protection locked="0"/>
    </xf>
    <xf numFmtId="37" fontId="99" fillId="4" borderId="0" xfId="0" applyNumberFormat="1" applyFont="1" applyFill="1" applyProtection="1">
      <protection locked="0"/>
    </xf>
    <xf numFmtId="37" fontId="96" fillId="3" borderId="0" xfId="0" applyNumberFormat="1" applyFont="1" applyFill="1" applyProtection="1">
      <protection locked="0"/>
    </xf>
    <xf numFmtId="0" fontId="96" fillId="4" borderId="13" xfId="0" applyFont="1" applyFill="1" applyBorder="1"/>
    <xf numFmtId="0" fontId="96" fillId="3" borderId="0" xfId="0" applyFont="1" applyFill="1" applyProtection="1">
      <protection locked="0"/>
    </xf>
    <xf numFmtId="0" fontId="97" fillId="11" borderId="18" xfId="0" applyFont="1" applyFill="1" applyBorder="1" applyAlignment="1" applyProtection="1">
      <alignment horizontal="left" indent="1"/>
      <protection locked="0"/>
    </xf>
    <xf numFmtId="0" fontId="97" fillId="11" borderId="7" xfId="0" applyFont="1" applyFill="1" applyBorder="1"/>
    <xf numFmtId="37" fontId="97" fillId="11" borderId="7" xfId="0" applyNumberFormat="1" applyFont="1" applyFill="1" applyBorder="1" applyProtection="1">
      <protection locked="0"/>
    </xf>
    <xf numFmtId="10" fontId="39" fillId="0" borderId="0" xfId="0" applyNumberFormat="1" applyFont="1"/>
    <xf numFmtId="10" fontId="26" fillId="0" borderId="4" xfId="2" applyNumberFormat="1" applyFont="1" applyFill="1" applyBorder="1"/>
    <xf numFmtId="10" fontId="28" fillId="0" borderId="4" xfId="2" applyNumberFormat="1" applyFont="1" applyFill="1" applyBorder="1"/>
    <xf numFmtId="183" fontId="89" fillId="5" borderId="4" xfId="2" applyNumberFormat="1" applyFont="1" applyFill="1" applyBorder="1" applyProtection="1">
      <protection locked="0"/>
    </xf>
    <xf numFmtId="37" fontId="35" fillId="5" borderId="0" xfId="0" applyNumberFormat="1" applyFont="1" applyFill="1"/>
    <xf numFmtId="0" fontId="70" fillId="0" borderId="0" xfId="0" applyFont="1" applyAlignment="1">
      <alignment horizontal="left" vertical="top" wrapText="1"/>
    </xf>
    <xf numFmtId="0" fontId="28" fillId="0" borderId="0" xfId="0" applyFont="1" applyAlignment="1">
      <alignment horizontal="left" vertical="center" wrapText="1" indent="1"/>
    </xf>
    <xf numFmtId="0" fontId="53" fillId="0" borderId="0" xfId="5" applyFont="1" applyAlignment="1">
      <alignment horizontal="right" vertical="center"/>
    </xf>
    <xf numFmtId="0" fontId="27" fillId="0" borderId="0" xfId="5" applyFont="1" applyAlignment="1">
      <alignment horizontal="center" vertical="center"/>
    </xf>
    <xf numFmtId="0" fontId="27" fillId="0" borderId="0" xfId="5" applyFont="1" applyAlignment="1">
      <alignment horizontal="center" vertical="center" wrapText="1"/>
    </xf>
    <xf numFmtId="0" fontId="28" fillId="0" borderId="0" xfId="0" applyFont="1" applyAlignment="1">
      <alignment horizontal="center"/>
    </xf>
    <xf numFmtId="0" fontId="27" fillId="0" borderId="2" xfId="5" applyFont="1" applyBorder="1" applyAlignment="1">
      <alignment horizontal="center" vertical="center"/>
    </xf>
    <xf numFmtId="0" fontId="28" fillId="0" borderId="2" xfId="0" applyFont="1" applyBorder="1" applyAlignment="1">
      <alignment horizontal="center" vertical="center" wrapText="1"/>
    </xf>
    <xf numFmtId="0" fontId="28" fillId="0" borderId="0" xfId="0" applyFont="1" applyAlignment="1">
      <alignment horizontal="center" vertical="center" wrapText="1"/>
    </xf>
    <xf numFmtId="9" fontId="34" fillId="7" borderId="0" xfId="0" applyNumberFormat="1" applyFont="1" applyFill="1" applyAlignment="1">
      <alignment horizontal="right"/>
    </xf>
    <xf numFmtId="1" fontId="34" fillId="7" borderId="0" xfId="0" applyNumberFormat="1" applyFont="1" applyFill="1" applyAlignment="1">
      <alignment horizontal="right"/>
    </xf>
    <xf numFmtId="9" fontId="34" fillId="8" borderId="0" xfId="0" applyNumberFormat="1" applyFont="1" applyFill="1" applyAlignment="1">
      <alignment horizontal="right"/>
    </xf>
    <xf numFmtId="0" fontId="34" fillId="13" borderId="0" xfId="0" applyFont="1" applyFill="1" applyAlignment="1">
      <alignment horizontal="right"/>
    </xf>
    <xf numFmtId="1" fontId="24" fillId="0" borderId="0" xfId="5" applyNumberFormat="1" applyFont="1" applyAlignment="1">
      <alignment horizontal="right" vertical="center"/>
    </xf>
    <xf numFmtId="0" fontId="53" fillId="0" borderId="0" xfId="5" applyFont="1" applyAlignment="1">
      <alignment horizontal="center" vertical="center"/>
    </xf>
    <xf numFmtId="0" fontId="27" fillId="0" borderId="0" xfId="5" applyFont="1" applyAlignment="1">
      <alignment horizontal="left" vertical="top" wrapText="1"/>
    </xf>
    <xf numFmtId="0" fontId="27" fillId="0" borderId="0" xfId="5" applyFont="1" applyAlignment="1">
      <alignment horizontal="center" vertical="top" wrapText="1"/>
    </xf>
    <xf numFmtId="0" fontId="27" fillId="0" borderId="0" xfId="5" applyFont="1" applyAlignment="1">
      <alignment horizontal="left" vertical="center" wrapText="1"/>
    </xf>
    <xf numFmtId="3" fontId="53" fillId="0" borderId="0" xfId="5" applyNumberFormat="1" applyFont="1" applyAlignment="1">
      <alignment horizontal="right" vertical="center"/>
    </xf>
    <xf numFmtId="0" fontId="80" fillId="0" borderId="0" xfId="0" applyFont="1" applyAlignment="1">
      <alignment horizontal="center" vertical="top" wrapText="1"/>
    </xf>
    <xf numFmtId="0" fontId="34" fillId="0" borderId="0" xfId="0" applyFont="1" applyAlignment="1">
      <alignment horizontal="left" vertical="top" wrapText="1" indent="1"/>
    </xf>
    <xf numFmtId="0" fontId="27" fillId="7" borderId="0" xfId="5" applyFont="1" applyFill="1" applyAlignment="1">
      <alignment horizontal="center" vertical="center"/>
    </xf>
    <xf numFmtId="0" fontId="27" fillId="5" borderId="0" xfId="5" applyFont="1" applyFill="1" applyAlignment="1">
      <alignment horizontal="center" vertical="center"/>
    </xf>
    <xf numFmtId="0" fontId="27" fillId="13" borderId="0" xfId="5" applyFont="1" applyFill="1" applyAlignment="1">
      <alignment horizontal="center" vertical="center"/>
    </xf>
    <xf numFmtId="0" fontId="27" fillId="0" borderId="2" xfId="5" applyFont="1" applyBorder="1" applyAlignment="1">
      <alignment horizontal="center" vertical="center" wrapText="1"/>
    </xf>
    <xf numFmtId="0" fontId="28" fillId="0" borderId="0" xfId="0" applyFont="1" applyAlignment="1">
      <alignment horizontal="left" vertical="top" wrapText="1"/>
    </xf>
    <xf numFmtId="0" fontId="27" fillId="17" borderId="0" xfId="5" applyFont="1" applyFill="1" applyAlignment="1">
      <alignment horizontal="center" vertical="center"/>
    </xf>
    <xf numFmtId="0" fontId="27" fillId="17" borderId="0" xfId="5" applyFont="1" applyFill="1" applyAlignment="1">
      <alignment horizontal="left" vertical="center"/>
    </xf>
    <xf numFmtId="0" fontId="27" fillId="7" borderId="0" xfId="5" applyFont="1" applyFill="1" applyAlignment="1">
      <alignment horizontal="left" vertical="center"/>
    </xf>
    <xf numFmtId="0" fontId="52" fillId="7" borderId="0" xfId="5" applyFont="1" applyFill="1" applyAlignment="1">
      <alignment horizontal="left" vertical="center"/>
    </xf>
    <xf numFmtId="0" fontId="27" fillId="5" borderId="0" xfId="5" applyFont="1" applyFill="1" applyAlignment="1">
      <alignment horizontal="left" vertical="center"/>
    </xf>
    <xf numFmtId="0" fontId="27" fillId="0" borderId="0" xfId="5" applyFont="1" applyAlignment="1">
      <alignment horizontal="left" vertical="center"/>
    </xf>
    <xf numFmtId="166" fontId="16" fillId="2" borderId="10" xfId="0" applyNumberFormat="1" applyFont="1" applyFill="1" applyBorder="1" applyAlignment="1">
      <alignment horizontal="center"/>
    </xf>
    <xf numFmtId="0" fontId="28" fillId="0" borderId="0" xfId="0" applyFont="1" applyAlignment="1">
      <alignment horizontal="center" vertical="top" wrapText="1"/>
    </xf>
    <xf numFmtId="165" fontId="16" fillId="2" borderId="10" xfId="0" applyNumberFormat="1" applyFont="1" applyFill="1" applyBorder="1" applyAlignment="1">
      <alignment horizontal="center"/>
    </xf>
    <xf numFmtId="0" fontId="37" fillId="2" borderId="10" xfId="0" applyFont="1" applyFill="1" applyBorder="1" applyAlignment="1">
      <alignment horizontal="center"/>
    </xf>
    <xf numFmtId="0" fontId="5" fillId="22" borderId="0" xfId="0" applyFont="1" applyFill="1" applyAlignment="1">
      <alignment horizontal="left"/>
    </xf>
    <xf numFmtId="0" fontId="0" fillId="0" borderId="0" xfId="0" applyAlignment="1">
      <alignment horizontal="center"/>
    </xf>
    <xf numFmtId="0" fontId="88" fillId="0" borderId="0" xfId="0" applyFont="1" applyAlignment="1" applyProtection="1">
      <alignment horizontal="left"/>
      <protection locked="0"/>
    </xf>
    <xf numFmtId="14" fontId="28" fillId="0" borderId="0" xfId="0" applyNumberFormat="1" applyFont="1" applyAlignment="1" applyProtection="1">
      <alignment horizontal="center"/>
      <protection locked="0"/>
    </xf>
    <xf numFmtId="166" fontId="46" fillId="2" borderId="10" xfId="0" applyNumberFormat="1" applyFont="1" applyFill="1" applyBorder="1" applyAlignment="1">
      <alignment horizontal="center"/>
    </xf>
    <xf numFmtId="0" fontId="16" fillId="15" borderId="0" xfId="0" applyFont="1" applyFill="1" applyAlignment="1" applyProtection="1">
      <alignment horizontal="center" vertical="center"/>
      <protection locked="0"/>
    </xf>
    <xf numFmtId="0" fontId="62" fillId="0" borderId="11" xfId="0" applyFont="1" applyBorder="1" applyAlignment="1">
      <alignment horizontal="center"/>
    </xf>
    <xf numFmtId="0" fontId="8" fillId="0" borderId="11" xfId="0" applyFont="1" applyBorder="1" applyAlignment="1">
      <alignment horizontal="center"/>
    </xf>
    <xf numFmtId="165" fontId="92" fillId="2" borderId="10" xfId="0" applyNumberFormat="1" applyFont="1" applyFill="1" applyBorder="1" applyAlignment="1">
      <alignment horizontal="center"/>
    </xf>
    <xf numFmtId="166" fontId="92" fillId="2" borderId="10" xfId="0" applyNumberFormat="1" applyFont="1" applyFill="1" applyBorder="1" applyAlignment="1">
      <alignment horizontal="center"/>
    </xf>
  </cellXfs>
  <cellStyles count="14">
    <cellStyle name="blp_column_header" xfId="12" xr:uid="{00000000-0005-0000-0000-000000000000}"/>
    <cellStyle name="Comma" xfId="1" builtinId="3"/>
    <cellStyle name="Currency 2" xfId="9" xr:uid="{00000000-0005-0000-0000-000002000000}"/>
    <cellStyle name="fa_column_header_bottom" xfId="11" xr:uid="{00000000-0005-0000-0000-000003000000}"/>
    <cellStyle name="Hyperlink" xfId="3" xr:uid="{00000000-0005-0000-0000-000004000000}"/>
    <cellStyle name="Normal" xfId="0" builtinId="0"/>
    <cellStyle name="Normal 2" xfId="8" xr:uid="{00000000-0005-0000-0000-000006000000}"/>
    <cellStyle name="Normal 2 2" xfId="5" xr:uid="{00000000-0005-0000-0000-000007000000}"/>
    <cellStyle name="Normal 2 2 2" xfId="13" xr:uid="{00000000-0005-0000-0000-000008000000}"/>
    <cellStyle name="Normal 3 2" xfId="6" xr:uid="{00000000-0005-0000-0000-000009000000}"/>
    <cellStyle name="Normal 6" xfId="10" xr:uid="{00000000-0005-0000-0000-00000A000000}"/>
    <cellStyle name="Per cent" xfId="2" builtinId="5"/>
    <cellStyle name="Percent 2" xfId="4" xr:uid="{00000000-0005-0000-0000-00000C000000}"/>
    <cellStyle name="Porcentaje 3" xfId="7" xr:uid="{00000000-0005-0000-0000-00000D000000}"/>
  </cellStyles>
  <dxfs count="6">
    <dxf>
      <font>
        <b/>
        <i/>
        <strike val="0"/>
        <color theme="1" tint="4.9989318521683403E-2"/>
      </font>
      <numFmt numFmtId="2" formatCode="0.00"/>
      <fill>
        <patternFill patternType="none">
          <bgColor auto="1"/>
        </patternFill>
      </fill>
    </dxf>
    <dxf>
      <font>
        <color rgb="FFC00000"/>
      </font>
    </dxf>
    <dxf>
      <font>
        <color rgb="FFFF0000"/>
      </font>
    </dxf>
    <dxf>
      <font>
        <color rgb="FF00B050"/>
      </font>
    </dxf>
    <dxf>
      <font>
        <color rgb="FF92D050"/>
      </font>
      <fill>
        <patternFill patternType="none">
          <bgColor auto="1"/>
        </patternFill>
      </fill>
    </dxf>
    <dxf>
      <font>
        <color rgb="FFFFC000"/>
      </font>
      <fill>
        <patternFill patternType="none">
          <bgColor auto="1"/>
        </patternFill>
      </fill>
    </dxf>
  </dxfs>
  <tableStyles count="0" defaultTableStyle="TableStyleMedium2" defaultPivotStyle="PivotStyleLight16"/>
  <colors>
    <mruColors>
      <color rgb="FF7B1314"/>
      <color rgb="FFFFF2CC"/>
      <color rgb="FFF5C0C0"/>
      <color rgb="FF8DEB91"/>
      <color rgb="FF1C3E64"/>
      <color rgb="FFBE606D"/>
      <color rgb="FF5A5A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explosion val="6"/>
          <c:dPt>
            <c:idx val="0"/>
            <c:bubble3D val="0"/>
            <c:spPr>
              <a:solidFill>
                <a:schemeClr val="accent1"/>
              </a:solidFill>
              <a:ln w="19050">
                <a:noFill/>
              </a:ln>
              <a:effectLst/>
            </c:spPr>
            <c:extLst>
              <c:ext xmlns:c16="http://schemas.microsoft.com/office/drawing/2014/chart" uri="{C3380CC4-5D6E-409C-BE32-E72D297353CC}">
                <c16:uniqueId val="{00000001-9308-49AE-A481-1F06B1D5BB5E}"/>
              </c:ext>
            </c:extLst>
          </c:dPt>
          <c:dPt>
            <c:idx val="1"/>
            <c:bubble3D val="0"/>
            <c:spPr>
              <a:solidFill>
                <a:schemeClr val="accent1">
                  <a:lumMod val="20000"/>
                  <a:lumOff val="80000"/>
                </a:schemeClr>
              </a:solidFill>
              <a:ln w="19050">
                <a:noFill/>
              </a:ln>
              <a:effectLst/>
            </c:spPr>
            <c:extLst>
              <c:ext xmlns:c16="http://schemas.microsoft.com/office/drawing/2014/chart" uri="{C3380CC4-5D6E-409C-BE32-E72D297353CC}">
                <c16:uniqueId val="{00000003-9308-49AE-A481-1F06B1D5BB5E}"/>
              </c:ext>
            </c:extLst>
          </c:dPt>
          <c:val>
            <c:numRef>
              <c:f>FCFF!$R$204:$R$205</c:f>
              <c:numCache>
                <c:formatCode>0.0%</c:formatCode>
                <c:ptCount val="2"/>
                <c:pt idx="0">
                  <c:v>0.20667014291403762</c:v>
                </c:pt>
                <c:pt idx="1">
                  <c:v>0.79332985708596238</c:v>
                </c:pt>
              </c:numCache>
            </c:numRef>
          </c:val>
          <c:extLst>
            <c:ext xmlns:c16="http://schemas.microsoft.com/office/drawing/2014/chart" uri="{C3380CC4-5D6E-409C-BE32-E72D297353CC}">
              <c16:uniqueId val="{00000004-9308-49AE-A481-1F06B1D5BB5E}"/>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4.3137268222099186E-2"/>
          <c:w val="0.91831818771167184"/>
          <c:h val="0.75471599651566978"/>
        </c:manualLayout>
      </c:layout>
      <c:lineChart>
        <c:grouping val="standard"/>
        <c:varyColors val="0"/>
        <c:ser>
          <c:idx val="1"/>
          <c:order val="1"/>
          <c:spPr>
            <a:ln w="28575" cap="rnd">
              <a:solidFill>
                <a:schemeClr val="accent1">
                  <a:lumMod val="60000"/>
                  <a:lumOff val="40000"/>
                </a:schemeClr>
              </a:solidFill>
              <a:round/>
              <a:headEnd type="none" w="med" len="med"/>
              <a:tailEnd type="triangle" w="med" len="med"/>
            </a:ln>
            <a:effectLst>
              <a:glow rad="101600">
                <a:schemeClr val="accent1">
                  <a:satMod val="175000"/>
                  <a:alpha val="10000"/>
                </a:schemeClr>
              </a:glow>
            </a:effectLst>
          </c:spPr>
          <c:marker>
            <c:symbol val="none"/>
          </c:marker>
          <c:dLbls>
            <c:dLbl>
              <c:idx val="395"/>
              <c:layout>
                <c:manualLayout>
                  <c:x val="1.1440251733625133E-2"/>
                  <c:y val="3.9215698383726532E-3"/>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50000"/>
                        </a:schemeClr>
                      </a:solidFill>
                      <a:latin typeface="Arial Nova" panose="020B05040202020202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897-4923-A0EE-C1A6AE8979C7}"/>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Dashboard!$C$154:$C$558</c:f>
              <c:numCache>
                <c:formatCode>yyyy\-mm\-dd;@</c:formatCode>
                <c:ptCount val="405"/>
                <c:pt idx="0">
                  <c:v>45977</c:v>
                </c:pt>
                <c:pt idx="1">
                  <c:v>45976</c:v>
                </c:pt>
                <c:pt idx="2">
                  <c:v>45975</c:v>
                </c:pt>
                <c:pt idx="3">
                  <c:v>45974</c:v>
                </c:pt>
                <c:pt idx="4">
                  <c:v>45973</c:v>
                </c:pt>
                <c:pt idx="5">
                  <c:v>45972</c:v>
                </c:pt>
                <c:pt idx="6">
                  <c:v>45971</c:v>
                </c:pt>
                <c:pt idx="7">
                  <c:v>45970</c:v>
                </c:pt>
                <c:pt idx="8">
                  <c:v>45969</c:v>
                </c:pt>
                <c:pt idx="9">
                  <c:v>45968</c:v>
                </c:pt>
                <c:pt idx="10">
                  <c:v>45967</c:v>
                </c:pt>
                <c:pt idx="11">
                  <c:v>45966</c:v>
                </c:pt>
                <c:pt idx="12">
                  <c:v>45965</c:v>
                </c:pt>
                <c:pt idx="13">
                  <c:v>45964</c:v>
                </c:pt>
                <c:pt idx="14">
                  <c:v>45963</c:v>
                </c:pt>
                <c:pt idx="15">
                  <c:v>45962</c:v>
                </c:pt>
                <c:pt idx="16">
                  <c:v>45961</c:v>
                </c:pt>
                <c:pt idx="17">
                  <c:v>45960</c:v>
                </c:pt>
                <c:pt idx="18">
                  <c:v>45959</c:v>
                </c:pt>
                <c:pt idx="19">
                  <c:v>45958</c:v>
                </c:pt>
                <c:pt idx="20">
                  <c:v>45957</c:v>
                </c:pt>
                <c:pt idx="21">
                  <c:v>45956</c:v>
                </c:pt>
                <c:pt idx="22">
                  <c:v>45955</c:v>
                </c:pt>
                <c:pt idx="23">
                  <c:v>45954</c:v>
                </c:pt>
                <c:pt idx="24">
                  <c:v>45953</c:v>
                </c:pt>
                <c:pt idx="25">
                  <c:v>45952</c:v>
                </c:pt>
                <c:pt idx="26">
                  <c:v>45951</c:v>
                </c:pt>
                <c:pt idx="27">
                  <c:v>45950</c:v>
                </c:pt>
                <c:pt idx="28">
                  <c:v>45949</c:v>
                </c:pt>
                <c:pt idx="29">
                  <c:v>45948</c:v>
                </c:pt>
                <c:pt idx="30">
                  <c:v>45947</c:v>
                </c:pt>
                <c:pt idx="31">
                  <c:v>45946</c:v>
                </c:pt>
                <c:pt idx="32">
                  <c:v>45945</c:v>
                </c:pt>
                <c:pt idx="33">
                  <c:v>45944</c:v>
                </c:pt>
                <c:pt idx="34">
                  <c:v>45943</c:v>
                </c:pt>
                <c:pt idx="35">
                  <c:v>45942</c:v>
                </c:pt>
                <c:pt idx="36">
                  <c:v>45941</c:v>
                </c:pt>
                <c:pt idx="37">
                  <c:v>45940</c:v>
                </c:pt>
                <c:pt idx="38">
                  <c:v>45939</c:v>
                </c:pt>
                <c:pt idx="39">
                  <c:v>45938</c:v>
                </c:pt>
                <c:pt idx="40">
                  <c:v>45937</c:v>
                </c:pt>
                <c:pt idx="41">
                  <c:v>45936</c:v>
                </c:pt>
                <c:pt idx="42">
                  <c:v>45935</c:v>
                </c:pt>
                <c:pt idx="43">
                  <c:v>45934</c:v>
                </c:pt>
                <c:pt idx="44">
                  <c:v>45933</c:v>
                </c:pt>
                <c:pt idx="45">
                  <c:v>45932</c:v>
                </c:pt>
                <c:pt idx="46">
                  <c:v>45931</c:v>
                </c:pt>
                <c:pt idx="47">
                  <c:v>45930</c:v>
                </c:pt>
                <c:pt idx="48">
                  <c:v>45929</c:v>
                </c:pt>
                <c:pt idx="49">
                  <c:v>45928</c:v>
                </c:pt>
                <c:pt idx="50">
                  <c:v>45927</c:v>
                </c:pt>
                <c:pt idx="51">
                  <c:v>45926</c:v>
                </c:pt>
                <c:pt idx="52">
                  <c:v>45925</c:v>
                </c:pt>
                <c:pt idx="53">
                  <c:v>45924</c:v>
                </c:pt>
                <c:pt idx="54">
                  <c:v>45923</c:v>
                </c:pt>
                <c:pt idx="55">
                  <c:v>45922</c:v>
                </c:pt>
                <c:pt idx="56">
                  <c:v>45921</c:v>
                </c:pt>
                <c:pt idx="57">
                  <c:v>45920</c:v>
                </c:pt>
                <c:pt idx="58">
                  <c:v>45919</c:v>
                </c:pt>
                <c:pt idx="59">
                  <c:v>45918</c:v>
                </c:pt>
                <c:pt idx="60">
                  <c:v>45917</c:v>
                </c:pt>
                <c:pt idx="61">
                  <c:v>45916</c:v>
                </c:pt>
                <c:pt idx="62">
                  <c:v>45915</c:v>
                </c:pt>
                <c:pt idx="63">
                  <c:v>45914</c:v>
                </c:pt>
                <c:pt idx="64">
                  <c:v>45913</c:v>
                </c:pt>
                <c:pt idx="65">
                  <c:v>45912</c:v>
                </c:pt>
                <c:pt idx="66">
                  <c:v>45911</c:v>
                </c:pt>
                <c:pt idx="67">
                  <c:v>45910</c:v>
                </c:pt>
                <c:pt idx="68">
                  <c:v>45909</c:v>
                </c:pt>
                <c:pt idx="69">
                  <c:v>45908</c:v>
                </c:pt>
                <c:pt idx="70">
                  <c:v>45907</c:v>
                </c:pt>
                <c:pt idx="71">
                  <c:v>45906</c:v>
                </c:pt>
                <c:pt idx="72">
                  <c:v>45905</c:v>
                </c:pt>
                <c:pt idx="73">
                  <c:v>45904</c:v>
                </c:pt>
                <c:pt idx="74">
                  <c:v>45903</c:v>
                </c:pt>
                <c:pt idx="75">
                  <c:v>45902</c:v>
                </c:pt>
                <c:pt idx="76">
                  <c:v>45901</c:v>
                </c:pt>
                <c:pt idx="77">
                  <c:v>45900</c:v>
                </c:pt>
                <c:pt idx="78">
                  <c:v>45899</c:v>
                </c:pt>
                <c:pt idx="79">
                  <c:v>45898</c:v>
                </c:pt>
                <c:pt idx="80">
                  <c:v>45897</c:v>
                </c:pt>
                <c:pt idx="81">
                  <c:v>45896</c:v>
                </c:pt>
                <c:pt idx="82">
                  <c:v>45895</c:v>
                </c:pt>
                <c:pt idx="83">
                  <c:v>45894</c:v>
                </c:pt>
                <c:pt idx="84">
                  <c:v>45893</c:v>
                </c:pt>
                <c:pt idx="85">
                  <c:v>45892</c:v>
                </c:pt>
                <c:pt idx="86">
                  <c:v>45891</c:v>
                </c:pt>
                <c:pt idx="87">
                  <c:v>45890</c:v>
                </c:pt>
                <c:pt idx="88">
                  <c:v>45889</c:v>
                </c:pt>
                <c:pt idx="89">
                  <c:v>45888</c:v>
                </c:pt>
                <c:pt idx="90">
                  <c:v>45887</c:v>
                </c:pt>
                <c:pt idx="91">
                  <c:v>45886</c:v>
                </c:pt>
                <c:pt idx="92">
                  <c:v>45885</c:v>
                </c:pt>
                <c:pt idx="93">
                  <c:v>45884</c:v>
                </c:pt>
                <c:pt idx="94">
                  <c:v>45883</c:v>
                </c:pt>
                <c:pt idx="95">
                  <c:v>45882</c:v>
                </c:pt>
                <c:pt idx="96">
                  <c:v>45881</c:v>
                </c:pt>
                <c:pt idx="97">
                  <c:v>45880</c:v>
                </c:pt>
                <c:pt idx="98">
                  <c:v>45879</c:v>
                </c:pt>
                <c:pt idx="99">
                  <c:v>45878</c:v>
                </c:pt>
                <c:pt idx="100">
                  <c:v>45877</c:v>
                </c:pt>
                <c:pt idx="101">
                  <c:v>45876</c:v>
                </c:pt>
                <c:pt idx="102">
                  <c:v>45875</c:v>
                </c:pt>
                <c:pt idx="103">
                  <c:v>45874</c:v>
                </c:pt>
                <c:pt idx="104">
                  <c:v>45873</c:v>
                </c:pt>
                <c:pt idx="105">
                  <c:v>45872</c:v>
                </c:pt>
                <c:pt idx="106">
                  <c:v>45871</c:v>
                </c:pt>
                <c:pt idx="107">
                  <c:v>45870</c:v>
                </c:pt>
                <c:pt idx="108">
                  <c:v>45869</c:v>
                </c:pt>
                <c:pt idx="109">
                  <c:v>45868</c:v>
                </c:pt>
                <c:pt idx="110">
                  <c:v>45867</c:v>
                </c:pt>
                <c:pt idx="111">
                  <c:v>45866</c:v>
                </c:pt>
                <c:pt idx="112">
                  <c:v>45865</c:v>
                </c:pt>
                <c:pt idx="113">
                  <c:v>45864</c:v>
                </c:pt>
                <c:pt idx="114">
                  <c:v>45863</c:v>
                </c:pt>
                <c:pt idx="115">
                  <c:v>45862</c:v>
                </c:pt>
                <c:pt idx="116">
                  <c:v>45861</c:v>
                </c:pt>
                <c:pt idx="117">
                  <c:v>45860</c:v>
                </c:pt>
                <c:pt idx="118">
                  <c:v>45859</c:v>
                </c:pt>
                <c:pt idx="119">
                  <c:v>45858</c:v>
                </c:pt>
                <c:pt idx="120">
                  <c:v>45857</c:v>
                </c:pt>
                <c:pt idx="121">
                  <c:v>45856</c:v>
                </c:pt>
                <c:pt idx="122">
                  <c:v>45855</c:v>
                </c:pt>
                <c:pt idx="123">
                  <c:v>45854</c:v>
                </c:pt>
                <c:pt idx="124">
                  <c:v>45853</c:v>
                </c:pt>
                <c:pt idx="125">
                  <c:v>45852</c:v>
                </c:pt>
                <c:pt idx="126">
                  <c:v>45851</c:v>
                </c:pt>
                <c:pt idx="127">
                  <c:v>45850</c:v>
                </c:pt>
                <c:pt idx="128">
                  <c:v>45849</c:v>
                </c:pt>
                <c:pt idx="129">
                  <c:v>45848</c:v>
                </c:pt>
                <c:pt idx="130">
                  <c:v>45847</c:v>
                </c:pt>
                <c:pt idx="131">
                  <c:v>45846</c:v>
                </c:pt>
                <c:pt idx="132">
                  <c:v>45845</c:v>
                </c:pt>
                <c:pt idx="133">
                  <c:v>45844</c:v>
                </c:pt>
                <c:pt idx="134">
                  <c:v>45843</c:v>
                </c:pt>
                <c:pt idx="135">
                  <c:v>45842</c:v>
                </c:pt>
                <c:pt idx="136">
                  <c:v>45841</c:v>
                </c:pt>
                <c:pt idx="137">
                  <c:v>45840</c:v>
                </c:pt>
                <c:pt idx="138">
                  <c:v>45839</c:v>
                </c:pt>
                <c:pt idx="139">
                  <c:v>45838</c:v>
                </c:pt>
                <c:pt idx="140">
                  <c:v>45837</c:v>
                </c:pt>
                <c:pt idx="141">
                  <c:v>45836</c:v>
                </c:pt>
                <c:pt idx="142">
                  <c:v>45835</c:v>
                </c:pt>
                <c:pt idx="143">
                  <c:v>45834</c:v>
                </c:pt>
                <c:pt idx="144">
                  <c:v>45833</c:v>
                </c:pt>
                <c:pt idx="145">
                  <c:v>45832</c:v>
                </c:pt>
                <c:pt idx="146">
                  <c:v>45831</c:v>
                </c:pt>
                <c:pt idx="147">
                  <c:v>45830</c:v>
                </c:pt>
                <c:pt idx="148">
                  <c:v>45829</c:v>
                </c:pt>
                <c:pt idx="149">
                  <c:v>45828</c:v>
                </c:pt>
                <c:pt idx="150">
                  <c:v>45827</c:v>
                </c:pt>
                <c:pt idx="151">
                  <c:v>45826</c:v>
                </c:pt>
                <c:pt idx="152">
                  <c:v>45825</c:v>
                </c:pt>
                <c:pt idx="153">
                  <c:v>45824</c:v>
                </c:pt>
                <c:pt idx="154">
                  <c:v>45823</c:v>
                </c:pt>
                <c:pt idx="155">
                  <c:v>45822</c:v>
                </c:pt>
                <c:pt idx="156">
                  <c:v>45821</c:v>
                </c:pt>
                <c:pt idx="157">
                  <c:v>45820</c:v>
                </c:pt>
                <c:pt idx="158">
                  <c:v>45819</c:v>
                </c:pt>
                <c:pt idx="159">
                  <c:v>45818</c:v>
                </c:pt>
                <c:pt idx="160">
                  <c:v>45817</c:v>
                </c:pt>
                <c:pt idx="161">
                  <c:v>45816</c:v>
                </c:pt>
                <c:pt idx="162">
                  <c:v>45815</c:v>
                </c:pt>
                <c:pt idx="163">
                  <c:v>45814</c:v>
                </c:pt>
                <c:pt idx="164">
                  <c:v>45813</c:v>
                </c:pt>
                <c:pt idx="165">
                  <c:v>45812</c:v>
                </c:pt>
                <c:pt idx="166">
                  <c:v>45811</c:v>
                </c:pt>
                <c:pt idx="167">
                  <c:v>45810</c:v>
                </c:pt>
                <c:pt idx="168">
                  <c:v>45809</c:v>
                </c:pt>
                <c:pt idx="169">
                  <c:v>45808</c:v>
                </c:pt>
                <c:pt idx="170">
                  <c:v>45807</c:v>
                </c:pt>
                <c:pt idx="171">
                  <c:v>45806</c:v>
                </c:pt>
                <c:pt idx="172">
                  <c:v>45805</c:v>
                </c:pt>
                <c:pt idx="173">
                  <c:v>45804</c:v>
                </c:pt>
                <c:pt idx="174">
                  <c:v>45803</c:v>
                </c:pt>
                <c:pt idx="175">
                  <c:v>45802</c:v>
                </c:pt>
                <c:pt idx="176">
                  <c:v>45801</c:v>
                </c:pt>
                <c:pt idx="177">
                  <c:v>45800</c:v>
                </c:pt>
                <c:pt idx="178">
                  <c:v>45799</c:v>
                </c:pt>
                <c:pt idx="179">
                  <c:v>45798</c:v>
                </c:pt>
                <c:pt idx="180">
                  <c:v>45797</c:v>
                </c:pt>
                <c:pt idx="181">
                  <c:v>45796</c:v>
                </c:pt>
                <c:pt idx="182">
                  <c:v>45795</c:v>
                </c:pt>
                <c:pt idx="183">
                  <c:v>45794</c:v>
                </c:pt>
                <c:pt idx="184">
                  <c:v>45793</c:v>
                </c:pt>
                <c:pt idx="185">
                  <c:v>45792</c:v>
                </c:pt>
                <c:pt idx="186">
                  <c:v>45791</c:v>
                </c:pt>
                <c:pt idx="187">
                  <c:v>45790</c:v>
                </c:pt>
                <c:pt idx="188">
                  <c:v>45789</c:v>
                </c:pt>
                <c:pt idx="189">
                  <c:v>45788</c:v>
                </c:pt>
                <c:pt idx="190">
                  <c:v>45787</c:v>
                </c:pt>
                <c:pt idx="191">
                  <c:v>45786</c:v>
                </c:pt>
                <c:pt idx="192">
                  <c:v>45785</c:v>
                </c:pt>
                <c:pt idx="193">
                  <c:v>45784</c:v>
                </c:pt>
                <c:pt idx="194">
                  <c:v>45783</c:v>
                </c:pt>
                <c:pt idx="195">
                  <c:v>45782</c:v>
                </c:pt>
                <c:pt idx="196">
                  <c:v>45781</c:v>
                </c:pt>
                <c:pt idx="197">
                  <c:v>45780</c:v>
                </c:pt>
                <c:pt idx="198">
                  <c:v>45779</c:v>
                </c:pt>
                <c:pt idx="199">
                  <c:v>45778</c:v>
                </c:pt>
                <c:pt idx="200">
                  <c:v>45777</c:v>
                </c:pt>
                <c:pt idx="201">
                  <c:v>45776</c:v>
                </c:pt>
                <c:pt idx="202">
                  <c:v>45775</c:v>
                </c:pt>
                <c:pt idx="203">
                  <c:v>45774</c:v>
                </c:pt>
                <c:pt idx="204">
                  <c:v>45773</c:v>
                </c:pt>
                <c:pt idx="205">
                  <c:v>45772</c:v>
                </c:pt>
                <c:pt idx="206">
                  <c:v>45771</c:v>
                </c:pt>
                <c:pt idx="207">
                  <c:v>45770</c:v>
                </c:pt>
                <c:pt idx="208">
                  <c:v>45769</c:v>
                </c:pt>
                <c:pt idx="209">
                  <c:v>45768</c:v>
                </c:pt>
                <c:pt idx="210">
                  <c:v>45767</c:v>
                </c:pt>
                <c:pt idx="211">
                  <c:v>45766</c:v>
                </c:pt>
                <c:pt idx="212">
                  <c:v>45765</c:v>
                </c:pt>
                <c:pt idx="213">
                  <c:v>45764</c:v>
                </c:pt>
                <c:pt idx="214">
                  <c:v>45763</c:v>
                </c:pt>
                <c:pt idx="215">
                  <c:v>45762</c:v>
                </c:pt>
                <c:pt idx="216">
                  <c:v>45761</c:v>
                </c:pt>
                <c:pt idx="217">
                  <c:v>45760</c:v>
                </c:pt>
                <c:pt idx="218">
                  <c:v>45759</c:v>
                </c:pt>
                <c:pt idx="219">
                  <c:v>45758</c:v>
                </c:pt>
                <c:pt idx="220">
                  <c:v>45757</c:v>
                </c:pt>
                <c:pt idx="221">
                  <c:v>45756</c:v>
                </c:pt>
                <c:pt idx="222">
                  <c:v>45755</c:v>
                </c:pt>
                <c:pt idx="223">
                  <c:v>45754</c:v>
                </c:pt>
                <c:pt idx="224">
                  <c:v>45753</c:v>
                </c:pt>
                <c:pt idx="225">
                  <c:v>45752</c:v>
                </c:pt>
                <c:pt idx="226">
                  <c:v>45751</c:v>
                </c:pt>
                <c:pt idx="227">
                  <c:v>45750</c:v>
                </c:pt>
                <c:pt idx="228">
                  <c:v>45749</c:v>
                </c:pt>
                <c:pt idx="229">
                  <c:v>45748</c:v>
                </c:pt>
                <c:pt idx="230">
                  <c:v>45747</c:v>
                </c:pt>
                <c:pt idx="231">
                  <c:v>45746</c:v>
                </c:pt>
                <c:pt idx="232">
                  <c:v>45745</c:v>
                </c:pt>
                <c:pt idx="233">
                  <c:v>45744</c:v>
                </c:pt>
                <c:pt idx="234">
                  <c:v>45743</c:v>
                </c:pt>
                <c:pt idx="235">
                  <c:v>45742</c:v>
                </c:pt>
                <c:pt idx="236">
                  <c:v>45741</c:v>
                </c:pt>
                <c:pt idx="237">
                  <c:v>45740</c:v>
                </c:pt>
                <c:pt idx="238">
                  <c:v>45739</c:v>
                </c:pt>
                <c:pt idx="239">
                  <c:v>45738</c:v>
                </c:pt>
                <c:pt idx="240">
                  <c:v>45737</c:v>
                </c:pt>
                <c:pt idx="241">
                  <c:v>45736</c:v>
                </c:pt>
                <c:pt idx="242">
                  <c:v>45735</c:v>
                </c:pt>
                <c:pt idx="243">
                  <c:v>45734</c:v>
                </c:pt>
                <c:pt idx="244">
                  <c:v>45733</c:v>
                </c:pt>
                <c:pt idx="245">
                  <c:v>45732</c:v>
                </c:pt>
                <c:pt idx="246">
                  <c:v>45731</c:v>
                </c:pt>
                <c:pt idx="247">
                  <c:v>45730</c:v>
                </c:pt>
                <c:pt idx="248">
                  <c:v>45729</c:v>
                </c:pt>
                <c:pt idx="249">
                  <c:v>45728</c:v>
                </c:pt>
                <c:pt idx="250">
                  <c:v>45727</c:v>
                </c:pt>
                <c:pt idx="251">
                  <c:v>45726</c:v>
                </c:pt>
                <c:pt idx="252">
                  <c:v>45725</c:v>
                </c:pt>
                <c:pt idx="253">
                  <c:v>45724</c:v>
                </c:pt>
                <c:pt idx="254">
                  <c:v>45723</c:v>
                </c:pt>
                <c:pt idx="255">
                  <c:v>45722</c:v>
                </c:pt>
                <c:pt idx="256">
                  <c:v>45721</c:v>
                </c:pt>
                <c:pt idx="257">
                  <c:v>45720</c:v>
                </c:pt>
                <c:pt idx="258">
                  <c:v>45719</c:v>
                </c:pt>
                <c:pt idx="259">
                  <c:v>45718</c:v>
                </c:pt>
                <c:pt idx="260">
                  <c:v>45717</c:v>
                </c:pt>
                <c:pt idx="261">
                  <c:v>45716</c:v>
                </c:pt>
                <c:pt idx="262">
                  <c:v>45715</c:v>
                </c:pt>
                <c:pt idx="263">
                  <c:v>45714</c:v>
                </c:pt>
                <c:pt idx="264">
                  <c:v>45713</c:v>
                </c:pt>
                <c:pt idx="265">
                  <c:v>45712</c:v>
                </c:pt>
                <c:pt idx="266">
                  <c:v>45711</c:v>
                </c:pt>
                <c:pt idx="267">
                  <c:v>45710</c:v>
                </c:pt>
                <c:pt idx="268">
                  <c:v>45709</c:v>
                </c:pt>
                <c:pt idx="269">
                  <c:v>45708</c:v>
                </c:pt>
                <c:pt idx="270">
                  <c:v>45707</c:v>
                </c:pt>
                <c:pt idx="271">
                  <c:v>45706</c:v>
                </c:pt>
                <c:pt idx="272">
                  <c:v>45705</c:v>
                </c:pt>
                <c:pt idx="273">
                  <c:v>45704</c:v>
                </c:pt>
                <c:pt idx="274">
                  <c:v>45703</c:v>
                </c:pt>
                <c:pt idx="275">
                  <c:v>45702</c:v>
                </c:pt>
                <c:pt idx="276">
                  <c:v>45701</c:v>
                </c:pt>
                <c:pt idx="277">
                  <c:v>45700</c:v>
                </c:pt>
                <c:pt idx="278">
                  <c:v>45699</c:v>
                </c:pt>
                <c:pt idx="279">
                  <c:v>45698</c:v>
                </c:pt>
                <c:pt idx="280">
                  <c:v>45697</c:v>
                </c:pt>
                <c:pt idx="281">
                  <c:v>45696</c:v>
                </c:pt>
                <c:pt idx="282">
                  <c:v>45695</c:v>
                </c:pt>
                <c:pt idx="283">
                  <c:v>45694</c:v>
                </c:pt>
                <c:pt idx="284">
                  <c:v>45693</c:v>
                </c:pt>
                <c:pt idx="285">
                  <c:v>45692</c:v>
                </c:pt>
                <c:pt idx="286">
                  <c:v>45691</c:v>
                </c:pt>
                <c:pt idx="287">
                  <c:v>45690</c:v>
                </c:pt>
                <c:pt idx="288">
                  <c:v>45689</c:v>
                </c:pt>
                <c:pt idx="289">
                  <c:v>45688</c:v>
                </c:pt>
                <c:pt idx="290">
                  <c:v>45687</c:v>
                </c:pt>
                <c:pt idx="291">
                  <c:v>45686</c:v>
                </c:pt>
                <c:pt idx="292">
                  <c:v>45685</c:v>
                </c:pt>
                <c:pt idx="293">
                  <c:v>45684</c:v>
                </c:pt>
                <c:pt idx="294">
                  <c:v>45683</c:v>
                </c:pt>
                <c:pt idx="295">
                  <c:v>45682</c:v>
                </c:pt>
                <c:pt idx="296">
                  <c:v>45681</c:v>
                </c:pt>
                <c:pt idx="297">
                  <c:v>45680</c:v>
                </c:pt>
                <c:pt idx="298">
                  <c:v>45679</c:v>
                </c:pt>
                <c:pt idx="299">
                  <c:v>45678</c:v>
                </c:pt>
                <c:pt idx="300">
                  <c:v>45677</c:v>
                </c:pt>
                <c:pt idx="301">
                  <c:v>45676</c:v>
                </c:pt>
                <c:pt idx="302">
                  <c:v>45675</c:v>
                </c:pt>
                <c:pt idx="303">
                  <c:v>45674</c:v>
                </c:pt>
                <c:pt idx="304">
                  <c:v>45673</c:v>
                </c:pt>
                <c:pt idx="305">
                  <c:v>45672</c:v>
                </c:pt>
                <c:pt idx="306">
                  <c:v>45671</c:v>
                </c:pt>
                <c:pt idx="307">
                  <c:v>45670</c:v>
                </c:pt>
                <c:pt idx="308">
                  <c:v>45669</c:v>
                </c:pt>
                <c:pt idx="309">
                  <c:v>45668</c:v>
                </c:pt>
                <c:pt idx="310">
                  <c:v>45667</c:v>
                </c:pt>
                <c:pt idx="311">
                  <c:v>45666</c:v>
                </c:pt>
                <c:pt idx="312">
                  <c:v>45665</c:v>
                </c:pt>
                <c:pt idx="313">
                  <c:v>45664</c:v>
                </c:pt>
                <c:pt idx="314">
                  <c:v>45663</c:v>
                </c:pt>
                <c:pt idx="315">
                  <c:v>45662</c:v>
                </c:pt>
                <c:pt idx="316">
                  <c:v>45661</c:v>
                </c:pt>
                <c:pt idx="317">
                  <c:v>45660</c:v>
                </c:pt>
                <c:pt idx="318">
                  <c:v>45659</c:v>
                </c:pt>
                <c:pt idx="319">
                  <c:v>45658</c:v>
                </c:pt>
                <c:pt idx="320">
                  <c:v>45657</c:v>
                </c:pt>
                <c:pt idx="321">
                  <c:v>45656</c:v>
                </c:pt>
                <c:pt idx="322">
                  <c:v>45655</c:v>
                </c:pt>
                <c:pt idx="323">
                  <c:v>45654</c:v>
                </c:pt>
                <c:pt idx="324">
                  <c:v>45653</c:v>
                </c:pt>
                <c:pt idx="325">
                  <c:v>45652</c:v>
                </c:pt>
                <c:pt idx="326">
                  <c:v>45651</c:v>
                </c:pt>
                <c:pt idx="327">
                  <c:v>45650</c:v>
                </c:pt>
                <c:pt idx="328">
                  <c:v>45649</c:v>
                </c:pt>
                <c:pt idx="329">
                  <c:v>45648</c:v>
                </c:pt>
                <c:pt idx="330">
                  <c:v>45647</c:v>
                </c:pt>
                <c:pt idx="331">
                  <c:v>45646</c:v>
                </c:pt>
                <c:pt idx="332">
                  <c:v>45645</c:v>
                </c:pt>
                <c:pt idx="333">
                  <c:v>45644</c:v>
                </c:pt>
                <c:pt idx="334">
                  <c:v>45643</c:v>
                </c:pt>
                <c:pt idx="335">
                  <c:v>45642</c:v>
                </c:pt>
                <c:pt idx="336">
                  <c:v>45641</c:v>
                </c:pt>
                <c:pt idx="337">
                  <c:v>45640</c:v>
                </c:pt>
                <c:pt idx="338">
                  <c:v>45639</c:v>
                </c:pt>
                <c:pt idx="339">
                  <c:v>45638</c:v>
                </c:pt>
                <c:pt idx="340">
                  <c:v>45637</c:v>
                </c:pt>
                <c:pt idx="341">
                  <c:v>45636</c:v>
                </c:pt>
                <c:pt idx="342">
                  <c:v>45635</c:v>
                </c:pt>
                <c:pt idx="343">
                  <c:v>45634</c:v>
                </c:pt>
                <c:pt idx="344">
                  <c:v>45633</c:v>
                </c:pt>
                <c:pt idx="345">
                  <c:v>45632</c:v>
                </c:pt>
                <c:pt idx="346">
                  <c:v>45631</c:v>
                </c:pt>
                <c:pt idx="347">
                  <c:v>45630</c:v>
                </c:pt>
                <c:pt idx="348">
                  <c:v>45629</c:v>
                </c:pt>
                <c:pt idx="349">
                  <c:v>45628</c:v>
                </c:pt>
                <c:pt idx="350">
                  <c:v>45627</c:v>
                </c:pt>
                <c:pt idx="351">
                  <c:v>45626</c:v>
                </c:pt>
                <c:pt idx="352">
                  <c:v>45625</c:v>
                </c:pt>
                <c:pt idx="353">
                  <c:v>45624</c:v>
                </c:pt>
                <c:pt idx="354">
                  <c:v>45623</c:v>
                </c:pt>
                <c:pt idx="355">
                  <c:v>45622</c:v>
                </c:pt>
                <c:pt idx="356">
                  <c:v>45621</c:v>
                </c:pt>
                <c:pt idx="357">
                  <c:v>45620</c:v>
                </c:pt>
                <c:pt idx="358">
                  <c:v>45619</c:v>
                </c:pt>
                <c:pt idx="359">
                  <c:v>45618</c:v>
                </c:pt>
                <c:pt idx="360">
                  <c:v>45617</c:v>
                </c:pt>
                <c:pt idx="361">
                  <c:v>45616</c:v>
                </c:pt>
                <c:pt idx="362">
                  <c:v>45615</c:v>
                </c:pt>
                <c:pt idx="363">
                  <c:v>45614</c:v>
                </c:pt>
                <c:pt idx="364">
                  <c:v>45613</c:v>
                </c:pt>
                <c:pt idx="365">
                  <c:v>45612</c:v>
                </c:pt>
                <c:pt idx="366">
                  <c:v>45611</c:v>
                </c:pt>
                <c:pt idx="367">
                  <c:v>45610</c:v>
                </c:pt>
                <c:pt idx="368">
                  <c:v>45609</c:v>
                </c:pt>
                <c:pt idx="369">
                  <c:v>45608</c:v>
                </c:pt>
                <c:pt idx="370">
                  <c:v>45607</c:v>
                </c:pt>
                <c:pt idx="371">
                  <c:v>45606</c:v>
                </c:pt>
                <c:pt idx="372">
                  <c:v>45605</c:v>
                </c:pt>
                <c:pt idx="373">
                  <c:v>45604</c:v>
                </c:pt>
                <c:pt idx="374">
                  <c:v>45603</c:v>
                </c:pt>
                <c:pt idx="375">
                  <c:v>45602</c:v>
                </c:pt>
                <c:pt idx="376">
                  <c:v>45601</c:v>
                </c:pt>
                <c:pt idx="377">
                  <c:v>45600</c:v>
                </c:pt>
                <c:pt idx="378">
                  <c:v>45599</c:v>
                </c:pt>
                <c:pt idx="379">
                  <c:v>45598</c:v>
                </c:pt>
                <c:pt idx="380">
                  <c:v>45597</c:v>
                </c:pt>
                <c:pt idx="381">
                  <c:v>45596</c:v>
                </c:pt>
                <c:pt idx="382">
                  <c:v>45595</c:v>
                </c:pt>
                <c:pt idx="383">
                  <c:v>45594</c:v>
                </c:pt>
                <c:pt idx="384">
                  <c:v>45593</c:v>
                </c:pt>
                <c:pt idx="385">
                  <c:v>45592</c:v>
                </c:pt>
                <c:pt idx="386">
                  <c:v>45591</c:v>
                </c:pt>
                <c:pt idx="387">
                  <c:v>45590</c:v>
                </c:pt>
                <c:pt idx="388">
                  <c:v>45589</c:v>
                </c:pt>
                <c:pt idx="389">
                  <c:v>45588</c:v>
                </c:pt>
                <c:pt idx="390">
                  <c:v>45587</c:v>
                </c:pt>
                <c:pt idx="391">
                  <c:v>45586</c:v>
                </c:pt>
                <c:pt idx="392">
                  <c:v>45585</c:v>
                </c:pt>
                <c:pt idx="393">
                  <c:v>45584</c:v>
                </c:pt>
                <c:pt idx="394">
                  <c:v>45583</c:v>
                </c:pt>
                <c:pt idx="395">
                  <c:v>45582</c:v>
                </c:pt>
                <c:pt idx="396">
                  <c:v>45581</c:v>
                </c:pt>
                <c:pt idx="397">
                  <c:v>45580</c:v>
                </c:pt>
                <c:pt idx="398">
                  <c:v>45579</c:v>
                </c:pt>
                <c:pt idx="399">
                  <c:v>45578</c:v>
                </c:pt>
                <c:pt idx="400">
                  <c:v>45577</c:v>
                </c:pt>
                <c:pt idx="401">
                  <c:v>45576</c:v>
                </c:pt>
                <c:pt idx="402">
                  <c:v>45575</c:v>
                </c:pt>
                <c:pt idx="403">
                  <c:v>45574</c:v>
                </c:pt>
                <c:pt idx="404">
                  <c:v>45573</c:v>
                </c:pt>
              </c:numCache>
            </c:numRef>
          </c:cat>
          <c:val>
            <c:numRef>
              <c:f>Dashboard!$E$154:$E$558</c:f>
              <c:numCache>
                <c:formatCode>General</c:formatCode>
                <c:ptCount val="405"/>
                <c:pt idx="8">
                  <c:v>271.50078215565844</c:v>
                </c:pt>
                <c:pt idx="9">
                  <c:v>270.00075692483108</c:v>
                </c:pt>
                <c:pt idx="10">
                  <c:v>268.50073169400338</c:v>
                </c:pt>
                <c:pt idx="11">
                  <c:v>267.00070646317567</c:v>
                </c:pt>
                <c:pt idx="12">
                  <c:v>265.50068123234797</c:v>
                </c:pt>
                <c:pt idx="13">
                  <c:v>264.00065600152027</c:v>
                </c:pt>
                <c:pt idx="14">
                  <c:v>262.50063077069257</c:v>
                </c:pt>
                <c:pt idx="15">
                  <c:v>261.00060553986486</c:v>
                </c:pt>
                <c:pt idx="16">
                  <c:v>259.50058030903716</c:v>
                </c:pt>
                <c:pt idx="17">
                  <c:v>258.00055507820946</c:v>
                </c:pt>
                <c:pt idx="18">
                  <c:v>256.50052984738176</c:v>
                </c:pt>
                <c:pt idx="19">
                  <c:v>255.00050461655405</c:v>
                </c:pt>
                <c:pt idx="20">
                  <c:v>253.50047938572635</c:v>
                </c:pt>
                <c:pt idx="21">
                  <c:v>252.00045415489865</c:v>
                </c:pt>
                <c:pt idx="22">
                  <c:v>250.50042892407095</c:v>
                </c:pt>
                <c:pt idx="23">
                  <c:v>249.00040369324324</c:v>
                </c:pt>
                <c:pt idx="24">
                  <c:v>247.50037846241554</c:v>
                </c:pt>
                <c:pt idx="25">
                  <c:v>246.00035323158784</c:v>
                </c:pt>
                <c:pt idx="26">
                  <c:v>244.50032800076013</c:v>
                </c:pt>
                <c:pt idx="27">
                  <c:v>243.00030276993243</c:v>
                </c:pt>
                <c:pt idx="28">
                  <c:v>241.50027753910473</c:v>
                </c:pt>
                <c:pt idx="29">
                  <c:v>240.00025230827703</c:v>
                </c:pt>
                <c:pt idx="30">
                  <c:v>238.50022707744932</c:v>
                </c:pt>
                <c:pt idx="31">
                  <c:v>237.00020184662162</c:v>
                </c:pt>
                <c:pt idx="32">
                  <c:v>235.50017661579392</c:v>
                </c:pt>
                <c:pt idx="33">
                  <c:v>234.00015138496622</c:v>
                </c:pt>
                <c:pt idx="34">
                  <c:v>232.50012615413851</c:v>
                </c:pt>
                <c:pt idx="35">
                  <c:v>231.00010092331081</c:v>
                </c:pt>
                <c:pt idx="36">
                  <c:v>229.50007569248311</c:v>
                </c:pt>
                <c:pt idx="37">
                  <c:v>228.00005046165541</c:v>
                </c:pt>
                <c:pt idx="38">
                  <c:v>226.5000252308277</c:v>
                </c:pt>
                <c:pt idx="39">
                  <c:v>225</c:v>
                </c:pt>
              </c:numCache>
            </c:numRef>
          </c:val>
          <c:smooth val="0"/>
          <c:extLst>
            <c:ext xmlns:c16="http://schemas.microsoft.com/office/drawing/2014/chart" uri="{C3380CC4-5D6E-409C-BE32-E72D297353CC}">
              <c16:uniqueId val="{00000001-7945-4CFF-8C44-39088B05CB15}"/>
            </c:ext>
          </c:extLst>
        </c:ser>
        <c:dLbls>
          <c:showLegendKey val="0"/>
          <c:showVal val="0"/>
          <c:showCatName val="0"/>
          <c:showSerName val="0"/>
          <c:showPercent val="0"/>
          <c:showBubbleSize val="0"/>
        </c:dLbls>
        <c:marker val="1"/>
        <c:smooth val="0"/>
        <c:axId val="777888655"/>
        <c:axId val="777885295"/>
      </c:lineChart>
      <c:lineChart>
        <c:grouping val="standard"/>
        <c:varyColors val="0"/>
        <c:ser>
          <c:idx val="0"/>
          <c:order val="0"/>
          <c:spPr>
            <a:ln w="19050" cap="rnd">
              <a:solidFill>
                <a:srgbClr val="7B1314"/>
              </a:solidFill>
              <a:round/>
            </a:ln>
            <a:effectLst>
              <a:glow rad="101600">
                <a:schemeClr val="accent1">
                  <a:satMod val="175000"/>
                  <a:alpha val="10000"/>
                </a:schemeClr>
              </a:glow>
            </a:effectLst>
          </c:spPr>
          <c:marker>
            <c:symbol val="none"/>
          </c:marker>
          <c:cat>
            <c:numRef>
              <c:f>Dashboard!$C$154:$C$558</c:f>
              <c:numCache>
                <c:formatCode>yyyy\-mm\-dd;@</c:formatCode>
                <c:ptCount val="405"/>
                <c:pt idx="0">
                  <c:v>45977</c:v>
                </c:pt>
                <c:pt idx="1">
                  <c:v>45976</c:v>
                </c:pt>
                <c:pt idx="2">
                  <c:v>45975</c:v>
                </c:pt>
                <c:pt idx="3">
                  <c:v>45974</c:v>
                </c:pt>
                <c:pt idx="4">
                  <c:v>45973</c:v>
                </c:pt>
                <c:pt idx="5">
                  <c:v>45972</c:v>
                </c:pt>
                <c:pt idx="6">
                  <c:v>45971</c:v>
                </c:pt>
                <c:pt idx="7">
                  <c:v>45970</c:v>
                </c:pt>
                <c:pt idx="8">
                  <c:v>45969</c:v>
                </c:pt>
                <c:pt idx="9">
                  <c:v>45968</c:v>
                </c:pt>
                <c:pt idx="10">
                  <c:v>45967</c:v>
                </c:pt>
                <c:pt idx="11">
                  <c:v>45966</c:v>
                </c:pt>
                <c:pt idx="12">
                  <c:v>45965</c:v>
                </c:pt>
                <c:pt idx="13">
                  <c:v>45964</c:v>
                </c:pt>
                <c:pt idx="14">
                  <c:v>45963</c:v>
                </c:pt>
                <c:pt idx="15">
                  <c:v>45962</c:v>
                </c:pt>
                <c:pt idx="16">
                  <c:v>45961</c:v>
                </c:pt>
                <c:pt idx="17">
                  <c:v>45960</c:v>
                </c:pt>
                <c:pt idx="18">
                  <c:v>45959</c:v>
                </c:pt>
                <c:pt idx="19">
                  <c:v>45958</c:v>
                </c:pt>
                <c:pt idx="20">
                  <c:v>45957</c:v>
                </c:pt>
                <c:pt idx="21">
                  <c:v>45956</c:v>
                </c:pt>
                <c:pt idx="22">
                  <c:v>45955</c:v>
                </c:pt>
                <c:pt idx="23">
                  <c:v>45954</c:v>
                </c:pt>
                <c:pt idx="24">
                  <c:v>45953</c:v>
                </c:pt>
                <c:pt idx="25">
                  <c:v>45952</c:v>
                </c:pt>
                <c:pt idx="26">
                  <c:v>45951</c:v>
                </c:pt>
                <c:pt idx="27">
                  <c:v>45950</c:v>
                </c:pt>
                <c:pt idx="28">
                  <c:v>45949</c:v>
                </c:pt>
                <c:pt idx="29">
                  <c:v>45948</c:v>
                </c:pt>
                <c:pt idx="30">
                  <c:v>45947</c:v>
                </c:pt>
                <c:pt idx="31">
                  <c:v>45946</c:v>
                </c:pt>
                <c:pt idx="32">
                  <c:v>45945</c:v>
                </c:pt>
                <c:pt idx="33">
                  <c:v>45944</c:v>
                </c:pt>
                <c:pt idx="34">
                  <c:v>45943</c:v>
                </c:pt>
                <c:pt idx="35">
                  <c:v>45942</c:v>
                </c:pt>
                <c:pt idx="36">
                  <c:v>45941</c:v>
                </c:pt>
                <c:pt idx="37">
                  <c:v>45940</c:v>
                </c:pt>
                <c:pt idx="38">
                  <c:v>45939</c:v>
                </c:pt>
                <c:pt idx="39">
                  <c:v>45938</c:v>
                </c:pt>
                <c:pt idx="40">
                  <c:v>45937</c:v>
                </c:pt>
                <c:pt idx="41">
                  <c:v>45936</c:v>
                </c:pt>
                <c:pt idx="42">
                  <c:v>45935</c:v>
                </c:pt>
                <c:pt idx="43">
                  <c:v>45934</c:v>
                </c:pt>
                <c:pt idx="44">
                  <c:v>45933</c:v>
                </c:pt>
                <c:pt idx="45">
                  <c:v>45932</c:v>
                </c:pt>
                <c:pt idx="46">
                  <c:v>45931</c:v>
                </c:pt>
                <c:pt idx="47">
                  <c:v>45930</c:v>
                </c:pt>
                <c:pt idx="48">
                  <c:v>45929</c:v>
                </c:pt>
                <c:pt idx="49">
                  <c:v>45928</c:v>
                </c:pt>
                <c:pt idx="50">
                  <c:v>45927</c:v>
                </c:pt>
                <c:pt idx="51">
                  <c:v>45926</c:v>
                </c:pt>
                <c:pt idx="52">
                  <c:v>45925</c:v>
                </c:pt>
                <c:pt idx="53">
                  <c:v>45924</c:v>
                </c:pt>
                <c:pt idx="54">
                  <c:v>45923</c:v>
                </c:pt>
                <c:pt idx="55">
                  <c:v>45922</c:v>
                </c:pt>
                <c:pt idx="56">
                  <c:v>45921</c:v>
                </c:pt>
                <c:pt idx="57">
                  <c:v>45920</c:v>
                </c:pt>
                <c:pt idx="58">
                  <c:v>45919</c:v>
                </c:pt>
                <c:pt idx="59">
                  <c:v>45918</c:v>
                </c:pt>
                <c:pt idx="60">
                  <c:v>45917</c:v>
                </c:pt>
                <c:pt idx="61">
                  <c:v>45916</c:v>
                </c:pt>
                <c:pt idx="62">
                  <c:v>45915</c:v>
                </c:pt>
                <c:pt idx="63">
                  <c:v>45914</c:v>
                </c:pt>
                <c:pt idx="64">
                  <c:v>45913</c:v>
                </c:pt>
                <c:pt idx="65">
                  <c:v>45912</c:v>
                </c:pt>
                <c:pt idx="66">
                  <c:v>45911</c:v>
                </c:pt>
                <c:pt idx="67">
                  <c:v>45910</c:v>
                </c:pt>
                <c:pt idx="68">
                  <c:v>45909</c:v>
                </c:pt>
                <c:pt idx="69">
                  <c:v>45908</c:v>
                </c:pt>
                <c:pt idx="70">
                  <c:v>45907</c:v>
                </c:pt>
                <c:pt idx="71">
                  <c:v>45906</c:v>
                </c:pt>
                <c:pt idx="72">
                  <c:v>45905</c:v>
                </c:pt>
                <c:pt idx="73">
                  <c:v>45904</c:v>
                </c:pt>
                <c:pt idx="74">
                  <c:v>45903</c:v>
                </c:pt>
                <c:pt idx="75">
                  <c:v>45902</c:v>
                </c:pt>
                <c:pt idx="76">
                  <c:v>45901</c:v>
                </c:pt>
                <c:pt idx="77">
                  <c:v>45900</c:v>
                </c:pt>
                <c:pt idx="78">
                  <c:v>45899</c:v>
                </c:pt>
                <c:pt idx="79">
                  <c:v>45898</c:v>
                </c:pt>
                <c:pt idx="80">
                  <c:v>45897</c:v>
                </c:pt>
                <c:pt idx="81">
                  <c:v>45896</c:v>
                </c:pt>
                <c:pt idx="82">
                  <c:v>45895</c:v>
                </c:pt>
                <c:pt idx="83">
                  <c:v>45894</c:v>
                </c:pt>
                <c:pt idx="84">
                  <c:v>45893</c:v>
                </c:pt>
                <c:pt idx="85">
                  <c:v>45892</c:v>
                </c:pt>
                <c:pt idx="86">
                  <c:v>45891</c:v>
                </c:pt>
                <c:pt idx="87">
                  <c:v>45890</c:v>
                </c:pt>
                <c:pt idx="88">
                  <c:v>45889</c:v>
                </c:pt>
                <c:pt idx="89">
                  <c:v>45888</c:v>
                </c:pt>
                <c:pt idx="90">
                  <c:v>45887</c:v>
                </c:pt>
                <c:pt idx="91">
                  <c:v>45886</c:v>
                </c:pt>
                <c:pt idx="92">
                  <c:v>45885</c:v>
                </c:pt>
                <c:pt idx="93">
                  <c:v>45884</c:v>
                </c:pt>
                <c:pt idx="94">
                  <c:v>45883</c:v>
                </c:pt>
                <c:pt idx="95">
                  <c:v>45882</c:v>
                </c:pt>
                <c:pt idx="96">
                  <c:v>45881</c:v>
                </c:pt>
                <c:pt idx="97">
                  <c:v>45880</c:v>
                </c:pt>
                <c:pt idx="98">
                  <c:v>45879</c:v>
                </c:pt>
                <c:pt idx="99">
                  <c:v>45878</c:v>
                </c:pt>
                <c:pt idx="100">
                  <c:v>45877</c:v>
                </c:pt>
                <c:pt idx="101">
                  <c:v>45876</c:v>
                </c:pt>
                <c:pt idx="102">
                  <c:v>45875</c:v>
                </c:pt>
                <c:pt idx="103">
                  <c:v>45874</c:v>
                </c:pt>
                <c:pt idx="104">
                  <c:v>45873</c:v>
                </c:pt>
                <c:pt idx="105">
                  <c:v>45872</c:v>
                </c:pt>
                <c:pt idx="106">
                  <c:v>45871</c:v>
                </c:pt>
                <c:pt idx="107">
                  <c:v>45870</c:v>
                </c:pt>
                <c:pt idx="108">
                  <c:v>45869</c:v>
                </c:pt>
                <c:pt idx="109">
                  <c:v>45868</c:v>
                </c:pt>
                <c:pt idx="110">
                  <c:v>45867</c:v>
                </c:pt>
                <c:pt idx="111">
                  <c:v>45866</c:v>
                </c:pt>
                <c:pt idx="112">
                  <c:v>45865</c:v>
                </c:pt>
                <c:pt idx="113">
                  <c:v>45864</c:v>
                </c:pt>
                <c:pt idx="114">
                  <c:v>45863</c:v>
                </c:pt>
                <c:pt idx="115">
                  <c:v>45862</c:v>
                </c:pt>
                <c:pt idx="116">
                  <c:v>45861</c:v>
                </c:pt>
                <c:pt idx="117">
                  <c:v>45860</c:v>
                </c:pt>
                <c:pt idx="118">
                  <c:v>45859</c:v>
                </c:pt>
                <c:pt idx="119">
                  <c:v>45858</c:v>
                </c:pt>
                <c:pt idx="120">
                  <c:v>45857</c:v>
                </c:pt>
                <c:pt idx="121">
                  <c:v>45856</c:v>
                </c:pt>
                <c:pt idx="122">
                  <c:v>45855</c:v>
                </c:pt>
                <c:pt idx="123">
                  <c:v>45854</c:v>
                </c:pt>
                <c:pt idx="124">
                  <c:v>45853</c:v>
                </c:pt>
                <c:pt idx="125">
                  <c:v>45852</c:v>
                </c:pt>
                <c:pt idx="126">
                  <c:v>45851</c:v>
                </c:pt>
                <c:pt idx="127">
                  <c:v>45850</c:v>
                </c:pt>
                <c:pt idx="128">
                  <c:v>45849</c:v>
                </c:pt>
                <c:pt idx="129">
                  <c:v>45848</c:v>
                </c:pt>
                <c:pt idx="130">
                  <c:v>45847</c:v>
                </c:pt>
                <c:pt idx="131">
                  <c:v>45846</c:v>
                </c:pt>
                <c:pt idx="132">
                  <c:v>45845</c:v>
                </c:pt>
                <c:pt idx="133">
                  <c:v>45844</c:v>
                </c:pt>
                <c:pt idx="134">
                  <c:v>45843</c:v>
                </c:pt>
                <c:pt idx="135">
                  <c:v>45842</c:v>
                </c:pt>
                <c:pt idx="136">
                  <c:v>45841</c:v>
                </c:pt>
                <c:pt idx="137">
                  <c:v>45840</c:v>
                </c:pt>
                <c:pt idx="138">
                  <c:v>45839</c:v>
                </c:pt>
                <c:pt idx="139">
                  <c:v>45838</c:v>
                </c:pt>
                <c:pt idx="140">
                  <c:v>45837</c:v>
                </c:pt>
                <c:pt idx="141">
                  <c:v>45836</c:v>
                </c:pt>
                <c:pt idx="142">
                  <c:v>45835</c:v>
                </c:pt>
                <c:pt idx="143">
                  <c:v>45834</c:v>
                </c:pt>
                <c:pt idx="144">
                  <c:v>45833</c:v>
                </c:pt>
                <c:pt idx="145">
                  <c:v>45832</c:v>
                </c:pt>
                <c:pt idx="146">
                  <c:v>45831</c:v>
                </c:pt>
                <c:pt idx="147">
                  <c:v>45830</c:v>
                </c:pt>
                <c:pt idx="148">
                  <c:v>45829</c:v>
                </c:pt>
                <c:pt idx="149">
                  <c:v>45828</c:v>
                </c:pt>
                <c:pt idx="150">
                  <c:v>45827</c:v>
                </c:pt>
                <c:pt idx="151">
                  <c:v>45826</c:v>
                </c:pt>
                <c:pt idx="152">
                  <c:v>45825</c:v>
                </c:pt>
                <c:pt idx="153">
                  <c:v>45824</c:v>
                </c:pt>
                <c:pt idx="154">
                  <c:v>45823</c:v>
                </c:pt>
                <c:pt idx="155">
                  <c:v>45822</c:v>
                </c:pt>
                <c:pt idx="156">
                  <c:v>45821</c:v>
                </c:pt>
                <c:pt idx="157">
                  <c:v>45820</c:v>
                </c:pt>
                <c:pt idx="158">
                  <c:v>45819</c:v>
                </c:pt>
                <c:pt idx="159">
                  <c:v>45818</c:v>
                </c:pt>
                <c:pt idx="160">
                  <c:v>45817</c:v>
                </c:pt>
                <c:pt idx="161">
                  <c:v>45816</c:v>
                </c:pt>
                <c:pt idx="162">
                  <c:v>45815</c:v>
                </c:pt>
                <c:pt idx="163">
                  <c:v>45814</c:v>
                </c:pt>
                <c:pt idx="164">
                  <c:v>45813</c:v>
                </c:pt>
                <c:pt idx="165">
                  <c:v>45812</c:v>
                </c:pt>
                <c:pt idx="166">
                  <c:v>45811</c:v>
                </c:pt>
                <c:pt idx="167">
                  <c:v>45810</c:v>
                </c:pt>
                <c:pt idx="168">
                  <c:v>45809</c:v>
                </c:pt>
                <c:pt idx="169">
                  <c:v>45808</c:v>
                </c:pt>
                <c:pt idx="170">
                  <c:v>45807</c:v>
                </c:pt>
                <c:pt idx="171">
                  <c:v>45806</c:v>
                </c:pt>
                <c:pt idx="172">
                  <c:v>45805</c:v>
                </c:pt>
                <c:pt idx="173">
                  <c:v>45804</c:v>
                </c:pt>
                <c:pt idx="174">
                  <c:v>45803</c:v>
                </c:pt>
                <c:pt idx="175">
                  <c:v>45802</c:v>
                </c:pt>
                <c:pt idx="176">
                  <c:v>45801</c:v>
                </c:pt>
                <c:pt idx="177">
                  <c:v>45800</c:v>
                </c:pt>
                <c:pt idx="178">
                  <c:v>45799</c:v>
                </c:pt>
                <c:pt idx="179">
                  <c:v>45798</c:v>
                </c:pt>
                <c:pt idx="180">
                  <c:v>45797</c:v>
                </c:pt>
                <c:pt idx="181">
                  <c:v>45796</c:v>
                </c:pt>
                <c:pt idx="182">
                  <c:v>45795</c:v>
                </c:pt>
                <c:pt idx="183">
                  <c:v>45794</c:v>
                </c:pt>
                <c:pt idx="184">
                  <c:v>45793</c:v>
                </c:pt>
                <c:pt idx="185">
                  <c:v>45792</c:v>
                </c:pt>
                <c:pt idx="186">
                  <c:v>45791</c:v>
                </c:pt>
                <c:pt idx="187">
                  <c:v>45790</c:v>
                </c:pt>
                <c:pt idx="188">
                  <c:v>45789</c:v>
                </c:pt>
                <c:pt idx="189">
                  <c:v>45788</c:v>
                </c:pt>
                <c:pt idx="190">
                  <c:v>45787</c:v>
                </c:pt>
                <c:pt idx="191">
                  <c:v>45786</c:v>
                </c:pt>
                <c:pt idx="192">
                  <c:v>45785</c:v>
                </c:pt>
                <c:pt idx="193">
                  <c:v>45784</c:v>
                </c:pt>
                <c:pt idx="194">
                  <c:v>45783</c:v>
                </c:pt>
                <c:pt idx="195">
                  <c:v>45782</c:v>
                </c:pt>
                <c:pt idx="196">
                  <c:v>45781</c:v>
                </c:pt>
                <c:pt idx="197">
                  <c:v>45780</c:v>
                </c:pt>
                <c:pt idx="198">
                  <c:v>45779</c:v>
                </c:pt>
                <c:pt idx="199">
                  <c:v>45778</c:v>
                </c:pt>
                <c:pt idx="200">
                  <c:v>45777</c:v>
                </c:pt>
                <c:pt idx="201">
                  <c:v>45776</c:v>
                </c:pt>
                <c:pt idx="202">
                  <c:v>45775</c:v>
                </c:pt>
                <c:pt idx="203">
                  <c:v>45774</c:v>
                </c:pt>
                <c:pt idx="204">
                  <c:v>45773</c:v>
                </c:pt>
                <c:pt idx="205">
                  <c:v>45772</c:v>
                </c:pt>
                <c:pt idx="206">
                  <c:v>45771</c:v>
                </c:pt>
                <c:pt idx="207">
                  <c:v>45770</c:v>
                </c:pt>
                <c:pt idx="208">
                  <c:v>45769</c:v>
                </c:pt>
                <c:pt idx="209">
                  <c:v>45768</c:v>
                </c:pt>
                <c:pt idx="210">
                  <c:v>45767</c:v>
                </c:pt>
                <c:pt idx="211">
                  <c:v>45766</c:v>
                </c:pt>
                <c:pt idx="212">
                  <c:v>45765</c:v>
                </c:pt>
                <c:pt idx="213">
                  <c:v>45764</c:v>
                </c:pt>
                <c:pt idx="214">
                  <c:v>45763</c:v>
                </c:pt>
                <c:pt idx="215">
                  <c:v>45762</c:v>
                </c:pt>
                <c:pt idx="216">
                  <c:v>45761</c:v>
                </c:pt>
                <c:pt idx="217">
                  <c:v>45760</c:v>
                </c:pt>
                <c:pt idx="218">
                  <c:v>45759</c:v>
                </c:pt>
                <c:pt idx="219">
                  <c:v>45758</c:v>
                </c:pt>
                <c:pt idx="220">
                  <c:v>45757</c:v>
                </c:pt>
                <c:pt idx="221">
                  <c:v>45756</c:v>
                </c:pt>
                <c:pt idx="222">
                  <c:v>45755</c:v>
                </c:pt>
                <c:pt idx="223">
                  <c:v>45754</c:v>
                </c:pt>
                <c:pt idx="224">
                  <c:v>45753</c:v>
                </c:pt>
                <c:pt idx="225">
                  <c:v>45752</c:v>
                </c:pt>
                <c:pt idx="226">
                  <c:v>45751</c:v>
                </c:pt>
                <c:pt idx="227">
                  <c:v>45750</c:v>
                </c:pt>
                <c:pt idx="228">
                  <c:v>45749</c:v>
                </c:pt>
                <c:pt idx="229">
                  <c:v>45748</c:v>
                </c:pt>
                <c:pt idx="230">
                  <c:v>45747</c:v>
                </c:pt>
                <c:pt idx="231">
                  <c:v>45746</c:v>
                </c:pt>
                <c:pt idx="232">
                  <c:v>45745</c:v>
                </c:pt>
                <c:pt idx="233">
                  <c:v>45744</c:v>
                </c:pt>
                <c:pt idx="234">
                  <c:v>45743</c:v>
                </c:pt>
                <c:pt idx="235">
                  <c:v>45742</c:v>
                </c:pt>
                <c:pt idx="236">
                  <c:v>45741</c:v>
                </c:pt>
                <c:pt idx="237">
                  <c:v>45740</c:v>
                </c:pt>
                <c:pt idx="238">
                  <c:v>45739</c:v>
                </c:pt>
                <c:pt idx="239">
                  <c:v>45738</c:v>
                </c:pt>
                <c:pt idx="240">
                  <c:v>45737</c:v>
                </c:pt>
                <c:pt idx="241">
                  <c:v>45736</c:v>
                </c:pt>
                <c:pt idx="242">
                  <c:v>45735</c:v>
                </c:pt>
                <c:pt idx="243">
                  <c:v>45734</c:v>
                </c:pt>
                <c:pt idx="244">
                  <c:v>45733</c:v>
                </c:pt>
                <c:pt idx="245">
                  <c:v>45732</c:v>
                </c:pt>
                <c:pt idx="246">
                  <c:v>45731</c:v>
                </c:pt>
                <c:pt idx="247">
                  <c:v>45730</c:v>
                </c:pt>
                <c:pt idx="248">
                  <c:v>45729</c:v>
                </c:pt>
                <c:pt idx="249">
                  <c:v>45728</c:v>
                </c:pt>
                <c:pt idx="250">
                  <c:v>45727</c:v>
                </c:pt>
                <c:pt idx="251">
                  <c:v>45726</c:v>
                </c:pt>
                <c:pt idx="252">
                  <c:v>45725</c:v>
                </c:pt>
                <c:pt idx="253">
                  <c:v>45724</c:v>
                </c:pt>
                <c:pt idx="254">
                  <c:v>45723</c:v>
                </c:pt>
                <c:pt idx="255">
                  <c:v>45722</c:v>
                </c:pt>
                <c:pt idx="256">
                  <c:v>45721</c:v>
                </c:pt>
                <c:pt idx="257">
                  <c:v>45720</c:v>
                </c:pt>
                <c:pt idx="258">
                  <c:v>45719</c:v>
                </c:pt>
                <c:pt idx="259">
                  <c:v>45718</c:v>
                </c:pt>
                <c:pt idx="260">
                  <c:v>45717</c:v>
                </c:pt>
                <c:pt idx="261">
                  <c:v>45716</c:v>
                </c:pt>
                <c:pt idx="262">
                  <c:v>45715</c:v>
                </c:pt>
                <c:pt idx="263">
                  <c:v>45714</c:v>
                </c:pt>
                <c:pt idx="264">
                  <c:v>45713</c:v>
                </c:pt>
                <c:pt idx="265">
                  <c:v>45712</c:v>
                </c:pt>
                <c:pt idx="266">
                  <c:v>45711</c:v>
                </c:pt>
                <c:pt idx="267">
                  <c:v>45710</c:v>
                </c:pt>
                <c:pt idx="268">
                  <c:v>45709</c:v>
                </c:pt>
                <c:pt idx="269">
                  <c:v>45708</c:v>
                </c:pt>
                <c:pt idx="270">
                  <c:v>45707</c:v>
                </c:pt>
                <c:pt idx="271">
                  <c:v>45706</c:v>
                </c:pt>
                <c:pt idx="272">
                  <c:v>45705</c:v>
                </c:pt>
                <c:pt idx="273">
                  <c:v>45704</c:v>
                </c:pt>
                <c:pt idx="274">
                  <c:v>45703</c:v>
                </c:pt>
                <c:pt idx="275">
                  <c:v>45702</c:v>
                </c:pt>
                <c:pt idx="276">
                  <c:v>45701</c:v>
                </c:pt>
                <c:pt idx="277">
                  <c:v>45700</c:v>
                </c:pt>
                <c:pt idx="278">
                  <c:v>45699</c:v>
                </c:pt>
                <c:pt idx="279">
                  <c:v>45698</c:v>
                </c:pt>
                <c:pt idx="280">
                  <c:v>45697</c:v>
                </c:pt>
                <c:pt idx="281">
                  <c:v>45696</c:v>
                </c:pt>
                <c:pt idx="282">
                  <c:v>45695</c:v>
                </c:pt>
                <c:pt idx="283">
                  <c:v>45694</c:v>
                </c:pt>
                <c:pt idx="284">
                  <c:v>45693</c:v>
                </c:pt>
                <c:pt idx="285">
                  <c:v>45692</c:v>
                </c:pt>
                <c:pt idx="286">
                  <c:v>45691</c:v>
                </c:pt>
                <c:pt idx="287">
                  <c:v>45690</c:v>
                </c:pt>
                <c:pt idx="288">
                  <c:v>45689</c:v>
                </c:pt>
                <c:pt idx="289">
                  <c:v>45688</c:v>
                </c:pt>
                <c:pt idx="290">
                  <c:v>45687</c:v>
                </c:pt>
                <c:pt idx="291">
                  <c:v>45686</c:v>
                </c:pt>
                <c:pt idx="292">
                  <c:v>45685</c:v>
                </c:pt>
                <c:pt idx="293">
                  <c:v>45684</c:v>
                </c:pt>
                <c:pt idx="294">
                  <c:v>45683</c:v>
                </c:pt>
                <c:pt idx="295">
                  <c:v>45682</c:v>
                </c:pt>
                <c:pt idx="296">
                  <c:v>45681</c:v>
                </c:pt>
                <c:pt idx="297">
                  <c:v>45680</c:v>
                </c:pt>
                <c:pt idx="298">
                  <c:v>45679</c:v>
                </c:pt>
                <c:pt idx="299">
                  <c:v>45678</c:v>
                </c:pt>
                <c:pt idx="300">
                  <c:v>45677</c:v>
                </c:pt>
                <c:pt idx="301">
                  <c:v>45676</c:v>
                </c:pt>
                <c:pt idx="302">
                  <c:v>45675</c:v>
                </c:pt>
                <c:pt idx="303">
                  <c:v>45674</c:v>
                </c:pt>
                <c:pt idx="304">
                  <c:v>45673</c:v>
                </c:pt>
                <c:pt idx="305">
                  <c:v>45672</c:v>
                </c:pt>
                <c:pt idx="306">
                  <c:v>45671</c:v>
                </c:pt>
                <c:pt idx="307">
                  <c:v>45670</c:v>
                </c:pt>
                <c:pt idx="308">
                  <c:v>45669</c:v>
                </c:pt>
                <c:pt idx="309">
                  <c:v>45668</c:v>
                </c:pt>
                <c:pt idx="310">
                  <c:v>45667</c:v>
                </c:pt>
                <c:pt idx="311">
                  <c:v>45666</c:v>
                </c:pt>
                <c:pt idx="312">
                  <c:v>45665</c:v>
                </c:pt>
                <c:pt idx="313">
                  <c:v>45664</c:v>
                </c:pt>
                <c:pt idx="314">
                  <c:v>45663</c:v>
                </c:pt>
                <c:pt idx="315">
                  <c:v>45662</c:v>
                </c:pt>
                <c:pt idx="316">
                  <c:v>45661</c:v>
                </c:pt>
                <c:pt idx="317">
                  <c:v>45660</c:v>
                </c:pt>
                <c:pt idx="318">
                  <c:v>45659</c:v>
                </c:pt>
                <c:pt idx="319">
                  <c:v>45658</c:v>
                </c:pt>
                <c:pt idx="320">
                  <c:v>45657</c:v>
                </c:pt>
                <c:pt idx="321">
                  <c:v>45656</c:v>
                </c:pt>
                <c:pt idx="322">
                  <c:v>45655</c:v>
                </c:pt>
                <c:pt idx="323">
                  <c:v>45654</c:v>
                </c:pt>
                <c:pt idx="324">
                  <c:v>45653</c:v>
                </c:pt>
                <c:pt idx="325">
                  <c:v>45652</c:v>
                </c:pt>
                <c:pt idx="326">
                  <c:v>45651</c:v>
                </c:pt>
                <c:pt idx="327">
                  <c:v>45650</c:v>
                </c:pt>
                <c:pt idx="328">
                  <c:v>45649</c:v>
                </c:pt>
                <c:pt idx="329">
                  <c:v>45648</c:v>
                </c:pt>
                <c:pt idx="330">
                  <c:v>45647</c:v>
                </c:pt>
                <c:pt idx="331">
                  <c:v>45646</c:v>
                </c:pt>
                <c:pt idx="332">
                  <c:v>45645</c:v>
                </c:pt>
                <c:pt idx="333">
                  <c:v>45644</c:v>
                </c:pt>
                <c:pt idx="334">
                  <c:v>45643</c:v>
                </c:pt>
                <c:pt idx="335">
                  <c:v>45642</c:v>
                </c:pt>
                <c:pt idx="336">
                  <c:v>45641</c:v>
                </c:pt>
                <c:pt idx="337">
                  <c:v>45640</c:v>
                </c:pt>
                <c:pt idx="338">
                  <c:v>45639</c:v>
                </c:pt>
                <c:pt idx="339">
                  <c:v>45638</c:v>
                </c:pt>
                <c:pt idx="340">
                  <c:v>45637</c:v>
                </c:pt>
                <c:pt idx="341">
                  <c:v>45636</c:v>
                </c:pt>
                <c:pt idx="342">
                  <c:v>45635</c:v>
                </c:pt>
                <c:pt idx="343">
                  <c:v>45634</c:v>
                </c:pt>
                <c:pt idx="344">
                  <c:v>45633</c:v>
                </c:pt>
                <c:pt idx="345">
                  <c:v>45632</c:v>
                </c:pt>
                <c:pt idx="346">
                  <c:v>45631</c:v>
                </c:pt>
                <c:pt idx="347">
                  <c:v>45630</c:v>
                </c:pt>
                <c:pt idx="348">
                  <c:v>45629</c:v>
                </c:pt>
                <c:pt idx="349">
                  <c:v>45628</c:v>
                </c:pt>
                <c:pt idx="350">
                  <c:v>45627</c:v>
                </c:pt>
                <c:pt idx="351">
                  <c:v>45626</c:v>
                </c:pt>
                <c:pt idx="352">
                  <c:v>45625</c:v>
                </c:pt>
                <c:pt idx="353">
                  <c:v>45624</c:v>
                </c:pt>
                <c:pt idx="354">
                  <c:v>45623</c:v>
                </c:pt>
                <c:pt idx="355">
                  <c:v>45622</c:v>
                </c:pt>
                <c:pt idx="356">
                  <c:v>45621</c:v>
                </c:pt>
                <c:pt idx="357">
                  <c:v>45620</c:v>
                </c:pt>
                <c:pt idx="358">
                  <c:v>45619</c:v>
                </c:pt>
                <c:pt idx="359">
                  <c:v>45618</c:v>
                </c:pt>
                <c:pt idx="360">
                  <c:v>45617</c:v>
                </c:pt>
                <c:pt idx="361">
                  <c:v>45616</c:v>
                </c:pt>
                <c:pt idx="362">
                  <c:v>45615</c:v>
                </c:pt>
                <c:pt idx="363">
                  <c:v>45614</c:v>
                </c:pt>
                <c:pt idx="364">
                  <c:v>45613</c:v>
                </c:pt>
                <c:pt idx="365">
                  <c:v>45612</c:v>
                </c:pt>
                <c:pt idx="366">
                  <c:v>45611</c:v>
                </c:pt>
                <c:pt idx="367">
                  <c:v>45610</c:v>
                </c:pt>
                <c:pt idx="368">
                  <c:v>45609</c:v>
                </c:pt>
                <c:pt idx="369">
                  <c:v>45608</c:v>
                </c:pt>
                <c:pt idx="370">
                  <c:v>45607</c:v>
                </c:pt>
                <c:pt idx="371">
                  <c:v>45606</c:v>
                </c:pt>
                <c:pt idx="372">
                  <c:v>45605</c:v>
                </c:pt>
                <c:pt idx="373">
                  <c:v>45604</c:v>
                </c:pt>
                <c:pt idx="374">
                  <c:v>45603</c:v>
                </c:pt>
                <c:pt idx="375">
                  <c:v>45602</c:v>
                </c:pt>
                <c:pt idx="376">
                  <c:v>45601</c:v>
                </c:pt>
                <c:pt idx="377">
                  <c:v>45600</c:v>
                </c:pt>
                <c:pt idx="378">
                  <c:v>45599</c:v>
                </c:pt>
                <c:pt idx="379">
                  <c:v>45598</c:v>
                </c:pt>
                <c:pt idx="380">
                  <c:v>45597</c:v>
                </c:pt>
                <c:pt idx="381">
                  <c:v>45596</c:v>
                </c:pt>
                <c:pt idx="382">
                  <c:v>45595</c:v>
                </c:pt>
                <c:pt idx="383">
                  <c:v>45594</c:v>
                </c:pt>
                <c:pt idx="384">
                  <c:v>45593</c:v>
                </c:pt>
                <c:pt idx="385">
                  <c:v>45592</c:v>
                </c:pt>
                <c:pt idx="386">
                  <c:v>45591</c:v>
                </c:pt>
                <c:pt idx="387">
                  <c:v>45590</c:v>
                </c:pt>
                <c:pt idx="388">
                  <c:v>45589</c:v>
                </c:pt>
                <c:pt idx="389">
                  <c:v>45588</c:v>
                </c:pt>
                <c:pt idx="390">
                  <c:v>45587</c:v>
                </c:pt>
                <c:pt idx="391">
                  <c:v>45586</c:v>
                </c:pt>
                <c:pt idx="392">
                  <c:v>45585</c:v>
                </c:pt>
                <c:pt idx="393">
                  <c:v>45584</c:v>
                </c:pt>
                <c:pt idx="394">
                  <c:v>45583</c:v>
                </c:pt>
                <c:pt idx="395">
                  <c:v>45582</c:v>
                </c:pt>
                <c:pt idx="396">
                  <c:v>45581</c:v>
                </c:pt>
                <c:pt idx="397">
                  <c:v>45580</c:v>
                </c:pt>
                <c:pt idx="398">
                  <c:v>45579</c:v>
                </c:pt>
                <c:pt idx="399">
                  <c:v>45578</c:v>
                </c:pt>
                <c:pt idx="400">
                  <c:v>45577</c:v>
                </c:pt>
                <c:pt idx="401">
                  <c:v>45576</c:v>
                </c:pt>
                <c:pt idx="402">
                  <c:v>45575</c:v>
                </c:pt>
                <c:pt idx="403">
                  <c:v>45574</c:v>
                </c:pt>
                <c:pt idx="404">
                  <c:v>45573</c:v>
                </c:pt>
              </c:numCache>
            </c:numRef>
          </c:cat>
          <c:val>
            <c:numRef>
              <c:f>Dashboard!$D$154:$D$558</c:f>
              <c:numCache>
                <c:formatCode>General</c:formatCode>
                <c:ptCount val="405"/>
                <c:pt idx="39">
                  <c:v>225</c:v>
                </c:pt>
                <c:pt idx="40">
                  <c:v>225</c:v>
                </c:pt>
                <c:pt idx="41">
                  <c:v>227.72</c:v>
                </c:pt>
                <c:pt idx="42">
                  <c:v>227.72</c:v>
                </c:pt>
                <c:pt idx="43">
                  <c:v>227.72</c:v>
                </c:pt>
                <c:pt idx="44">
                  <c:v>225.28</c:v>
                </c:pt>
                <c:pt idx="45">
                  <c:v>225.34</c:v>
                </c:pt>
                <c:pt idx="46">
                  <c:v>224.18</c:v>
                </c:pt>
                <c:pt idx="47">
                  <c:v>231.07</c:v>
                </c:pt>
                <c:pt idx="48">
                  <c:v>231.07</c:v>
                </c:pt>
                <c:pt idx="49">
                  <c:v>231.07</c:v>
                </c:pt>
                <c:pt idx="50">
                  <c:v>231.07</c:v>
                </c:pt>
                <c:pt idx="51">
                  <c:v>231.27</c:v>
                </c:pt>
                <c:pt idx="52">
                  <c:v>232.21</c:v>
                </c:pt>
                <c:pt idx="53">
                  <c:v>231.1</c:v>
                </c:pt>
                <c:pt idx="54">
                  <c:v>233</c:v>
                </c:pt>
                <c:pt idx="55">
                  <c:v>236.8</c:v>
                </c:pt>
                <c:pt idx="56">
                  <c:v>236.8</c:v>
                </c:pt>
                <c:pt idx="57">
                  <c:v>236.8</c:v>
                </c:pt>
                <c:pt idx="58">
                  <c:v>225.28</c:v>
                </c:pt>
                <c:pt idx="59">
                  <c:v>227.21</c:v>
                </c:pt>
                <c:pt idx="60">
                  <c:v>233.13</c:v>
                </c:pt>
                <c:pt idx="61">
                  <c:v>227.72</c:v>
                </c:pt>
                <c:pt idx="62">
                  <c:v>227.26</c:v>
                </c:pt>
                <c:pt idx="63">
                  <c:v>227.26</c:v>
                </c:pt>
                <c:pt idx="64">
                  <c:v>227.26</c:v>
                </c:pt>
                <c:pt idx="65">
                  <c:v>231.07</c:v>
                </c:pt>
                <c:pt idx="66">
                  <c:v>230.5</c:v>
                </c:pt>
                <c:pt idx="67">
                  <c:v>230.42</c:v>
                </c:pt>
                <c:pt idx="68">
                  <c:v>224.61</c:v>
                </c:pt>
                <c:pt idx="69">
                  <c:v>228.05</c:v>
                </c:pt>
                <c:pt idx="70">
                  <c:v>228.05</c:v>
                </c:pt>
                <c:pt idx="71">
                  <c:v>228.05</c:v>
                </c:pt>
                <c:pt idx="72">
                  <c:v>224.66</c:v>
                </c:pt>
                <c:pt idx="73">
                  <c:v>226.45</c:v>
                </c:pt>
                <c:pt idx="74">
                  <c:v>222.41</c:v>
                </c:pt>
                <c:pt idx="75">
                  <c:v>217.49</c:v>
                </c:pt>
                <c:pt idx="76">
                  <c:v>217.1</c:v>
                </c:pt>
                <c:pt idx="77">
                  <c:v>217.1</c:v>
                </c:pt>
                <c:pt idx="78">
                  <c:v>217.1</c:v>
                </c:pt>
                <c:pt idx="79">
                  <c:v>223.49</c:v>
                </c:pt>
                <c:pt idx="80">
                  <c:v>223.86</c:v>
                </c:pt>
                <c:pt idx="81">
                  <c:v>234.54</c:v>
                </c:pt>
                <c:pt idx="82">
                  <c:v>242.41</c:v>
                </c:pt>
                <c:pt idx="83">
                  <c:v>243.2</c:v>
                </c:pt>
                <c:pt idx="84">
                  <c:v>243.2</c:v>
                </c:pt>
                <c:pt idx="85">
                  <c:v>243.2</c:v>
                </c:pt>
                <c:pt idx="86">
                  <c:v>236.51</c:v>
                </c:pt>
                <c:pt idx="87">
                  <c:v>237.9</c:v>
                </c:pt>
                <c:pt idx="88">
                  <c:v>231.7</c:v>
                </c:pt>
                <c:pt idx="89">
                  <c:v>225.73</c:v>
                </c:pt>
                <c:pt idx="90">
                  <c:v>226.62</c:v>
                </c:pt>
                <c:pt idx="91">
                  <c:v>226.62</c:v>
                </c:pt>
                <c:pt idx="92">
                  <c:v>226.62</c:v>
                </c:pt>
                <c:pt idx="93">
                  <c:v>228.37</c:v>
                </c:pt>
                <c:pt idx="94">
                  <c:v>228.75</c:v>
                </c:pt>
                <c:pt idx="95">
                  <c:v>230.66</c:v>
                </c:pt>
                <c:pt idx="96">
                  <c:v>233.98</c:v>
                </c:pt>
                <c:pt idx="97">
                  <c:v>236.06</c:v>
                </c:pt>
                <c:pt idx="98">
                  <c:v>236.06</c:v>
                </c:pt>
                <c:pt idx="99">
                  <c:v>236.06</c:v>
                </c:pt>
                <c:pt idx="100">
                  <c:v>238.73</c:v>
                </c:pt>
                <c:pt idx="101">
                  <c:v>236.51</c:v>
                </c:pt>
                <c:pt idx="102">
                  <c:v>238.71</c:v>
                </c:pt>
                <c:pt idx="103">
                  <c:v>235.09</c:v>
                </c:pt>
                <c:pt idx="104">
                  <c:v>241.23</c:v>
                </c:pt>
                <c:pt idx="105">
                  <c:v>241.23</c:v>
                </c:pt>
                <c:pt idx="106">
                  <c:v>241.23</c:v>
                </c:pt>
                <c:pt idx="107">
                  <c:v>241.23</c:v>
                </c:pt>
                <c:pt idx="108">
                  <c:v>239.14</c:v>
                </c:pt>
                <c:pt idx="109">
                  <c:v>234.33</c:v>
                </c:pt>
                <c:pt idx="110">
                  <c:v>227.31</c:v>
                </c:pt>
                <c:pt idx="111">
                  <c:v>228.91</c:v>
                </c:pt>
                <c:pt idx="112">
                  <c:v>228.91</c:v>
                </c:pt>
                <c:pt idx="113">
                  <c:v>228.91</c:v>
                </c:pt>
                <c:pt idx="114">
                  <c:v>221.07</c:v>
                </c:pt>
                <c:pt idx="115">
                  <c:v>222</c:v>
                </c:pt>
                <c:pt idx="116">
                  <c:v>229.51</c:v>
                </c:pt>
                <c:pt idx="117">
                  <c:v>229.23</c:v>
                </c:pt>
                <c:pt idx="118">
                  <c:v>226.04</c:v>
                </c:pt>
                <c:pt idx="119">
                  <c:v>226.04</c:v>
                </c:pt>
                <c:pt idx="120">
                  <c:v>226.04</c:v>
                </c:pt>
                <c:pt idx="121">
                  <c:v>223.3</c:v>
                </c:pt>
                <c:pt idx="122">
                  <c:v>223.3</c:v>
                </c:pt>
                <c:pt idx="123">
                  <c:v>222.53</c:v>
                </c:pt>
                <c:pt idx="124">
                  <c:v>226.77</c:v>
                </c:pt>
                <c:pt idx="125">
                  <c:v>224.38</c:v>
                </c:pt>
                <c:pt idx="126">
                  <c:v>224.38</c:v>
                </c:pt>
                <c:pt idx="127">
                  <c:v>224.38</c:v>
                </c:pt>
                <c:pt idx="128">
                  <c:v>225</c:v>
                </c:pt>
                <c:pt idx="129">
                  <c:v>224</c:v>
                </c:pt>
                <c:pt idx="130">
                  <c:v>227.96</c:v>
                </c:pt>
                <c:pt idx="131">
                  <c:v>222.18</c:v>
                </c:pt>
                <c:pt idx="132">
                  <c:v>219.61</c:v>
                </c:pt>
                <c:pt idx="133">
                  <c:v>219.61</c:v>
                </c:pt>
                <c:pt idx="134">
                  <c:v>219.61</c:v>
                </c:pt>
                <c:pt idx="135">
                  <c:v>216.73</c:v>
                </c:pt>
                <c:pt idx="136">
                  <c:v>218.89</c:v>
                </c:pt>
                <c:pt idx="137">
                  <c:v>219.78</c:v>
                </c:pt>
                <c:pt idx="138">
                  <c:v>217.89</c:v>
                </c:pt>
                <c:pt idx="139">
                  <c:v>218.1</c:v>
                </c:pt>
                <c:pt idx="140">
                  <c:v>218.1</c:v>
                </c:pt>
                <c:pt idx="141">
                  <c:v>218.1</c:v>
                </c:pt>
                <c:pt idx="142">
                  <c:v>220.26</c:v>
                </c:pt>
                <c:pt idx="143">
                  <c:v>217.15</c:v>
                </c:pt>
                <c:pt idx="144">
                  <c:v>219.76</c:v>
                </c:pt>
                <c:pt idx="145">
                  <c:v>216.61</c:v>
                </c:pt>
                <c:pt idx="146">
                  <c:v>216.61</c:v>
                </c:pt>
                <c:pt idx="147">
                  <c:v>216.61</c:v>
                </c:pt>
                <c:pt idx="148">
                  <c:v>216.61</c:v>
                </c:pt>
                <c:pt idx="149">
                  <c:v>218.81</c:v>
                </c:pt>
                <c:pt idx="150">
                  <c:v>216.81</c:v>
                </c:pt>
                <c:pt idx="151">
                  <c:v>221.14</c:v>
                </c:pt>
                <c:pt idx="152">
                  <c:v>226.12</c:v>
                </c:pt>
                <c:pt idx="153">
                  <c:v>229.51</c:v>
                </c:pt>
                <c:pt idx="154">
                  <c:v>229.51</c:v>
                </c:pt>
                <c:pt idx="155">
                  <c:v>229.51</c:v>
                </c:pt>
                <c:pt idx="156">
                  <c:v>231.11</c:v>
                </c:pt>
                <c:pt idx="157">
                  <c:v>231.8</c:v>
                </c:pt>
                <c:pt idx="158">
                  <c:v>231.15</c:v>
                </c:pt>
                <c:pt idx="159">
                  <c:v>232.95</c:v>
                </c:pt>
                <c:pt idx="160">
                  <c:v>217.83</c:v>
                </c:pt>
                <c:pt idx="161">
                  <c:v>217.83</c:v>
                </c:pt>
                <c:pt idx="162">
                  <c:v>217.83</c:v>
                </c:pt>
                <c:pt idx="163">
                  <c:v>219.21</c:v>
                </c:pt>
                <c:pt idx="164">
                  <c:v>215.56</c:v>
                </c:pt>
                <c:pt idx="165">
                  <c:v>213.41</c:v>
                </c:pt>
                <c:pt idx="166">
                  <c:v>216.99</c:v>
                </c:pt>
                <c:pt idx="167">
                  <c:v>219.72</c:v>
                </c:pt>
                <c:pt idx="168">
                  <c:v>219.72</c:v>
                </c:pt>
                <c:pt idx="169">
                  <c:v>219.72</c:v>
                </c:pt>
                <c:pt idx="170">
                  <c:v>210.06</c:v>
                </c:pt>
                <c:pt idx="171">
                  <c:v>210.33</c:v>
                </c:pt>
                <c:pt idx="172">
                  <c:v>209.85</c:v>
                </c:pt>
                <c:pt idx="173">
                  <c:v>211.5</c:v>
                </c:pt>
                <c:pt idx="174">
                  <c:v>211.56</c:v>
                </c:pt>
                <c:pt idx="175">
                  <c:v>211.56</c:v>
                </c:pt>
                <c:pt idx="176">
                  <c:v>211.56</c:v>
                </c:pt>
                <c:pt idx="177">
                  <c:v>215.69</c:v>
                </c:pt>
                <c:pt idx="178">
                  <c:v>211.04</c:v>
                </c:pt>
                <c:pt idx="179">
                  <c:v>206.57</c:v>
                </c:pt>
                <c:pt idx="180">
                  <c:v>205.12</c:v>
                </c:pt>
                <c:pt idx="181">
                  <c:v>207.55</c:v>
                </c:pt>
                <c:pt idx="182">
                  <c:v>207.55</c:v>
                </c:pt>
                <c:pt idx="183">
                  <c:v>207.55</c:v>
                </c:pt>
                <c:pt idx="184">
                  <c:v>207.55</c:v>
                </c:pt>
                <c:pt idx="185">
                  <c:v>203.56</c:v>
                </c:pt>
                <c:pt idx="186">
                  <c:v>207.35</c:v>
                </c:pt>
                <c:pt idx="187">
                  <c:v>210.45</c:v>
                </c:pt>
                <c:pt idx="188">
                  <c:v>207.77</c:v>
                </c:pt>
                <c:pt idx="189">
                  <c:v>207.77</c:v>
                </c:pt>
                <c:pt idx="190">
                  <c:v>207.77</c:v>
                </c:pt>
                <c:pt idx="191">
                  <c:v>206.4</c:v>
                </c:pt>
                <c:pt idx="192">
                  <c:v>217.94</c:v>
                </c:pt>
                <c:pt idx="193">
                  <c:v>198.07</c:v>
                </c:pt>
                <c:pt idx="194">
                  <c:v>205.23</c:v>
                </c:pt>
                <c:pt idx="195">
                  <c:v>210.12</c:v>
                </c:pt>
                <c:pt idx="196">
                  <c:v>210.12</c:v>
                </c:pt>
                <c:pt idx="197">
                  <c:v>210.12</c:v>
                </c:pt>
                <c:pt idx="198">
                  <c:v>215.86</c:v>
                </c:pt>
                <c:pt idx="199">
                  <c:v>245.17</c:v>
                </c:pt>
                <c:pt idx="200">
                  <c:v>241.98</c:v>
                </c:pt>
                <c:pt idx="201">
                  <c:v>243.78</c:v>
                </c:pt>
                <c:pt idx="202">
                  <c:v>241.71</c:v>
                </c:pt>
                <c:pt idx="203">
                  <c:v>241.71</c:v>
                </c:pt>
                <c:pt idx="204">
                  <c:v>241.71</c:v>
                </c:pt>
                <c:pt idx="205">
                  <c:v>243.92</c:v>
                </c:pt>
                <c:pt idx="206">
                  <c:v>243.67</c:v>
                </c:pt>
                <c:pt idx="207">
                  <c:v>241.07</c:v>
                </c:pt>
                <c:pt idx="208">
                  <c:v>242.32</c:v>
                </c:pt>
                <c:pt idx="209">
                  <c:v>230.33</c:v>
                </c:pt>
                <c:pt idx="210">
                  <c:v>230.33</c:v>
                </c:pt>
                <c:pt idx="211">
                  <c:v>230.33</c:v>
                </c:pt>
                <c:pt idx="212">
                  <c:v>246.21</c:v>
                </c:pt>
                <c:pt idx="213">
                  <c:v>247.12</c:v>
                </c:pt>
                <c:pt idx="214">
                  <c:v>245.8</c:v>
                </c:pt>
                <c:pt idx="215">
                  <c:v>245.3</c:v>
                </c:pt>
                <c:pt idx="216">
                  <c:v>242.2</c:v>
                </c:pt>
                <c:pt idx="217">
                  <c:v>242.2</c:v>
                </c:pt>
                <c:pt idx="218">
                  <c:v>242.2</c:v>
                </c:pt>
                <c:pt idx="219">
                  <c:v>240.98</c:v>
                </c:pt>
                <c:pt idx="220">
                  <c:v>243.51</c:v>
                </c:pt>
                <c:pt idx="221">
                  <c:v>242.96</c:v>
                </c:pt>
                <c:pt idx="222">
                  <c:v>246.51</c:v>
                </c:pt>
                <c:pt idx="223">
                  <c:v>253.92</c:v>
                </c:pt>
                <c:pt idx="224">
                  <c:v>253.92</c:v>
                </c:pt>
                <c:pt idx="225">
                  <c:v>253.92</c:v>
                </c:pt>
                <c:pt idx="226">
                  <c:v>249.79</c:v>
                </c:pt>
                <c:pt idx="227">
                  <c:v>250.41</c:v>
                </c:pt>
                <c:pt idx="228">
                  <c:v>247.74</c:v>
                </c:pt>
                <c:pt idx="229">
                  <c:v>258.77</c:v>
                </c:pt>
                <c:pt idx="230">
                  <c:v>262.89999999999998</c:v>
                </c:pt>
                <c:pt idx="231">
                  <c:v>262.89999999999998</c:v>
                </c:pt>
                <c:pt idx="232">
                  <c:v>262.89999999999998</c:v>
                </c:pt>
                <c:pt idx="233">
                  <c:v>258.54000000000002</c:v>
                </c:pt>
                <c:pt idx="234">
                  <c:v>256.12</c:v>
                </c:pt>
                <c:pt idx="235">
                  <c:v>256.48</c:v>
                </c:pt>
                <c:pt idx="236">
                  <c:v>253.54</c:v>
                </c:pt>
                <c:pt idx="237">
                  <c:v>254.19</c:v>
                </c:pt>
                <c:pt idx="238">
                  <c:v>254.19</c:v>
                </c:pt>
                <c:pt idx="239">
                  <c:v>254.19</c:v>
                </c:pt>
                <c:pt idx="240">
                  <c:v>268.45999999999998</c:v>
                </c:pt>
                <c:pt idx="241">
                  <c:v>266.87</c:v>
                </c:pt>
                <c:pt idx="242">
                  <c:v>267.45</c:v>
                </c:pt>
                <c:pt idx="243">
                  <c:v>267.77</c:v>
                </c:pt>
                <c:pt idx="244">
                  <c:v>267.77</c:v>
                </c:pt>
                <c:pt idx="245">
                  <c:v>267.77</c:v>
                </c:pt>
                <c:pt idx="246">
                  <c:v>267.77</c:v>
                </c:pt>
                <c:pt idx="247">
                  <c:v>263.12</c:v>
                </c:pt>
                <c:pt idx="248">
                  <c:v>262.64999999999998</c:v>
                </c:pt>
                <c:pt idx="249">
                  <c:v>261.26</c:v>
                </c:pt>
                <c:pt idx="250">
                  <c:v>258.23</c:v>
                </c:pt>
                <c:pt idx="251">
                  <c:v>256.08</c:v>
                </c:pt>
                <c:pt idx="252">
                  <c:v>256.08</c:v>
                </c:pt>
                <c:pt idx="253">
                  <c:v>256.08</c:v>
                </c:pt>
                <c:pt idx="254">
                  <c:v>258.77</c:v>
                </c:pt>
                <c:pt idx="255">
                  <c:v>252.41</c:v>
                </c:pt>
                <c:pt idx="256">
                  <c:v>250.95</c:v>
                </c:pt>
                <c:pt idx="257">
                  <c:v>247.34</c:v>
                </c:pt>
                <c:pt idx="258">
                  <c:v>264.87</c:v>
                </c:pt>
                <c:pt idx="259">
                  <c:v>264.87</c:v>
                </c:pt>
                <c:pt idx="260">
                  <c:v>264.87</c:v>
                </c:pt>
                <c:pt idx="261">
                  <c:v>269.24</c:v>
                </c:pt>
                <c:pt idx="262">
                  <c:v>275.06</c:v>
                </c:pt>
                <c:pt idx="263">
                  <c:v>278.64999999999998</c:v>
                </c:pt>
                <c:pt idx="264">
                  <c:v>281.52999999999997</c:v>
                </c:pt>
                <c:pt idx="265">
                  <c:v>273.29000000000002</c:v>
                </c:pt>
                <c:pt idx="266">
                  <c:v>273.29000000000002</c:v>
                </c:pt>
                <c:pt idx="267">
                  <c:v>273.29000000000002</c:v>
                </c:pt>
                <c:pt idx="268">
                  <c:v>270.02999999999997</c:v>
                </c:pt>
                <c:pt idx="269">
                  <c:v>270.43</c:v>
                </c:pt>
                <c:pt idx="270">
                  <c:v>275.57</c:v>
                </c:pt>
                <c:pt idx="271">
                  <c:v>275.10000000000002</c:v>
                </c:pt>
                <c:pt idx="272">
                  <c:v>275.10000000000002</c:v>
                </c:pt>
                <c:pt idx="273">
                  <c:v>275.10000000000002</c:v>
                </c:pt>
                <c:pt idx="274">
                  <c:v>275.10000000000002</c:v>
                </c:pt>
                <c:pt idx="275">
                  <c:v>277.37</c:v>
                </c:pt>
                <c:pt idx="276">
                  <c:v>276.58999999999997</c:v>
                </c:pt>
                <c:pt idx="277">
                  <c:v>277.62</c:v>
                </c:pt>
                <c:pt idx="278">
                  <c:v>274.58999999999997</c:v>
                </c:pt>
                <c:pt idx="279">
                  <c:v>270.73</c:v>
                </c:pt>
                <c:pt idx="280">
                  <c:v>270.73</c:v>
                </c:pt>
                <c:pt idx="281">
                  <c:v>270.73</c:v>
                </c:pt>
                <c:pt idx="282">
                  <c:v>274.89999999999998</c:v>
                </c:pt>
                <c:pt idx="283">
                  <c:v>274.89999999999998</c:v>
                </c:pt>
                <c:pt idx="284">
                  <c:v>275</c:v>
                </c:pt>
                <c:pt idx="285">
                  <c:v>273.97000000000003</c:v>
                </c:pt>
                <c:pt idx="286">
                  <c:v>274.41000000000003</c:v>
                </c:pt>
                <c:pt idx="287">
                  <c:v>274.41000000000003</c:v>
                </c:pt>
                <c:pt idx="288">
                  <c:v>274.41000000000003</c:v>
                </c:pt>
                <c:pt idx="289">
                  <c:v>274.27999999999997</c:v>
                </c:pt>
                <c:pt idx="290">
                  <c:v>281.33</c:v>
                </c:pt>
                <c:pt idx="291">
                  <c:v>281.33</c:v>
                </c:pt>
                <c:pt idx="292">
                  <c:v>280.55</c:v>
                </c:pt>
                <c:pt idx="293">
                  <c:v>280.36</c:v>
                </c:pt>
                <c:pt idx="294">
                  <c:v>280.36</c:v>
                </c:pt>
                <c:pt idx="295">
                  <c:v>280.36</c:v>
                </c:pt>
                <c:pt idx="296">
                  <c:v>278.66000000000003</c:v>
                </c:pt>
                <c:pt idx="297">
                  <c:v>271.83999999999997</c:v>
                </c:pt>
                <c:pt idx="298">
                  <c:v>271.83999999999997</c:v>
                </c:pt>
                <c:pt idx="299">
                  <c:v>269.01</c:v>
                </c:pt>
                <c:pt idx="300">
                  <c:v>275.73</c:v>
                </c:pt>
                <c:pt idx="301">
                  <c:v>275.73</c:v>
                </c:pt>
                <c:pt idx="302">
                  <c:v>275.73</c:v>
                </c:pt>
                <c:pt idx="303">
                  <c:v>275.88</c:v>
                </c:pt>
                <c:pt idx="304">
                  <c:v>273.16000000000003</c:v>
                </c:pt>
                <c:pt idx="305">
                  <c:v>277.43</c:v>
                </c:pt>
                <c:pt idx="306">
                  <c:v>283.44</c:v>
                </c:pt>
                <c:pt idx="307">
                  <c:v>283.42</c:v>
                </c:pt>
                <c:pt idx="308">
                  <c:v>283.42</c:v>
                </c:pt>
                <c:pt idx="309">
                  <c:v>283.42</c:v>
                </c:pt>
                <c:pt idx="310">
                  <c:v>283.69</c:v>
                </c:pt>
                <c:pt idx="311">
                  <c:v>281.16000000000003</c:v>
                </c:pt>
                <c:pt idx="312">
                  <c:v>279.32</c:v>
                </c:pt>
                <c:pt idx="313">
                  <c:v>279.52999999999997</c:v>
                </c:pt>
                <c:pt idx="314">
                  <c:v>280.68</c:v>
                </c:pt>
                <c:pt idx="315">
                  <c:v>280.68</c:v>
                </c:pt>
                <c:pt idx="316">
                  <c:v>280.68</c:v>
                </c:pt>
                <c:pt idx="317">
                  <c:v>279.42</c:v>
                </c:pt>
                <c:pt idx="318">
                  <c:v>283.43</c:v>
                </c:pt>
                <c:pt idx="319">
                  <c:v>282.85000000000002</c:v>
                </c:pt>
                <c:pt idx="320">
                  <c:v>296.69</c:v>
                </c:pt>
                <c:pt idx="321">
                  <c:v>302.67</c:v>
                </c:pt>
                <c:pt idx="322">
                  <c:v>302.67</c:v>
                </c:pt>
                <c:pt idx="323">
                  <c:v>302.67</c:v>
                </c:pt>
                <c:pt idx="324">
                  <c:v>303.39</c:v>
                </c:pt>
                <c:pt idx="325">
                  <c:v>303.39</c:v>
                </c:pt>
                <c:pt idx="326">
                  <c:v>302.98</c:v>
                </c:pt>
                <c:pt idx="327">
                  <c:v>305.14999999999998</c:v>
                </c:pt>
                <c:pt idx="328">
                  <c:v>299.97000000000003</c:v>
                </c:pt>
                <c:pt idx="329">
                  <c:v>299.97000000000003</c:v>
                </c:pt>
                <c:pt idx="330">
                  <c:v>299.97000000000003</c:v>
                </c:pt>
                <c:pt idx="331">
                  <c:v>295.16000000000003</c:v>
                </c:pt>
                <c:pt idx="332">
                  <c:v>288.02999999999997</c:v>
                </c:pt>
                <c:pt idx="333">
                  <c:v>293.06</c:v>
                </c:pt>
                <c:pt idx="334">
                  <c:v>295.20999999999998</c:v>
                </c:pt>
                <c:pt idx="335">
                  <c:v>294.45999999999998</c:v>
                </c:pt>
                <c:pt idx="336">
                  <c:v>294.45999999999998</c:v>
                </c:pt>
                <c:pt idx="337">
                  <c:v>294.45999999999998</c:v>
                </c:pt>
                <c:pt idx="338">
                  <c:v>292.29000000000002</c:v>
                </c:pt>
                <c:pt idx="339">
                  <c:v>291.89</c:v>
                </c:pt>
                <c:pt idx="340">
                  <c:v>287.27</c:v>
                </c:pt>
                <c:pt idx="341">
                  <c:v>289.79000000000002</c:v>
                </c:pt>
                <c:pt idx="342">
                  <c:v>286.27999999999997</c:v>
                </c:pt>
                <c:pt idx="343">
                  <c:v>286.27999999999997</c:v>
                </c:pt>
                <c:pt idx="344">
                  <c:v>286.27999999999997</c:v>
                </c:pt>
                <c:pt idx="345">
                  <c:v>283.20999999999998</c:v>
                </c:pt>
                <c:pt idx="346">
                  <c:v>280.06</c:v>
                </c:pt>
                <c:pt idx="347">
                  <c:v>275.42</c:v>
                </c:pt>
                <c:pt idx="348">
                  <c:v>271.18</c:v>
                </c:pt>
                <c:pt idx="349">
                  <c:v>274.35000000000002</c:v>
                </c:pt>
                <c:pt idx="350">
                  <c:v>274.35000000000002</c:v>
                </c:pt>
                <c:pt idx="351">
                  <c:v>274.35000000000002</c:v>
                </c:pt>
                <c:pt idx="352">
                  <c:v>273.85000000000002</c:v>
                </c:pt>
                <c:pt idx="353">
                  <c:v>274.08</c:v>
                </c:pt>
                <c:pt idx="354">
                  <c:v>275.04000000000002</c:v>
                </c:pt>
                <c:pt idx="355">
                  <c:v>275.45</c:v>
                </c:pt>
                <c:pt idx="356">
                  <c:v>272.12</c:v>
                </c:pt>
                <c:pt idx="357">
                  <c:v>272.12</c:v>
                </c:pt>
                <c:pt idx="358">
                  <c:v>272.12</c:v>
                </c:pt>
                <c:pt idx="359">
                  <c:v>272.87</c:v>
                </c:pt>
                <c:pt idx="360">
                  <c:v>268.05</c:v>
                </c:pt>
                <c:pt idx="361">
                  <c:v>269.79000000000002</c:v>
                </c:pt>
                <c:pt idx="362">
                  <c:v>268.81</c:v>
                </c:pt>
                <c:pt idx="363">
                  <c:v>274.39999999999998</c:v>
                </c:pt>
                <c:pt idx="364">
                  <c:v>274.39999999999998</c:v>
                </c:pt>
                <c:pt idx="365">
                  <c:v>274.39999999999998</c:v>
                </c:pt>
                <c:pt idx="366">
                  <c:v>274.26</c:v>
                </c:pt>
                <c:pt idx="367">
                  <c:v>271.8</c:v>
                </c:pt>
                <c:pt idx="368">
                  <c:v>265.92</c:v>
                </c:pt>
                <c:pt idx="369">
                  <c:v>267.45</c:v>
                </c:pt>
                <c:pt idx="370">
                  <c:v>264.36</c:v>
                </c:pt>
                <c:pt idx="371">
                  <c:v>264.36</c:v>
                </c:pt>
                <c:pt idx="372">
                  <c:v>264.36</c:v>
                </c:pt>
                <c:pt idx="373">
                  <c:v>264.27</c:v>
                </c:pt>
                <c:pt idx="374">
                  <c:v>264.64</c:v>
                </c:pt>
                <c:pt idx="375">
                  <c:v>261.39999999999998</c:v>
                </c:pt>
                <c:pt idx="376">
                  <c:v>260.5</c:v>
                </c:pt>
                <c:pt idx="377">
                  <c:v>260.83999999999997</c:v>
                </c:pt>
                <c:pt idx="378">
                  <c:v>260.83999999999997</c:v>
                </c:pt>
                <c:pt idx="379">
                  <c:v>260.83999999999997</c:v>
                </c:pt>
                <c:pt idx="380">
                  <c:v>262.08</c:v>
                </c:pt>
                <c:pt idx="381">
                  <c:v>266.93</c:v>
                </c:pt>
                <c:pt idx="382">
                  <c:v>269.56</c:v>
                </c:pt>
                <c:pt idx="383">
                  <c:v>273.68</c:v>
                </c:pt>
                <c:pt idx="384">
                  <c:v>267.55</c:v>
                </c:pt>
                <c:pt idx="385">
                  <c:v>267.55</c:v>
                </c:pt>
                <c:pt idx="386">
                  <c:v>267.55</c:v>
                </c:pt>
                <c:pt idx="387">
                  <c:v>266.33</c:v>
                </c:pt>
                <c:pt idx="388">
                  <c:v>263.77</c:v>
                </c:pt>
                <c:pt idx="389">
                  <c:v>267.13</c:v>
                </c:pt>
                <c:pt idx="390">
                  <c:v>258.79000000000002</c:v>
                </c:pt>
                <c:pt idx="391">
                  <c:v>254.64</c:v>
                </c:pt>
                <c:pt idx="392">
                  <c:v>254.64</c:v>
                </c:pt>
                <c:pt idx="393">
                  <c:v>254.64</c:v>
                </c:pt>
                <c:pt idx="394">
                  <c:v>300.39</c:v>
                </c:pt>
                <c:pt idx="395">
                  <c:v>298.17</c:v>
                </c:pt>
                <c:pt idx="396">
                  <c:v>297.33999999999997</c:v>
                </c:pt>
                <c:pt idx="397">
                  <c:v>292.63</c:v>
                </c:pt>
                <c:pt idx="398">
                  <c:v>286.38</c:v>
                </c:pt>
                <c:pt idx="399">
                  <c:v>286.38</c:v>
                </c:pt>
                <c:pt idx="400">
                  <c:v>286.38</c:v>
                </c:pt>
                <c:pt idx="401">
                  <c:v>286</c:v>
                </c:pt>
                <c:pt idx="402">
                  <c:v>284.86</c:v>
                </c:pt>
                <c:pt idx="403">
                  <c:v>283.85000000000002</c:v>
                </c:pt>
                <c:pt idx="404">
                  <c:v>283.3</c:v>
                </c:pt>
              </c:numCache>
            </c:numRef>
          </c:val>
          <c:smooth val="0"/>
          <c:extLst>
            <c:ext xmlns:c16="http://schemas.microsoft.com/office/drawing/2014/chart" uri="{C3380CC4-5D6E-409C-BE32-E72D297353CC}">
              <c16:uniqueId val="{00000000-7945-4CFF-8C44-39088B05CB15}"/>
            </c:ext>
          </c:extLst>
        </c:ser>
        <c:dLbls>
          <c:showLegendKey val="0"/>
          <c:showVal val="0"/>
          <c:showCatName val="0"/>
          <c:showSerName val="0"/>
          <c:showPercent val="0"/>
          <c:showBubbleSize val="0"/>
        </c:dLbls>
        <c:marker val="1"/>
        <c:smooth val="0"/>
        <c:axId val="464131055"/>
        <c:axId val="464129135"/>
      </c:lineChart>
      <c:dateAx>
        <c:axId val="777888655"/>
        <c:scaling>
          <c:orientation val="minMax"/>
        </c:scaling>
        <c:delete val="0"/>
        <c:axPos val="b"/>
        <c:numFmt formatCode="[$-816]mmm/yy;@" sourceLinked="0"/>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777885295"/>
        <c:crosses val="autoZero"/>
        <c:auto val="1"/>
        <c:lblOffset val="100"/>
        <c:baseTimeUnit val="days"/>
      </c:dateAx>
      <c:valAx>
        <c:axId val="777885295"/>
        <c:scaling>
          <c:orientation val="minMax"/>
        </c:scaling>
        <c:delete val="1"/>
        <c:axPos val="l"/>
        <c:majorGridlines>
          <c:spPr>
            <a:ln w="9525" cap="flat" cmpd="sng" algn="ctr">
              <a:solidFill>
                <a:schemeClr val="accent1">
                  <a:lumMod val="20000"/>
                  <a:lumOff val="80000"/>
                  <a:alpha val="20000"/>
                </a:schemeClr>
              </a:solidFill>
              <a:round/>
            </a:ln>
            <a:effectLst/>
          </c:spPr>
        </c:majorGridlines>
        <c:numFmt formatCode="General" sourceLinked="1"/>
        <c:majorTickMark val="none"/>
        <c:minorTickMark val="none"/>
        <c:tickLblPos val="nextTo"/>
        <c:crossAx val="777888655"/>
        <c:crosses val="autoZero"/>
        <c:crossBetween val="between"/>
      </c:valAx>
      <c:valAx>
        <c:axId val="46412913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464131055"/>
        <c:crosses val="max"/>
        <c:crossBetween val="between"/>
      </c:valAx>
      <c:dateAx>
        <c:axId val="464131055"/>
        <c:scaling>
          <c:orientation val="minMax"/>
        </c:scaling>
        <c:delete val="1"/>
        <c:axPos val="b"/>
        <c:numFmt formatCode="yyyy\-mm\-dd;@" sourceLinked="1"/>
        <c:majorTickMark val="out"/>
        <c:minorTickMark val="none"/>
        <c:tickLblPos val="nextTo"/>
        <c:crossAx val="464129135"/>
        <c:crosses val="autoZero"/>
        <c:auto val="1"/>
        <c:lblOffset val="100"/>
        <c:baseTimeUnit val="days"/>
      </c:dateAx>
      <c:spPr>
        <a:noFill/>
        <a:ln>
          <a:noFill/>
        </a:ln>
        <a:effectLst>
          <a:glow rad="63500">
            <a:schemeClr val="accent1">
              <a:satMod val="175000"/>
              <a:alpha val="40000"/>
            </a:schemeClr>
          </a:glow>
        </a:effectLst>
      </c:spPr>
    </c:plotArea>
    <c:plotVisOnly val="1"/>
    <c:dispBlanksAs val="gap"/>
    <c:showDLblsOverMax val="0"/>
  </c:chart>
  <c:spPr>
    <a:noFill/>
    <a:ln w="9525" cap="flat" cmpd="sng" algn="ctr">
      <a:noFill/>
      <a:round/>
    </a:ln>
    <a:effectLst/>
  </c:spPr>
  <c:txPr>
    <a:bodyPr/>
    <a:lstStyle/>
    <a:p>
      <a:pPr>
        <a:defRPr sz="1100">
          <a:solidFill>
            <a:schemeClr val="accent1">
              <a:lumMod val="50000"/>
            </a:schemeClr>
          </a:solidFill>
          <a:latin typeface="Arial Nova" panose="020B0504020202020204" pitchFamily="34" charset="0"/>
        </a:defRPr>
      </a:pPr>
      <a:endParaRPr lang="pt-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BE606D"/>
            </a:solidFill>
            <a:ln>
              <a:noFill/>
            </a:ln>
            <a:effectLst/>
          </c:spPr>
          <c:invertIfNegative val="0"/>
          <c:cat>
            <c:strRef>
              <c:f>Sensitivity!$AD$28:$AD$34</c:f>
              <c:strCache>
                <c:ptCount val="7"/>
                <c:pt idx="0">
                  <c:v>SG&amp;A Margin</c:v>
                </c:pt>
                <c:pt idx="1">
                  <c:v>Terminal g</c:v>
                </c:pt>
                <c:pt idx="2">
                  <c:v>Capex Intensity</c:v>
                </c:pt>
                <c:pt idx="3">
                  <c:v>WACC</c:v>
                </c:pt>
                <c:pt idx="4">
                  <c:v>COGS Margin</c:v>
                </c:pt>
                <c:pt idx="5">
                  <c:v>EBITDA Exit</c:v>
                </c:pt>
                <c:pt idx="6">
                  <c:v>Revenue Exit</c:v>
                </c:pt>
              </c:strCache>
            </c:strRef>
          </c:cat>
          <c:val>
            <c:numRef>
              <c:f>Sensitivity!$AJ$28:$AJ$34</c:f>
              <c:numCache>
                <c:formatCode>General</c:formatCode>
                <c:ptCount val="7"/>
                <c:pt idx="0">
                  <c:v>-35.779999999999973</c:v>
                </c:pt>
                <c:pt idx="1">
                  <c:v>-33.95999999999998</c:v>
                </c:pt>
                <c:pt idx="2">
                  <c:v>-43.689999999999969</c:v>
                </c:pt>
                <c:pt idx="3">
                  <c:v>-53.919999999999959</c:v>
                </c:pt>
                <c:pt idx="4">
                  <c:v>-68.769999999999982</c:v>
                </c:pt>
                <c:pt idx="5">
                  <c:v>-116.44999999999996</c:v>
                </c:pt>
                <c:pt idx="6">
                  <c:v>-163.01999999999998</c:v>
                </c:pt>
              </c:numCache>
            </c:numRef>
          </c:val>
          <c:extLst>
            <c:ext xmlns:c16="http://schemas.microsoft.com/office/drawing/2014/chart" uri="{C3380CC4-5D6E-409C-BE32-E72D297353CC}">
              <c16:uniqueId val="{00000000-A159-48F8-BF02-8287E1A6D51E}"/>
            </c:ext>
          </c:extLst>
        </c:ser>
        <c:ser>
          <c:idx val="1"/>
          <c:order val="1"/>
          <c:spPr>
            <a:solidFill>
              <a:srgbClr val="7B1314"/>
            </a:solidFill>
            <a:ln>
              <a:noFill/>
            </a:ln>
            <a:effectLst/>
          </c:spPr>
          <c:invertIfNegative val="0"/>
          <c:cat>
            <c:strRef>
              <c:f>Sensitivity!$AD$28:$AD$34</c:f>
              <c:strCache>
                <c:ptCount val="7"/>
                <c:pt idx="0">
                  <c:v>SG&amp;A Margin</c:v>
                </c:pt>
                <c:pt idx="1">
                  <c:v>Terminal g</c:v>
                </c:pt>
                <c:pt idx="2">
                  <c:v>Capex Intensity</c:v>
                </c:pt>
                <c:pt idx="3">
                  <c:v>WACC</c:v>
                </c:pt>
                <c:pt idx="4">
                  <c:v>COGS Margin</c:v>
                </c:pt>
                <c:pt idx="5">
                  <c:v>EBITDA Exit</c:v>
                </c:pt>
                <c:pt idx="6">
                  <c:v>Revenue Exit</c:v>
                </c:pt>
              </c:strCache>
            </c:strRef>
          </c:cat>
          <c:val>
            <c:numRef>
              <c:f>Sensitivity!$AK$28:$AK$34</c:f>
              <c:numCache>
                <c:formatCode>General</c:formatCode>
                <c:ptCount val="7"/>
                <c:pt idx="0">
                  <c:v>35.770000000000039</c:v>
                </c:pt>
                <c:pt idx="1">
                  <c:v>42.5</c:v>
                </c:pt>
                <c:pt idx="2">
                  <c:v>43.680000000000007</c:v>
                </c:pt>
                <c:pt idx="3">
                  <c:v>68.670000000000016</c:v>
                </c:pt>
                <c:pt idx="4">
                  <c:v>68.760000000000048</c:v>
                </c:pt>
                <c:pt idx="5">
                  <c:v>113.91000000000003</c:v>
                </c:pt>
                <c:pt idx="6">
                  <c:v>154.73000000000002</c:v>
                </c:pt>
              </c:numCache>
            </c:numRef>
          </c:val>
          <c:extLst>
            <c:ext xmlns:c16="http://schemas.microsoft.com/office/drawing/2014/chart" uri="{C3380CC4-5D6E-409C-BE32-E72D297353CC}">
              <c16:uniqueId val="{00000001-A159-48F8-BF02-8287E1A6D51E}"/>
            </c:ext>
          </c:extLst>
        </c:ser>
        <c:dLbls>
          <c:showLegendKey val="0"/>
          <c:showVal val="0"/>
          <c:showCatName val="0"/>
          <c:showSerName val="0"/>
          <c:showPercent val="0"/>
          <c:showBubbleSize val="0"/>
        </c:dLbls>
        <c:gapWidth val="50"/>
        <c:overlap val="100"/>
        <c:axId val="1326461311"/>
        <c:axId val="1326463231"/>
      </c:barChart>
      <c:catAx>
        <c:axId val="1326461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1326463231"/>
        <c:crosses val="autoZero"/>
        <c:auto val="1"/>
        <c:lblAlgn val="ctr"/>
        <c:lblOffset val="100"/>
        <c:noMultiLvlLbl val="0"/>
      </c:catAx>
      <c:valAx>
        <c:axId val="13264632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132646131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193387591256972E-2"/>
          <c:y val="7.8866461489268153E-2"/>
          <c:w val="0.89126506245542836"/>
          <c:h val="0.642440278721505"/>
        </c:manualLayout>
      </c:layout>
      <c:lineChart>
        <c:grouping val="standard"/>
        <c:varyColors val="0"/>
        <c:ser>
          <c:idx val="0"/>
          <c:order val="0"/>
          <c:tx>
            <c:v>WACC</c:v>
          </c:tx>
          <c:spPr>
            <a:ln w="28575" cap="rnd">
              <a:solidFill>
                <a:schemeClr val="accent1"/>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WACC!$D$39:$H$39</c:f>
              <c:numCache>
                <c:formatCode>0.00%</c:formatCode>
                <c:ptCount val="5"/>
                <c:pt idx="0">
                  <c:v>6.2472448230574115E-2</c:v>
                </c:pt>
                <c:pt idx="1">
                  <c:v>6.3325385367437675E-2</c:v>
                </c:pt>
                <c:pt idx="2">
                  <c:v>5.8373738870424595E-2</c:v>
                </c:pt>
                <c:pt idx="3">
                  <c:v>5.8527004830483204E-2</c:v>
                </c:pt>
                <c:pt idx="4">
                  <c:v>6.034349756128618E-2</c:v>
                </c:pt>
              </c:numCache>
            </c:numRef>
          </c:val>
          <c:smooth val="0"/>
          <c:extLst>
            <c:ext xmlns:c16="http://schemas.microsoft.com/office/drawing/2014/chart" uri="{C3380CC4-5D6E-409C-BE32-E72D297353CC}">
              <c16:uniqueId val="{00000000-A5B1-4B7A-ABE2-D56A1EFBD778}"/>
            </c:ext>
          </c:extLst>
        </c:ser>
        <c:ser>
          <c:idx val="1"/>
          <c:order val="1"/>
          <c:tx>
            <c:v>ROIC</c:v>
          </c:tx>
          <c:spPr>
            <a:ln w="28575" cap="rnd">
              <a:solidFill>
                <a:schemeClr val="accent1">
                  <a:lumMod val="60000"/>
                  <a:lumOff val="40000"/>
                </a:schemeClr>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WACC!$D$45:$H$45</c:f>
              <c:numCache>
                <c:formatCode>0.00%</c:formatCode>
                <c:ptCount val="5"/>
                <c:pt idx="0">
                  <c:v>4.5759350553698758E-2</c:v>
                </c:pt>
                <c:pt idx="1">
                  <c:v>3.2358127260746175E-2</c:v>
                </c:pt>
                <c:pt idx="2">
                  <c:v>3.9077790406114733E-2</c:v>
                </c:pt>
                <c:pt idx="3">
                  <c:v>5.0958839969529365E-2</c:v>
                </c:pt>
                <c:pt idx="4">
                  <c:v>6.2719611308806628E-2</c:v>
                </c:pt>
              </c:numCache>
            </c:numRef>
          </c:val>
          <c:smooth val="0"/>
          <c:extLst>
            <c:ext xmlns:c16="http://schemas.microsoft.com/office/drawing/2014/chart" uri="{C3380CC4-5D6E-409C-BE32-E72D297353CC}">
              <c16:uniqueId val="{00000001-A5B1-4B7A-ABE2-D56A1EFBD778}"/>
            </c:ext>
          </c:extLst>
        </c:ser>
        <c:dLbls>
          <c:showLegendKey val="0"/>
          <c:showVal val="0"/>
          <c:showCatName val="0"/>
          <c:showSerName val="0"/>
          <c:showPercent val="0"/>
          <c:showBubbleSize val="0"/>
        </c:dLbls>
        <c:smooth val="0"/>
        <c:axId val="1098581088"/>
        <c:axId val="1098581568"/>
      </c:lineChart>
      <c:catAx>
        <c:axId val="109858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1098581568"/>
        <c:crosses val="autoZero"/>
        <c:auto val="1"/>
        <c:lblAlgn val="ctr"/>
        <c:lblOffset val="100"/>
        <c:noMultiLvlLbl val="0"/>
      </c:catAx>
      <c:valAx>
        <c:axId val="1098581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1098581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legend>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v>Volume</c:v>
          </c:tx>
          <c:spPr>
            <a:solidFill>
              <a:schemeClr val="accent1">
                <a:lumMod val="20000"/>
                <a:lumOff val="80000"/>
              </a:schemeClr>
            </a:solidFill>
            <a:ln>
              <a:noFill/>
            </a:ln>
            <a:effectLst/>
          </c:spPr>
          <c:invertIfNegative val="0"/>
          <c:cat>
            <c:numRef>
              <c:f>'Stock Data'!$AM$4:$AM$1048</c:f>
              <c:numCache>
                <c:formatCode>m/d/yy;@</c:formatCode>
                <c:ptCount val="1045"/>
                <c:pt idx="0">
                  <c:v>45938</c:v>
                </c:pt>
                <c:pt idx="1">
                  <c:v>45937</c:v>
                </c:pt>
                <c:pt idx="2">
                  <c:v>45936</c:v>
                </c:pt>
                <c:pt idx="3">
                  <c:v>45935</c:v>
                </c:pt>
                <c:pt idx="4">
                  <c:v>45934</c:v>
                </c:pt>
                <c:pt idx="5">
                  <c:v>45933</c:v>
                </c:pt>
                <c:pt idx="6">
                  <c:v>45932</c:v>
                </c:pt>
                <c:pt idx="7">
                  <c:v>45931</c:v>
                </c:pt>
                <c:pt idx="8">
                  <c:v>45930</c:v>
                </c:pt>
                <c:pt idx="9">
                  <c:v>45929</c:v>
                </c:pt>
                <c:pt idx="10">
                  <c:v>45928</c:v>
                </c:pt>
                <c:pt idx="11">
                  <c:v>45927</c:v>
                </c:pt>
                <c:pt idx="12">
                  <c:v>45926</c:v>
                </c:pt>
                <c:pt idx="13">
                  <c:v>45925</c:v>
                </c:pt>
                <c:pt idx="14">
                  <c:v>45924</c:v>
                </c:pt>
                <c:pt idx="15">
                  <c:v>45923</c:v>
                </c:pt>
                <c:pt idx="16">
                  <c:v>45922</c:v>
                </c:pt>
                <c:pt idx="17">
                  <c:v>45921</c:v>
                </c:pt>
                <c:pt idx="18">
                  <c:v>45920</c:v>
                </c:pt>
                <c:pt idx="19">
                  <c:v>45919</c:v>
                </c:pt>
                <c:pt idx="20">
                  <c:v>45918</c:v>
                </c:pt>
                <c:pt idx="21">
                  <c:v>45917</c:v>
                </c:pt>
                <c:pt idx="22">
                  <c:v>45916</c:v>
                </c:pt>
                <c:pt idx="23">
                  <c:v>45915</c:v>
                </c:pt>
                <c:pt idx="24">
                  <c:v>45914</c:v>
                </c:pt>
                <c:pt idx="25">
                  <c:v>45913</c:v>
                </c:pt>
                <c:pt idx="26">
                  <c:v>45912</c:v>
                </c:pt>
                <c:pt idx="27">
                  <c:v>45911</c:v>
                </c:pt>
                <c:pt idx="28">
                  <c:v>45910</c:v>
                </c:pt>
                <c:pt idx="29">
                  <c:v>45909</c:v>
                </c:pt>
                <c:pt idx="30">
                  <c:v>45908</c:v>
                </c:pt>
                <c:pt idx="31">
                  <c:v>45907</c:v>
                </c:pt>
                <c:pt idx="32">
                  <c:v>45906</c:v>
                </c:pt>
                <c:pt idx="33">
                  <c:v>45905</c:v>
                </c:pt>
                <c:pt idx="34">
                  <c:v>45904</c:v>
                </c:pt>
                <c:pt idx="35">
                  <c:v>45903</c:v>
                </c:pt>
                <c:pt idx="36">
                  <c:v>45902</c:v>
                </c:pt>
                <c:pt idx="37">
                  <c:v>45901</c:v>
                </c:pt>
                <c:pt idx="38">
                  <c:v>45900</c:v>
                </c:pt>
                <c:pt idx="39">
                  <c:v>45899</c:v>
                </c:pt>
                <c:pt idx="40">
                  <c:v>45898</c:v>
                </c:pt>
                <c:pt idx="41">
                  <c:v>45897</c:v>
                </c:pt>
                <c:pt idx="42">
                  <c:v>45896</c:v>
                </c:pt>
                <c:pt idx="43">
                  <c:v>45895</c:v>
                </c:pt>
                <c:pt idx="44">
                  <c:v>45894</c:v>
                </c:pt>
                <c:pt idx="45">
                  <c:v>45893</c:v>
                </c:pt>
                <c:pt idx="46">
                  <c:v>45892</c:v>
                </c:pt>
                <c:pt idx="47">
                  <c:v>45891</c:v>
                </c:pt>
                <c:pt idx="48">
                  <c:v>45890</c:v>
                </c:pt>
                <c:pt idx="49">
                  <c:v>45889</c:v>
                </c:pt>
                <c:pt idx="50">
                  <c:v>45888</c:v>
                </c:pt>
                <c:pt idx="51">
                  <c:v>45887</c:v>
                </c:pt>
                <c:pt idx="52">
                  <c:v>45886</c:v>
                </c:pt>
                <c:pt idx="53">
                  <c:v>45885</c:v>
                </c:pt>
                <c:pt idx="54">
                  <c:v>45884</c:v>
                </c:pt>
                <c:pt idx="55">
                  <c:v>45883</c:v>
                </c:pt>
                <c:pt idx="56">
                  <c:v>45882</c:v>
                </c:pt>
                <c:pt idx="57">
                  <c:v>45881</c:v>
                </c:pt>
                <c:pt idx="58">
                  <c:v>45880</c:v>
                </c:pt>
                <c:pt idx="59">
                  <c:v>45879</c:v>
                </c:pt>
                <c:pt idx="60">
                  <c:v>45878</c:v>
                </c:pt>
                <c:pt idx="61">
                  <c:v>45877</c:v>
                </c:pt>
                <c:pt idx="62">
                  <c:v>45876</c:v>
                </c:pt>
                <c:pt idx="63">
                  <c:v>45875</c:v>
                </c:pt>
                <c:pt idx="64">
                  <c:v>45874</c:v>
                </c:pt>
                <c:pt idx="65">
                  <c:v>45873</c:v>
                </c:pt>
                <c:pt idx="66">
                  <c:v>45872</c:v>
                </c:pt>
                <c:pt idx="67">
                  <c:v>45871</c:v>
                </c:pt>
                <c:pt idx="68">
                  <c:v>45870</c:v>
                </c:pt>
                <c:pt idx="69">
                  <c:v>45869</c:v>
                </c:pt>
                <c:pt idx="70">
                  <c:v>45868</c:v>
                </c:pt>
                <c:pt idx="71">
                  <c:v>45867</c:v>
                </c:pt>
                <c:pt idx="72">
                  <c:v>45866</c:v>
                </c:pt>
                <c:pt idx="73">
                  <c:v>45865</c:v>
                </c:pt>
                <c:pt idx="74">
                  <c:v>45864</c:v>
                </c:pt>
                <c:pt idx="75">
                  <c:v>45863</c:v>
                </c:pt>
                <c:pt idx="76">
                  <c:v>45862</c:v>
                </c:pt>
                <c:pt idx="77">
                  <c:v>45861</c:v>
                </c:pt>
                <c:pt idx="78">
                  <c:v>45860</c:v>
                </c:pt>
                <c:pt idx="79">
                  <c:v>45859</c:v>
                </c:pt>
                <c:pt idx="80">
                  <c:v>45858</c:v>
                </c:pt>
                <c:pt idx="81">
                  <c:v>45857</c:v>
                </c:pt>
                <c:pt idx="82">
                  <c:v>45856</c:v>
                </c:pt>
                <c:pt idx="83">
                  <c:v>45855</c:v>
                </c:pt>
                <c:pt idx="84">
                  <c:v>45854</c:v>
                </c:pt>
                <c:pt idx="85">
                  <c:v>45853</c:v>
                </c:pt>
                <c:pt idx="86">
                  <c:v>45852</c:v>
                </c:pt>
                <c:pt idx="87">
                  <c:v>45851</c:v>
                </c:pt>
                <c:pt idx="88">
                  <c:v>45850</c:v>
                </c:pt>
                <c:pt idx="89">
                  <c:v>45849</c:v>
                </c:pt>
                <c:pt idx="90">
                  <c:v>45848</c:v>
                </c:pt>
                <c:pt idx="91">
                  <c:v>45847</c:v>
                </c:pt>
                <c:pt idx="92">
                  <c:v>45846</c:v>
                </c:pt>
                <c:pt idx="93">
                  <c:v>45845</c:v>
                </c:pt>
                <c:pt idx="94">
                  <c:v>45844</c:v>
                </c:pt>
                <c:pt idx="95">
                  <c:v>45843</c:v>
                </c:pt>
                <c:pt idx="96">
                  <c:v>45842</c:v>
                </c:pt>
                <c:pt idx="97">
                  <c:v>45841</c:v>
                </c:pt>
                <c:pt idx="98">
                  <c:v>45840</c:v>
                </c:pt>
                <c:pt idx="99">
                  <c:v>45839</c:v>
                </c:pt>
                <c:pt idx="100">
                  <c:v>45838</c:v>
                </c:pt>
                <c:pt idx="101">
                  <c:v>45837</c:v>
                </c:pt>
                <c:pt idx="102">
                  <c:v>45836</c:v>
                </c:pt>
                <c:pt idx="103">
                  <c:v>45835</c:v>
                </c:pt>
                <c:pt idx="104">
                  <c:v>45834</c:v>
                </c:pt>
                <c:pt idx="105">
                  <c:v>45833</c:v>
                </c:pt>
                <c:pt idx="106">
                  <c:v>45832</c:v>
                </c:pt>
                <c:pt idx="107">
                  <c:v>45831</c:v>
                </c:pt>
                <c:pt idx="108">
                  <c:v>45830</c:v>
                </c:pt>
                <c:pt idx="109">
                  <c:v>45829</c:v>
                </c:pt>
                <c:pt idx="110">
                  <c:v>45828</c:v>
                </c:pt>
                <c:pt idx="111">
                  <c:v>45827</c:v>
                </c:pt>
                <c:pt idx="112">
                  <c:v>45826</c:v>
                </c:pt>
                <c:pt idx="113">
                  <c:v>45825</c:v>
                </c:pt>
                <c:pt idx="114">
                  <c:v>45824</c:v>
                </c:pt>
                <c:pt idx="115">
                  <c:v>45823</c:v>
                </c:pt>
                <c:pt idx="116">
                  <c:v>45822</c:v>
                </c:pt>
                <c:pt idx="117">
                  <c:v>45821</c:v>
                </c:pt>
                <c:pt idx="118">
                  <c:v>45820</c:v>
                </c:pt>
                <c:pt idx="119">
                  <c:v>45819</c:v>
                </c:pt>
                <c:pt idx="120">
                  <c:v>45818</c:v>
                </c:pt>
                <c:pt idx="121">
                  <c:v>45817</c:v>
                </c:pt>
                <c:pt idx="122">
                  <c:v>45816</c:v>
                </c:pt>
                <c:pt idx="123">
                  <c:v>45815</c:v>
                </c:pt>
                <c:pt idx="124">
                  <c:v>45814</c:v>
                </c:pt>
                <c:pt idx="125">
                  <c:v>45813</c:v>
                </c:pt>
                <c:pt idx="126">
                  <c:v>45812</c:v>
                </c:pt>
                <c:pt idx="127">
                  <c:v>45811</c:v>
                </c:pt>
                <c:pt idx="128">
                  <c:v>45810</c:v>
                </c:pt>
                <c:pt idx="129">
                  <c:v>45809</c:v>
                </c:pt>
                <c:pt idx="130">
                  <c:v>45808</c:v>
                </c:pt>
                <c:pt idx="131">
                  <c:v>45807</c:v>
                </c:pt>
                <c:pt idx="132">
                  <c:v>45806</c:v>
                </c:pt>
                <c:pt idx="133">
                  <c:v>45805</c:v>
                </c:pt>
                <c:pt idx="134">
                  <c:v>45804</c:v>
                </c:pt>
                <c:pt idx="135">
                  <c:v>45803</c:v>
                </c:pt>
                <c:pt idx="136">
                  <c:v>45802</c:v>
                </c:pt>
                <c:pt idx="137">
                  <c:v>45801</c:v>
                </c:pt>
                <c:pt idx="138">
                  <c:v>45800</c:v>
                </c:pt>
                <c:pt idx="139">
                  <c:v>45799</c:v>
                </c:pt>
                <c:pt idx="140">
                  <c:v>45798</c:v>
                </c:pt>
                <c:pt idx="141">
                  <c:v>45797</c:v>
                </c:pt>
                <c:pt idx="142">
                  <c:v>45796</c:v>
                </c:pt>
                <c:pt idx="143">
                  <c:v>45795</c:v>
                </c:pt>
                <c:pt idx="144">
                  <c:v>45794</c:v>
                </c:pt>
                <c:pt idx="145">
                  <c:v>45793</c:v>
                </c:pt>
                <c:pt idx="146">
                  <c:v>45792</c:v>
                </c:pt>
                <c:pt idx="147">
                  <c:v>45791</c:v>
                </c:pt>
                <c:pt idx="148">
                  <c:v>45790</c:v>
                </c:pt>
                <c:pt idx="149">
                  <c:v>45789</c:v>
                </c:pt>
                <c:pt idx="150">
                  <c:v>45788</c:v>
                </c:pt>
                <c:pt idx="151">
                  <c:v>45787</c:v>
                </c:pt>
                <c:pt idx="152">
                  <c:v>45786</c:v>
                </c:pt>
                <c:pt idx="153">
                  <c:v>45785</c:v>
                </c:pt>
                <c:pt idx="154">
                  <c:v>45784</c:v>
                </c:pt>
                <c:pt idx="155">
                  <c:v>45783</c:v>
                </c:pt>
                <c:pt idx="156">
                  <c:v>45782</c:v>
                </c:pt>
                <c:pt idx="157">
                  <c:v>45781</c:v>
                </c:pt>
                <c:pt idx="158">
                  <c:v>45780</c:v>
                </c:pt>
                <c:pt idx="159">
                  <c:v>45779</c:v>
                </c:pt>
                <c:pt idx="160">
                  <c:v>45778</c:v>
                </c:pt>
                <c:pt idx="161">
                  <c:v>45777</c:v>
                </c:pt>
                <c:pt idx="162">
                  <c:v>45776</c:v>
                </c:pt>
                <c:pt idx="163">
                  <c:v>45775</c:v>
                </c:pt>
                <c:pt idx="164">
                  <c:v>45774</c:v>
                </c:pt>
                <c:pt idx="165">
                  <c:v>45773</c:v>
                </c:pt>
                <c:pt idx="166">
                  <c:v>45772</c:v>
                </c:pt>
                <c:pt idx="167">
                  <c:v>45771</c:v>
                </c:pt>
                <c:pt idx="168">
                  <c:v>45770</c:v>
                </c:pt>
                <c:pt idx="169">
                  <c:v>45769</c:v>
                </c:pt>
                <c:pt idx="170">
                  <c:v>45768</c:v>
                </c:pt>
                <c:pt idx="171">
                  <c:v>45767</c:v>
                </c:pt>
                <c:pt idx="172">
                  <c:v>45766</c:v>
                </c:pt>
                <c:pt idx="173">
                  <c:v>45765</c:v>
                </c:pt>
                <c:pt idx="174">
                  <c:v>45764</c:v>
                </c:pt>
                <c:pt idx="175">
                  <c:v>45763</c:v>
                </c:pt>
                <c:pt idx="176">
                  <c:v>45762</c:v>
                </c:pt>
                <c:pt idx="177">
                  <c:v>45761</c:v>
                </c:pt>
                <c:pt idx="178">
                  <c:v>45760</c:v>
                </c:pt>
                <c:pt idx="179">
                  <c:v>45759</c:v>
                </c:pt>
                <c:pt idx="180">
                  <c:v>45758</c:v>
                </c:pt>
                <c:pt idx="181">
                  <c:v>45757</c:v>
                </c:pt>
                <c:pt idx="182">
                  <c:v>45756</c:v>
                </c:pt>
                <c:pt idx="183">
                  <c:v>45755</c:v>
                </c:pt>
                <c:pt idx="184">
                  <c:v>45754</c:v>
                </c:pt>
                <c:pt idx="185">
                  <c:v>45753</c:v>
                </c:pt>
                <c:pt idx="186">
                  <c:v>45752</c:v>
                </c:pt>
                <c:pt idx="187">
                  <c:v>45751</c:v>
                </c:pt>
                <c:pt idx="188">
                  <c:v>45750</c:v>
                </c:pt>
                <c:pt idx="189">
                  <c:v>45749</c:v>
                </c:pt>
                <c:pt idx="190">
                  <c:v>45748</c:v>
                </c:pt>
                <c:pt idx="191">
                  <c:v>45747</c:v>
                </c:pt>
                <c:pt idx="192">
                  <c:v>45746</c:v>
                </c:pt>
                <c:pt idx="193">
                  <c:v>45745</c:v>
                </c:pt>
                <c:pt idx="194">
                  <c:v>45744</c:v>
                </c:pt>
                <c:pt idx="195">
                  <c:v>45743</c:v>
                </c:pt>
                <c:pt idx="196">
                  <c:v>45742</c:v>
                </c:pt>
                <c:pt idx="197">
                  <c:v>45741</c:v>
                </c:pt>
                <c:pt idx="198">
                  <c:v>45740</c:v>
                </c:pt>
                <c:pt idx="199">
                  <c:v>45739</c:v>
                </c:pt>
                <c:pt idx="200">
                  <c:v>45738</c:v>
                </c:pt>
                <c:pt idx="201">
                  <c:v>45737</c:v>
                </c:pt>
                <c:pt idx="202">
                  <c:v>45736</c:v>
                </c:pt>
                <c:pt idx="203">
                  <c:v>45735</c:v>
                </c:pt>
                <c:pt idx="204">
                  <c:v>45734</c:v>
                </c:pt>
                <c:pt idx="205">
                  <c:v>45733</c:v>
                </c:pt>
                <c:pt idx="206">
                  <c:v>45732</c:v>
                </c:pt>
                <c:pt idx="207">
                  <c:v>45731</c:v>
                </c:pt>
                <c:pt idx="208">
                  <c:v>45730</c:v>
                </c:pt>
                <c:pt idx="209">
                  <c:v>45729</c:v>
                </c:pt>
                <c:pt idx="210">
                  <c:v>45728</c:v>
                </c:pt>
                <c:pt idx="211">
                  <c:v>45727</c:v>
                </c:pt>
                <c:pt idx="212">
                  <c:v>45726</c:v>
                </c:pt>
                <c:pt idx="213">
                  <c:v>45725</c:v>
                </c:pt>
                <c:pt idx="214">
                  <c:v>45724</c:v>
                </c:pt>
                <c:pt idx="215">
                  <c:v>45723</c:v>
                </c:pt>
                <c:pt idx="216">
                  <c:v>45722</c:v>
                </c:pt>
                <c:pt idx="217">
                  <c:v>45721</c:v>
                </c:pt>
                <c:pt idx="218">
                  <c:v>45720</c:v>
                </c:pt>
                <c:pt idx="219">
                  <c:v>45719</c:v>
                </c:pt>
                <c:pt idx="220">
                  <c:v>45718</c:v>
                </c:pt>
                <c:pt idx="221">
                  <c:v>45717</c:v>
                </c:pt>
                <c:pt idx="222">
                  <c:v>45716</c:v>
                </c:pt>
                <c:pt idx="223">
                  <c:v>45715</c:v>
                </c:pt>
                <c:pt idx="224">
                  <c:v>45714</c:v>
                </c:pt>
                <c:pt idx="225">
                  <c:v>45713</c:v>
                </c:pt>
                <c:pt idx="226">
                  <c:v>45712</c:v>
                </c:pt>
                <c:pt idx="227">
                  <c:v>45711</c:v>
                </c:pt>
                <c:pt idx="228">
                  <c:v>45710</c:v>
                </c:pt>
                <c:pt idx="229">
                  <c:v>45709</c:v>
                </c:pt>
                <c:pt idx="230">
                  <c:v>45708</c:v>
                </c:pt>
                <c:pt idx="231">
                  <c:v>45707</c:v>
                </c:pt>
                <c:pt idx="232">
                  <c:v>45706</c:v>
                </c:pt>
                <c:pt idx="233">
                  <c:v>45705</c:v>
                </c:pt>
                <c:pt idx="234">
                  <c:v>45704</c:v>
                </c:pt>
                <c:pt idx="235">
                  <c:v>45703</c:v>
                </c:pt>
                <c:pt idx="236">
                  <c:v>45702</c:v>
                </c:pt>
                <c:pt idx="237">
                  <c:v>45701</c:v>
                </c:pt>
                <c:pt idx="238">
                  <c:v>45700</c:v>
                </c:pt>
                <c:pt idx="239">
                  <c:v>45699</c:v>
                </c:pt>
                <c:pt idx="240">
                  <c:v>45698</c:v>
                </c:pt>
                <c:pt idx="241">
                  <c:v>45697</c:v>
                </c:pt>
                <c:pt idx="242">
                  <c:v>45696</c:v>
                </c:pt>
                <c:pt idx="243">
                  <c:v>45695</c:v>
                </c:pt>
                <c:pt idx="244">
                  <c:v>45694</c:v>
                </c:pt>
                <c:pt idx="245">
                  <c:v>45693</c:v>
                </c:pt>
                <c:pt idx="246">
                  <c:v>45692</c:v>
                </c:pt>
                <c:pt idx="247">
                  <c:v>45691</c:v>
                </c:pt>
                <c:pt idx="248">
                  <c:v>45690</c:v>
                </c:pt>
                <c:pt idx="249">
                  <c:v>45689</c:v>
                </c:pt>
                <c:pt idx="250">
                  <c:v>45688</c:v>
                </c:pt>
                <c:pt idx="251">
                  <c:v>45687</c:v>
                </c:pt>
                <c:pt idx="252">
                  <c:v>45686</c:v>
                </c:pt>
                <c:pt idx="253">
                  <c:v>45685</c:v>
                </c:pt>
                <c:pt idx="254">
                  <c:v>45684</c:v>
                </c:pt>
                <c:pt idx="255">
                  <c:v>45683</c:v>
                </c:pt>
                <c:pt idx="256">
                  <c:v>45682</c:v>
                </c:pt>
                <c:pt idx="257">
                  <c:v>45681</c:v>
                </c:pt>
                <c:pt idx="258">
                  <c:v>45680</c:v>
                </c:pt>
                <c:pt idx="259">
                  <c:v>45679</c:v>
                </c:pt>
                <c:pt idx="260">
                  <c:v>45678</c:v>
                </c:pt>
                <c:pt idx="261">
                  <c:v>45677</c:v>
                </c:pt>
                <c:pt idx="262">
                  <c:v>45676</c:v>
                </c:pt>
                <c:pt idx="263">
                  <c:v>45675</c:v>
                </c:pt>
                <c:pt idx="264">
                  <c:v>45674</c:v>
                </c:pt>
                <c:pt idx="265">
                  <c:v>45673</c:v>
                </c:pt>
                <c:pt idx="266">
                  <c:v>45672</c:v>
                </c:pt>
                <c:pt idx="267">
                  <c:v>45671</c:v>
                </c:pt>
                <c:pt idx="268">
                  <c:v>45670</c:v>
                </c:pt>
                <c:pt idx="269">
                  <c:v>45669</c:v>
                </c:pt>
                <c:pt idx="270">
                  <c:v>45668</c:v>
                </c:pt>
                <c:pt idx="271">
                  <c:v>45667</c:v>
                </c:pt>
                <c:pt idx="272">
                  <c:v>45666</c:v>
                </c:pt>
                <c:pt idx="273">
                  <c:v>45665</c:v>
                </c:pt>
                <c:pt idx="274">
                  <c:v>45664</c:v>
                </c:pt>
                <c:pt idx="275">
                  <c:v>45663</c:v>
                </c:pt>
                <c:pt idx="276">
                  <c:v>45662</c:v>
                </c:pt>
                <c:pt idx="277">
                  <c:v>45661</c:v>
                </c:pt>
                <c:pt idx="278">
                  <c:v>45660</c:v>
                </c:pt>
                <c:pt idx="279">
                  <c:v>45659</c:v>
                </c:pt>
                <c:pt idx="280">
                  <c:v>45658</c:v>
                </c:pt>
                <c:pt idx="281">
                  <c:v>45657</c:v>
                </c:pt>
                <c:pt idx="282">
                  <c:v>45656</c:v>
                </c:pt>
                <c:pt idx="283">
                  <c:v>45655</c:v>
                </c:pt>
                <c:pt idx="284">
                  <c:v>45654</c:v>
                </c:pt>
                <c:pt idx="285">
                  <c:v>45653</c:v>
                </c:pt>
                <c:pt idx="286">
                  <c:v>45652</c:v>
                </c:pt>
                <c:pt idx="287">
                  <c:v>45651</c:v>
                </c:pt>
                <c:pt idx="288">
                  <c:v>45650</c:v>
                </c:pt>
                <c:pt idx="289">
                  <c:v>45649</c:v>
                </c:pt>
                <c:pt idx="290">
                  <c:v>45648</c:v>
                </c:pt>
                <c:pt idx="291">
                  <c:v>45647</c:v>
                </c:pt>
                <c:pt idx="292">
                  <c:v>45646</c:v>
                </c:pt>
                <c:pt idx="293">
                  <c:v>45645</c:v>
                </c:pt>
                <c:pt idx="294">
                  <c:v>45644</c:v>
                </c:pt>
                <c:pt idx="295">
                  <c:v>45643</c:v>
                </c:pt>
                <c:pt idx="296">
                  <c:v>45642</c:v>
                </c:pt>
                <c:pt idx="297">
                  <c:v>45641</c:v>
                </c:pt>
                <c:pt idx="298">
                  <c:v>45640</c:v>
                </c:pt>
                <c:pt idx="299">
                  <c:v>45639</c:v>
                </c:pt>
                <c:pt idx="300">
                  <c:v>45638</c:v>
                </c:pt>
                <c:pt idx="301">
                  <c:v>45637</c:v>
                </c:pt>
                <c:pt idx="302">
                  <c:v>45636</c:v>
                </c:pt>
                <c:pt idx="303">
                  <c:v>45635</c:v>
                </c:pt>
                <c:pt idx="304">
                  <c:v>45634</c:v>
                </c:pt>
                <c:pt idx="305">
                  <c:v>45633</c:v>
                </c:pt>
                <c:pt idx="306">
                  <c:v>45632</c:v>
                </c:pt>
                <c:pt idx="307">
                  <c:v>45631</c:v>
                </c:pt>
                <c:pt idx="308">
                  <c:v>45630</c:v>
                </c:pt>
                <c:pt idx="309">
                  <c:v>45629</c:v>
                </c:pt>
                <c:pt idx="310">
                  <c:v>45628</c:v>
                </c:pt>
                <c:pt idx="311">
                  <c:v>45627</c:v>
                </c:pt>
                <c:pt idx="312">
                  <c:v>45626</c:v>
                </c:pt>
                <c:pt idx="313">
                  <c:v>45625</c:v>
                </c:pt>
                <c:pt idx="314">
                  <c:v>45624</c:v>
                </c:pt>
                <c:pt idx="315">
                  <c:v>45623</c:v>
                </c:pt>
                <c:pt idx="316">
                  <c:v>45622</c:v>
                </c:pt>
                <c:pt idx="317">
                  <c:v>45621</c:v>
                </c:pt>
                <c:pt idx="318">
                  <c:v>45620</c:v>
                </c:pt>
                <c:pt idx="319">
                  <c:v>45619</c:v>
                </c:pt>
                <c:pt idx="320">
                  <c:v>45618</c:v>
                </c:pt>
                <c:pt idx="321">
                  <c:v>45617</c:v>
                </c:pt>
                <c:pt idx="322">
                  <c:v>45616</c:v>
                </c:pt>
                <c:pt idx="323">
                  <c:v>45615</c:v>
                </c:pt>
                <c:pt idx="324">
                  <c:v>45614</c:v>
                </c:pt>
                <c:pt idx="325">
                  <c:v>45613</c:v>
                </c:pt>
                <c:pt idx="326">
                  <c:v>45612</c:v>
                </c:pt>
                <c:pt idx="327">
                  <c:v>45611</c:v>
                </c:pt>
                <c:pt idx="328">
                  <c:v>45610</c:v>
                </c:pt>
                <c:pt idx="329">
                  <c:v>45609</c:v>
                </c:pt>
                <c:pt idx="330">
                  <c:v>45608</c:v>
                </c:pt>
                <c:pt idx="331">
                  <c:v>45607</c:v>
                </c:pt>
                <c:pt idx="332">
                  <c:v>45606</c:v>
                </c:pt>
                <c:pt idx="333">
                  <c:v>45605</c:v>
                </c:pt>
                <c:pt idx="334">
                  <c:v>45604</c:v>
                </c:pt>
                <c:pt idx="335">
                  <c:v>45603</c:v>
                </c:pt>
                <c:pt idx="336">
                  <c:v>45602</c:v>
                </c:pt>
                <c:pt idx="337">
                  <c:v>45601</c:v>
                </c:pt>
                <c:pt idx="338">
                  <c:v>45600</c:v>
                </c:pt>
                <c:pt idx="339">
                  <c:v>45599</c:v>
                </c:pt>
                <c:pt idx="340">
                  <c:v>45598</c:v>
                </c:pt>
                <c:pt idx="341">
                  <c:v>45597</c:v>
                </c:pt>
                <c:pt idx="342">
                  <c:v>45596</c:v>
                </c:pt>
                <c:pt idx="343">
                  <c:v>45595</c:v>
                </c:pt>
                <c:pt idx="344">
                  <c:v>45594</c:v>
                </c:pt>
                <c:pt idx="345">
                  <c:v>45593</c:v>
                </c:pt>
                <c:pt idx="346">
                  <c:v>45592</c:v>
                </c:pt>
                <c:pt idx="347">
                  <c:v>45591</c:v>
                </c:pt>
                <c:pt idx="348">
                  <c:v>45590</c:v>
                </c:pt>
                <c:pt idx="349">
                  <c:v>45589</c:v>
                </c:pt>
                <c:pt idx="350">
                  <c:v>45588</c:v>
                </c:pt>
                <c:pt idx="351">
                  <c:v>45587</c:v>
                </c:pt>
                <c:pt idx="352">
                  <c:v>45586</c:v>
                </c:pt>
                <c:pt idx="353">
                  <c:v>45585</c:v>
                </c:pt>
                <c:pt idx="354">
                  <c:v>45584</c:v>
                </c:pt>
                <c:pt idx="355">
                  <c:v>45583</c:v>
                </c:pt>
                <c:pt idx="356">
                  <c:v>45582</c:v>
                </c:pt>
                <c:pt idx="357">
                  <c:v>45581</c:v>
                </c:pt>
                <c:pt idx="358">
                  <c:v>45580</c:v>
                </c:pt>
                <c:pt idx="359">
                  <c:v>45579</c:v>
                </c:pt>
                <c:pt idx="360">
                  <c:v>45578</c:v>
                </c:pt>
                <c:pt idx="361">
                  <c:v>45577</c:v>
                </c:pt>
                <c:pt idx="362">
                  <c:v>45576</c:v>
                </c:pt>
                <c:pt idx="363">
                  <c:v>45575</c:v>
                </c:pt>
                <c:pt idx="364">
                  <c:v>45574</c:v>
                </c:pt>
                <c:pt idx="365">
                  <c:v>45573</c:v>
                </c:pt>
                <c:pt idx="366">
                  <c:v>45572</c:v>
                </c:pt>
                <c:pt idx="367">
                  <c:v>45571</c:v>
                </c:pt>
                <c:pt idx="368">
                  <c:v>45570</c:v>
                </c:pt>
                <c:pt idx="369">
                  <c:v>45569</c:v>
                </c:pt>
                <c:pt idx="370">
                  <c:v>45568</c:v>
                </c:pt>
                <c:pt idx="371">
                  <c:v>45567</c:v>
                </c:pt>
                <c:pt idx="372">
                  <c:v>45566</c:v>
                </c:pt>
                <c:pt idx="373">
                  <c:v>45565</c:v>
                </c:pt>
                <c:pt idx="374">
                  <c:v>45564</c:v>
                </c:pt>
                <c:pt idx="375">
                  <c:v>45563</c:v>
                </c:pt>
                <c:pt idx="376">
                  <c:v>45562</c:v>
                </c:pt>
                <c:pt idx="377">
                  <c:v>45561</c:v>
                </c:pt>
                <c:pt idx="378">
                  <c:v>45560</c:v>
                </c:pt>
                <c:pt idx="379">
                  <c:v>45559</c:v>
                </c:pt>
                <c:pt idx="380">
                  <c:v>45558</c:v>
                </c:pt>
                <c:pt idx="381">
                  <c:v>45557</c:v>
                </c:pt>
                <c:pt idx="382">
                  <c:v>45556</c:v>
                </c:pt>
                <c:pt idx="383">
                  <c:v>45555</c:v>
                </c:pt>
                <c:pt idx="384">
                  <c:v>45554</c:v>
                </c:pt>
                <c:pt idx="385">
                  <c:v>45553</c:v>
                </c:pt>
                <c:pt idx="386">
                  <c:v>45552</c:v>
                </c:pt>
                <c:pt idx="387">
                  <c:v>45551</c:v>
                </c:pt>
                <c:pt idx="388">
                  <c:v>45550</c:v>
                </c:pt>
                <c:pt idx="389">
                  <c:v>45549</c:v>
                </c:pt>
                <c:pt idx="390">
                  <c:v>45548</c:v>
                </c:pt>
                <c:pt idx="391">
                  <c:v>45547</c:v>
                </c:pt>
                <c:pt idx="392">
                  <c:v>45546</c:v>
                </c:pt>
                <c:pt idx="393">
                  <c:v>45545</c:v>
                </c:pt>
                <c:pt idx="394">
                  <c:v>45544</c:v>
                </c:pt>
                <c:pt idx="395">
                  <c:v>45543</c:v>
                </c:pt>
                <c:pt idx="396">
                  <c:v>45542</c:v>
                </c:pt>
                <c:pt idx="397">
                  <c:v>45541</c:v>
                </c:pt>
                <c:pt idx="398">
                  <c:v>45540</c:v>
                </c:pt>
                <c:pt idx="399">
                  <c:v>45539</c:v>
                </c:pt>
                <c:pt idx="400">
                  <c:v>45538</c:v>
                </c:pt>
                <c:pt idx="401">
                  <c:v>45537</c:v>
                </c:pt>
                <c:pt idx="402">
                  <c:v>45536</c:v>
                </c:pt>
                <c:pt idx="403">
                  <c:v>45535</c:v>
                </c:pt>
                <c:pt idx="404">
                  <c:v>45534</c:v>
                </c:pt>
                <c:pt idx="405">
                  <c:v>45533</c:v>
                </c:pt>
                <c:pt idx="406">
                  <c:v>45532</c:v>
                </c:pt>
                <c:pt idx="407">
                  <c:v>45531</c:v>
                </c:pt>
                <c:pt idx="408">
                  <c:v>45530</c:v>
                </c:pt>
                <c:pt idx="409">
                  <c:v>45529</c:v>
                </c:pt>
                <c:pt idx="410">
                  <c:v>45528</c:v>
                </c:pt>
                <c:pt idx="411">
                  <c:v>45527</c:v>
                </c:pt>
                <c:pt idx="412">
                  <c:v>45526</c:v>
                </c:pt>
                <c:pt idx="413">
                  <c:v>45525</c:v>
                </c:pt>
                <c:pt idx="414">
                  <c:v>45524</c:v>
                </c:pt>
                <c:pt idx="415">
                  <c:v>45523</c:v>
                </c:pt>
                <c:pt idx="416">
                  <c:v>45522</c:v>
                </c:pt>
                <c:pt idx="417">
                  <c:v>45521</c:v>
                </c:pt>
                <c:pt idx="418">
                  <c:v>45520</c:v>
                </c:pt>
                <c:pt idx="419">
                  <c:v>45519</c:v>
                </c:pt>
                <c:pt idx="420">
                  <c:v>45518</c:v>
                </c:pt>
                <c:pt idx="421">
                  <c:v>45517</c:v>
                </c:pt>
                <c:pt idx="422">
                  <c:v>45516</c:v>
                </c:pt>
                <c:pt idx="423">
                  <c:v>45515</c:v>
                </c:pt>
                <c:pt idx="424">
                  <c:v>45514</c:v>
                </c:pt>
                <c:pt idx="425">
                  <c:v>45513</c:v>
                </c:pt>
                <c:pt idx="426">
                  <c:v>45512</c:v>
                </c:pt>
                <c:pt idx="427">
                  <c:v>45511</c:v>
                </c:pt>
                <c:pt idx="428">
                  <c:v>45510</c:v>
                </c:pt>
                <c:pt idx="429">
                  <c:v>45509</c:v>
                </c:pt>
                <c:pt idx="430">
                  <c:v>45508</c:v>
                </c:pt>
                <c:pt idx="431">
                  <c:v>45507</c:v>
                </c:pt>
                <c:pt idx="432">
                  <c:v>45506</c:v>
                </c:pt>
                <c:pt idx="433">
                  <c:v>45505</c:v>
                </c:pt>
                <c:pt idx="434">
                  <c:v>45504</c:v>
                </c:pt>
                <c:pt idx="435">
                  <c:v>45503</c:v>
                </c:pt>
                <c:pt idx="436">
                  <c:v>45502</c:v>
                </c:pt>
                <c:pt idx="437">
                  <c:v>45501</c:v>
                </c:pt>
                <c:pt idx="438">
                  <c:v>45500</c:v>
                </c:pt>
                <c:pt idx="439">
                  <c:v>45499</c:v>
                </c:pt>
                <c:pt idx="440">
                  <c:v>45498</c:v>
                </c:pt>
                <c:pt idx="441">
                  <c:v>45497</c:v>
                </c:pt>
                <c:pt idx="442">
                  <c:v>45496</c:v>
                </c:pt>
                <c:pt idx="443">
                  <c:v>45495</c:v>
                </c:pt>
                <c:pt idx="444">
                  <c:v>45494</c:v>
                </c:pt>
                <c:pt idx="445">
                  <c:v>45493</c:v>
                </c:pt>
                <c:pt idx="446">
                  <c:v>45492</c:v>
                </c:pt>
                <c:pt idx="447">
                  <c:v>45491</c:v>
                </c:pt>
                <c:pt idx="448">
                  <c:v>45490</c:v>
                </c:pt>
                <c:pt idx="449">
                  <c:v>45489</c:v>
                </c:pt>
                <c:pt idx="450">
                  <c:v>45488</c:v>
                </c:pt>
                <c:pt idx="451">
                  <c:v>45487</c:v>
                </c:pt>
                <c:pt idx="452">
                  <c:v>45486</c:v>
                </c:pt>
                <c:pt idx="453">
                  <c:v>45485</c:v>
                </c:pt>
                <c:pt idx="454">
                  <c:v>45484</c:v>
                </c:pt>
                <c:pt idx="455">
                  <c:v>45483</c:v>
                </c:pt>
                <c:pt idx="456">
                  <c:v>45482</c:v>
                </c:pt>
                <c:pt idx="457">
                  <c:v>45481</c:v>
                </c:pt>
                <c:pt idx="458">
                  <c:v>45480</c:v>
                </c:pt>
                <c:pt idx="459">
                  <c:v>45479</c:v>
                </c:pt>
                <c:pt idx="460">
                  <c:v>45478</c:v>
                </c:pt>
                <c:pt idx="461">
                  <c:v>45477</c:v>
                </c:pt>
                <c:pt idx="462">
                  <c:v>45476</c:v>
                </c:pt>
                <c:pt idx="463">
                  <c:v>45475</c:v>
                </c:pt>
                <c:pt idx="464">
                  <c:v>45474</c:v>
                </c:pt>
                <c:pt idx="465">
                  <c:v>45473</c:v>
                </c:pt>
                <c:pt idx="466">
                  <c:v>45472</c:v>
                </c:pt>
                <c:pt idx="467">
                  <c:v>45471</c:v>
                </c:pt>
                <c:pt idx="468">
                  <c:v>45470</c:v>
                </c:pt>
                <c:pt idx="469">
                  <c:v>45469</c:v>
                </c:pt>
                <c:pt idx="470">
                  <c:v>45468</c:v>
                </c:pt>
                <c:pt idx="471">
                  <c:v>45467</c:v>
                </c:pt>
                <c:pt idx="472">
                  <c:v>45466</c:v>
                </c:pt>
                <c:pt idx="473">
                  <c:v>45465</c:v>
                </c:pt>
                <c:pt idx="474">
                  <c:v>45464</c:v>
                </c:pt>
                <c:pt idx="475">
                  <c:v>45463</c:v>
                </c:pt>
                <c:pt idx="476">
                  <c:v>45462</c:v>
                </c:pt>
                <c:pt idx="477">
                  <c:v>45461</c:v>
                </c:pt>
                <c:pt idx="478">
                  <c:v>45460</c:v>
                </c:pt>
                <c:pt idx="479">
                  <c:v>45459</c:v>
                </c:pt>
                <c:pt idx="480">
                  <c:v>45458</c:v>
                </c:pt>
                <c:pt idx="481">
                  <c:v>45457</c:v>
                </c:pt>
                <c:pt idx="482">
                  <c:v>45456</c:v>
                </c:pt>
                <c:pt idx="483">
                  <c:v>45455</c:v>
                </c:pt>
                <c:pt idx="484">
                  <c:v>45454</c:v>
                </c:pt>
                <c:pt idx="485">
                  <c:v>45453</c:v>
                </c:pt>
                <c:pt idx="486">
                  <c:v>45452</c:v>
                </c:pt>
                <c:pt idx="487">
                  <c:v>45451</c:v>
                </c:pt>
                <c:pt idx="488">
                  <c:v>45450</c:v>
                </c:pt>
                <c:pt idx="489">
                  <c:v>45449</c:v>
                </c:pt>
                <c:pt idx="490">
                  <c:v>45448</c:v>
                </c:pt>
                <c:pt idx="491">
                  <c:v>45447</c:v>
                </c:pt>
                <c:pt idx="492">
                  <c:v>45446</c:v>
                </c:pt>
                <c:pt idx="493">
                  <c:v>45445</c:v>
                </c:pt>
                <c:pt idx="494">
                  <c:v>45444</c:v>
                </c:pt>
                <c:pt idx="495">
                  <c:v>45443</c:v>
                </c:pt>
                <c:pt idx="496">
                  <c:v>45442</c:v>
                </c:pt>
                <c:pt idx="497">
                  <c:v>45441</c:v>
                </c:pt>
                <c:pt idx="498">
                  <c:v>45440</c:v>
                </c:pt>
                <c:pt idx="499">
                  <c:v>45439</c:v>
                </c:pt>
                <c:pt idx="500">
                  <c:v>45438</c:v>
                </c:pt>
                <c:pt idx="501">
                  <c:v>45437</c:v>
                </c:pt>
                <c:pt idx="502">
                  <c:v>45436</c:v>
                </c:pt>
                <c:pt idx="503">
                  <c:v>45435</c:v>
                </c:pt>
                <c:pt idx="504">
                  <c:v>45434</c:v>
                </c:pt>
                <c:pt idx="505">
                  <c:v>45433</c:v>
                </c:pt>
                <c:pt idx="506">
                  <c:v>45432</c:v>
                </c:pt>
                <c:pt idx="507">
                  <c:v>45431</c:v>
                </c:pt>
                <c:pt idx="508">
                  <c:v>45430</c:v>
                </c:pt>
                <c:pt idx="509">
                  <c:v>45429</c:v>
                </c:pt>
                <c:pt idx="510">
                  <c:v>45428</c:v>
                </c:pt>
                <c:pt idx="511">
                  <c:v>45427</c:v>
                </c:pt>
                <c:pt idx="512">
                  <c:v>45426</c:v>
                </c:pt>
                <c:pt idx="513">
                  <c:v>45425</c:v>
                </c:pt>
                <c:pt idx="514">
                  <c:v>45424</c:v>
                </c:pt>
                <c:pt idx="515">
                  <c:v>45423</c:v>
                </c:pt>
                <c:pt idx="516">
                  <c:v>45422</c:v>
                </c:pt>
                <c:pt idx="517">
                  <c:v>45421</c:v>
                </c:pt>
                <c:pt idx="518">
                  <c:v>45420</c:v>
                </c:pt>
                <c:pt idx="519">
                  <c:v>45419</c:v>
                </c:pt>
                <c:pt idx="520">
                  <c:v>45418</c:v>
                </c:pt>
                <c:pt idx="521">
                  <c:v>45417</c:v>
                </c:pt>
                <c:pt idx="522">
                  <c:v>45416</c:v>
                </c:pt>
                <c:pt idx="523">
                  <c:v>45415</c:v>
                </c:pt>
                <c:pt idx="524">
                  <c:v>45414</c:v>
                </c:pt>
                <c:pt idx="525">
                  <c:v>45413</c:v>
                </c:pt>
                <c:pt idx="526">
                  <c:v>45412</c:v>
                </c:pt>
                <c:pt idx="527">
                  <c:v>45411</c:v>
                </c:pt>
                <c:pt idx="528">
                  <c:v>45410</c:v>
                </c:pt>
                <c:pt idx="529">
                  <c:v>45409</c:v>
                </c:pt>
                <c:pt idx="530">
                  <c:v>45408</c:v>
                </c:pt>
                <c:pt idx="531">
                  <c:v>45407</c:v>
                </c:pt>
                <c:pt idx="532">
                  <c:v>45406</c:v>
                </c:pt>
                <c:pt idx="533">
                  <c:v>45405</c:v>
                </c:pt>
                <c:pt idx="534">
                  <c:v>45404</c:v>
                </c:pt>
                <c:pt idx="535">
                  <c:v>45403</c:v>
                </c:pt>
                <c:pt idx="536">
                  <c:v>45402</c:v>
                </c:pt>
                <c:pt idx="537">
                  <c:v>45401</c:v>
                </c:pt>
                <c:pt idx="538">
                  <c:v>45400</c:v>
                </c:pt>
                <c:pt idx="539">
                  <c:v>45399</c:v>
                </c:pt>
                <c:pt idx="540">
                  <c:v>45398</c:v>
                </c:pt>
                <c:pt idx="541">
                  <c:v>45397</c:v>
                </c:pt>
                <c:pt idx="542">
                  <c:v>45396</c:v>
                </c:pt>
                <c:pt idx="543">
                  <c:v>45395</c:v>
                </c:pt>
                <c:pt idx="544">
                  <c:v>45394</c:v>
                </c:pt>
                <c:pt idx="545">
                  <c:v>45393</c:v>
                </c:pt>
                <c:pt idx="546">
                  <c:v>45392</c:v>
                </c:pt>
                <c:pt idx="547">
                  <c:v>45391</c:v>
                </c:pt>
                <c:pt idx="548">
                  <c:v>45390</c:v>
                </c:pt>
                <c:pt idx="549">
                  <c:v>45389</c:v>
                </c:pt>
                <c:pt idx="550">
                  <c:v>45388</c:v>
                </c:pt>
                <c:pt idx="551">
                  <c:v>45387</c:v>
                </c:pt>
                <c:pt idx="552">
                  <c:v>45386</c:v>
                </c:pt>
                <c:pt idx="553">
                  <c:v>45385</c:v>
                </c:pt>
                <c:pt idx="554">
                  <c:v>45384</c:v>
                </c:pt>
                <c:pt idx="555">
                  <c:v>45383</c:v>
                </c:pt>
                <c:pt idx="556">
                  <c:v>45382</c:v>
                </c:pt>
                <c:pt idx="557">
                  <c:v>45381</c:v>
                </c:pt>
                <c:pt idx="558">
                  <c:v>45380</c:v>
                </c:pt>
                <c:pt idx="559">
                  <c:v>45379</c:v>
                </c:pt>
                <c:pt idx="560">
                  <c:v>45378</c:v>
                </c:pt>
                <c:pt idx="561">
                  <c:v>45377</c:v>
                </c:pt>
                <c:pt idx="562">
                  <c:v>45376</c:v>
                </c:pt>
                <c:pt idx="563">
                  <c:v>45375</c:v>
                </c:pt>
                <c:pt idx="564">
                  <c:v>45374</c:v>
                </c:pt>
                <c:pt idx="565">
                  <c:v>45373</c:v>
                </c:pt>
                <c:pt idx="566">
                  <c:v>45372</c:v>
                </c:pt>
                <c:pt idx="567">
                  <c:v>45371</c:v>
                </c:pt>
                <c:pt idx="568">
                  <c:v>45370</c:v>
                </c:pt>
                <c:pt idx="569">
                  <c:v>45369</c:v>
                </c:pt>
                <c:pt idx="570">
                  <c:v>45368</c:v>
                </c:pt>
                <c:pt idx="571">
                  <c:v>45367</c:v>
                </c:pt>
                <c:pt idx="572">
                  <c:v>45366</c:v>
                </c:pt>
                <c:pt idx="573">
                  <c:v>45365</c:v>
                </c:pt>
                <c:pt idx="574">
                  <c:v>45364</c:v>
                </c:pt>
                <c:pt idx="575">
                  <c:v>45363</c:v>
                </c:pt>
                <c:pt idx="576">
                  <c:v>45362</c:v>
                </c:pt>
                <c:pt idx="577">
                  <c:v>45361</c:v>
                </c:pt>
                <c:pt idx="578">
                  <c:v>45360</c:v>
                </c:pt>
                <c:pt idx="579">
                  <c:v>45359</c:v>
                </c:pt>
                <c:pt idx="580">
                  <c:v>45358</c:v>
                </c:pt>
                <c:pt idx="581">
                  <c:v>45357</c:v>
                </c:pt>
                <c:pt idx="582">
                  <c:v>45356</c:v>
                </c:pt>
                <c:pt idx="583">
                  <c:v>45355</c:v>
                </c:pt>
                <c:pt idx="584">
                  <c:v>45354</c:v>
                </c:pt>
                <c:pt idx="585">
                  <c:v>45353</c:v>
                </c:pt>
                <c:pt idx="586">
                  <c:v>45352</c:v>
                </c:pt>
                <c:pt idx="587">
                  <c:v>45351</c:v>
                </c:pt>
                <c:pt idx="588">
                  <c:v>45350</c:v>
                </c:pt>
                <c:pt idx="589">
                  <c:v>45349</c:v>
                </c:pt>
                <c:pt idx="590">
                  <c:v>45348</c:v>
                </c:pt>
                <c:pt idx="591">
                  <c:v>45347</c:v>
                </c:pt>
                <c:pt idx="592">
                  <c:v>45346</c:v>
                </c:pt>
                <c:pt idx="593">
                  <c:v>45345</c:v>
                </c:pt>
                <c:pt idx="594">
                  <c:v>45344</c:v>
                </c:pt>
                <c:pt idx="595">
                  <c:v>45343</c:v>
                </c:pt>
                <c:pt idx="596">
                  <c:v>45342</c:v>
                </c:pt>
                <c:pt idx="597">
                  <c:v>45341</c:v>
                </c:pt>
                <c:pt idx="598">
                  <c:v>45340</c:v>
                </c:pt>
                <c:pt idx="599">
                  <c:v>45339</c:v>
                </c:pt>
                <c:pt idx="600">
                  <c:v>45338</c:v>
                </c:pt>
                <c:pt idx="601">
                  <c:v>45337</c:v>
                </c:pt>
                <c:pt idx="602">
                  <c:v>45336</c:v>
                </c:pt>
                <c:pt idx="603">
                  <c:v>45335</c:v>
                </c:pt>
                <c:pt idx="604">
                  <c:v>45334</c:v>
                </c:pt>
                <c:pt idx="605">
                  <c:v>45333</c:v>
                </c:pt>
                <c:pt idx="606">
                  <c:v>45332</c:v>
                </c:pt>
                <c:pt idx="607">
                  <c:v>45331</c:v>
                </c:pt>
                <c:pt idx="608">
                  <c:v>45330</c:v>
                </c:pt>
                <c:pt idx="609">
                  <c:v>45329</c:v>
                </c:pt>
                <c:pt idx="610">
                  <c:v>45328</c:v>
                </c:pt>
                <c:pt idx="611">
                  <c:v>45327</c:v>
                </c:pt>
                <c:pt idx="612">
                  <c:v>45326</c:v>
                </c:pt>
                <c:pt idx="613">
                  <c:v>45325</c:v>
                </c:pt>
                <c:pt idx="614">
                  <c:v>45324</c:v>
                </c:pt>
                <c:pt idx="615">
                  <c:v>45323</c:v>
                </c:pt>
                <c:pt idx="616">
                  <c:v>45322</c:v>
                </c:pt>
                <c:pt idx="617">
                  <c:v>45321</c:v>
                </c:pt>
                <c:pt idx="618">
                  <c:v>45320</c:v>
                </c:pt>
                <c:pt idx="619">
                  <c:v>45319</c:v>
                </c:pt>
                <c:pt idx="620">
                  <c:v>45318</c:v>
                </c:pt>
                <c:pt idx="621">
                  <c:v>45317</c:v>
                </c:pt>
                <c:pt idx="622">
                  <c:v>45316</c:v>
                </c:pt>
                <c:pt idx="623">
                  <c:v>45315</c:v>
                </c:pt>
                <c:pt idx="624">
                  <c:v>45314</c:v>
                </c:pt>
                <c:pt idx="625">
                  <c:v>45313</c:v>
                </c:pt>
                <c:pt idx="626">
                  <c:v>45312</c:v>
                </c:pt>
                <c:pt idx="627">
                  <c:v>45311</c:v>
                </c:pt>
                <c:pt idx="628">
                  <c:v>45310</c:v>
                </c:pt>
                <c:pt idx="629">
                  <c:v>45309</c:v>
                </c:pt>
                <c:pt idx="630">
                  <c:v>45308</c:v>
                </c:pt>
                <c:pt idx="631">
                  <c:v>45307</c:v>
                </c:pt>
                <c:pt idx="632">
                  <c:v>45306</c:v>
                </c:pt>
                <c:pt idx="633">
                  <c:v>45305</c:v>
                </c:pt>
                <c:pt idx="634">
                  <c:v>45304</c:v>
                </c:pt>
                <c:pt idx="635">
                  <c:v>45303</c:v>
                </c:pt>
                <c:pt idx="636">
                  <c:v>45302</c:v>
                </c:pt>
                <c:pt idx="637">
                  <c:v>45301</c:v>
                </c:pt>
                <c:pt idx="638">
                  <c:v>45300</c:v>
                </c:pt>
                <c:pt idx="639">
                  <c:v>45299</c:v>
                </c:pt>
                <c:pt idx="640">
                  <c:v>45298</c:v>
                </c:pt>
                <c:pt idx="641">
                  <c:v>45297</c:v>
                </c:pt>
                <c:pt idx="642">
                  <c:v>45296</c:v>
                </c:pt>
                <c:pt idx="643">
                  <c:v>45295</c:v>
                </c:pt>
                <c:pt idx="644">
                  <c:v>45294</c:v>
                </c:pt>
                <c:pt idx="645">
                  <c:v>45293</c:v>
                </c:pt>
                <c:pt idx="646">
                  <c:v>45292</c:v>
                </c:pt>
                <c:pt idx="647">
                  <c:v>45291</c:v>
                </c:pt>
                <c:pt idx="648">
                  <c:v>45290</c:v>
                </c:pt>
                <c:pt idx="649">
                  <c:v>45289</c:v>
                </c:pt>
                <c:pt idx="650">
                  <c:v>45288</c:v>
                </c:pt>
                <c:pt idx="651">
                  <c:v>45287</c:v>
                </c:pt>
                <c:pt idx="652">
                  <c:v>45286</c:v>
                </c:pt>
                <c:pt idx="653">
                  <c:v>45285</c:v>
                </c:pt>
                <c:pt idx="654">
                  <c:v>45284</c:v>
                </c:pt>
                <c:pt idx="655">
                  <c:v>45283</c:v>
                </c:pt>
                <c:pt idx="656">
                  <c:v>45282</c:v>
                </c:pt>
                <c:pt idx="657">
                  <c:v>45281</c:v>
                </c:pt>
                <c:pt idx="658">
                  <c:v>45280</c:v>
                </c:pt>
                <c:pt idx="659">
                  <c:v>45279</c:v>
                </c:pt>
                <c:pt idx="660">
                  <c:v>45278</c:v>
                </c:pt>
                <c:pt idx="661">
                  <c:v>45277</c:v>
                </c:pt>
                <c:pt idx="662">
                  <c:v>45276</c:v>
                </c:pt>
                <c:pt idx="663">
                  <c:v>45275</c:v>
                </c:pt>
                <c:pt idx="664">
                  <c:v>45274</c:v>
                </c:pt>
                <c:pt idx="665">
                  <c:v>45273</c:v>
                </c:pt>
                <c:pt idx="666">
                  <c:v>45272</c:v>
                </c:pt>
                <c:pt idx="667">
                  <c:v>45271</c:v>
                </c:pt>
                <c:pt idx="668">
                  <c:v>45270</c:v>
                </c:pt>
                <c:pt idx="669">
                  <c:v>45269</c:v>
                </c:pt>
                <c:pt idx="670">
                  <c:v>45268</c:v>
                </c:pt>
                <c:pt idx="671">
                  <c:v>45267</c:v>
                </c:pt>
                <c:pt idx="672">
                  <c:v>45266</c:v>
                </c:pt>
                <c:pt idx="673">
                  <c:v>45265</c:v>
                </c:pt>
                <c:pt idx="674">
                  <c:v>45264</c:v>
                </c:pt>
                <c:pt idx="675">
                  <c:v>45263</c:v>
                </c:pt>
                <c:pt idx="676">
                  <c:v>45262</c:v>
                </c:pt>
                <c:pt idx="677">
                  <c:v>45261</c:v>
                </c:pt>
                <c:pt idx="678">
                  <c:v>45260</c:v>
                </c:pt>
                <c:pt idx="679">
                  <c:v>45259</c:v>
                </c:pt>
                <c:pt idx="680">
                  <c:v>45258</c:v>
                </c:pt>
                <c:pt idx="681">
                  <c:v>45257</c:v>
                </c:pt>
                <c:pt idx="682">
                  <c:v>45256</c:v>
                </c:pt>
                <c:pt idx="683">
                  <c:v>45255</c:v>
                </c:pt>
                <c:pt idx="684">
                  <c:v>45254</c:v>
                </c:pt>
                <c:pt idx="685">
                  <c:v>45253</c:v>
                </c:pt>
                <c:pt idx="686">
                  <c:v>45252</c:v>
                </c:pt>
                <c:pt idx="687">
                  <c:v>45251</c:v>
                </c:pt>
                <c:pt idx="688">
                  <c:v>45250</c:v>
                </c:pt>
                <c:pt idx="689">
                  <c:v>45249</c:v>
                </c:pt>
                <c:pt idx="690">
                  <c:v>45248</c:v>
                </c:pt>
                <c:pt idx="691">
                  <c:v>45247</c:v>
                </c:pt>
                <c:pt idx="692">
                  <c:v>45246</c:v>
                </c:pt>
                <c:pt idx="693">
                  <c:v>45245</c:v>
                </c:pt>
                <c:pt idx="694">
                  <c:v>45244</c:v>
                </c:pt>
                <c:pt idx="695">
                  <c:v>45243</c:v>
                </c:pt>
                <c:pt idx="696">
                  <c:v>45242</c:v>
                </c:pt>
                <c:pt idx="697">
                  <c:v>45241</c:v>
                </c:pt>
                <c:pt idx="698">
                  <c:v>45240</c:v>
                </c:pt>
                <c:pt idx="699">
                  <c:v>45239</c:v>
                </c:pt>
                <c:pt idx="700">
                  <c:v>45238</c:v>
                </c:pt>
                <c:pt idx="701">
                  <c:v>45237</c:v>
                </c:pt>
                <c:pt idx="702">
                  <c:v>45236</c:v>
                </c:pt>
                <c:pt idx="703">
                  <c:v>45235</c:v>
                </c:pt>
                <c:pt idx="704">
                  <c:v>45234</c:v>
                </c:pt>
                <c:pt idx="705">
                  <c:v>45233</c:v>
                </c:pt>
                <c:pt idx="706">
                  <c:v>45232</c:v>
                </c:pt>
                <c:pt idx="707">
                  <c:v>45231</c:v>
                </c:pt>
                <c:pt idx="708">
                  <c:v>45230</c:v>
                </c:pt>
                <c:pt idx="709">
                  <c:v>45229</c:v>
                </c:pt>
                <c:pt idx="710">
                  <c:v>45228</c:v>
                </c:pt>
                <c:pt idx="711">
                  <c:v>45227</c:v>
                </c:pt>
                <c:pt idx="712">
                  <c:v>45226</c:v>
                </c:pt>
                <c:pt idx="713">
                  <c:v>45225</c:v>
                </c:pt>
                <c:pt idx="714">
                  <c:v>45224</c:v>
                </c:pt>
                <c:pt idx="715">
                  <c:v>45223</c:v>
                </c:pt>
                <c:pt idx="716">
                  <c:v>45222</c:v>
                </c:pt>
                <c:pt idx="717">
                  <c:v>45221</c:v>
                </c:pt>
                <c:pt idx="718">
                  <c:v>45220</c:v>
                </c:pt>
                <c:pt idx="719">
                  <c:v>45219</c:v>
                </c:pt>
                <c:pt idx="720">
                  <c:v>45218</c:v>
                </c:pt>
                <c:pt idx="721">
                  <c:v>45217</c:v>
                </c:pt>
                <c:pt idx="722">
                  <c:v>45216</c:v>
                </c:pt>
                <c:pt idx="723">
                  <c:v>45215</c:v>
                </c:pt>
                <c:pt idx="724">
                  <c:v>45214</c:v>
                </c:pt>
                <c:pt idx="725">
                  <c:v>45213</c:v>
                </c:pt>
                <c:pt idx="726">
                  <c:v>45212</c:v>
                </c:pt>
                <c:pt idx="727">
                  <c:v>45211</c:v>
                </c:pt>
                <c:pt idx="728">
                  <c:v>45210</c:v>
                </c:pt>
                <c:pt idx="729">
                  <c:v>45209</c:v>
                </c:pt>
                <c:pt idx="730">
                  <c:v>45208</c:v>
                </c:pt>
                <c:pt idx="731">
                  <c:v>45207</c:v>
                </c:pt>
                <c:pt idx="732">
                  <c:v>45206</c:v>
                </c:pt>
                <c:pt idx="733">
                  <c:v>45205</c:v>
                </c:pt>
                <c:pt idx="734">
                  <c:v>45204</c:v>
                </c:pt>
                <c:pt idx="735">
                  <c:v>45203</c:v>
                </c:pt>
                <c:pt idx="736">
                  <c:v>45202</c:v>
                </c:pt>
                <c:pt idx="737">
                  <c:v>45201</c:v>
                </c:pt>
                <c:pt idx="738">
                  <c:v>45200</c:v>
                </c:pt>
                <c:pt idx="739">
                  <c:v>45199</c:v>
                </c:pt>
                <c:pt idx="740">
                  <c:v>45198</c:v>
                </c:pt>
                <c:pt idx="741">
                  <c:v>45197</c:v>
                </c:pt>
                <c:pt idx="742">
                  <c:v>45196</c:v>
                </c:pt>
                <c:pt idx="743">
                  <c:v>45195</c:v>
                </c:pt>
                <c:pt idx="744">
                  <c:v>45194</c:v>
                </c:pt>
                <c:pt idx="745">
                  <c:v>45193</c:v>
                </c:pt>
                <c:pt idx="746">
                  <c:v>45192</c:v>
                </c:pt>
                <c:pt idx="747">
                  <c:v>45191</c:v>
                </c:pt>
                <c:pt idx="748">
                  <c:v>45190</c:v>
                </c:pt>
                <c:pt idx="749">
                  <c:v>45189</c:v>
                </c:pt>
                <c:pt idx="750">
                  <c:v>45188</c:v>
                </c:pt>
                <c:pt idx="751">
                  <c:v>45187</c:v>
                </c:pt>
                <c:pt idx="752">
                  <c:v>45186</c:v>
                </c:pt>
                <c:pt idx="753">
                  <c:v>45185</c:v>
                </c:pt>
                <c:pt idx="754">
                  <c:v>45184</c:v>
                </c:pt>
                <c:pt idx="755">
                  <c:v>45183</c:v>
                </c:pt>
                <c:pt idx="756">
                  <c:v>45182</c:v>
                </c:pt>
                <c:pt idx="757">
                  <c:v>45181</c:v>
                </c:pt>
                <c:pt idx="758">
                  <c:v>45180</c:v>
                </c:pt>
                <c:pt idx="759">
                  <c:v>45179</c:v>
                </c:pt>
                <c:pt idx="760">
                  <c:v>45178</c:v>
                </c:pt>
                <c:pt idx="761">
                  <c:v>45177</c:v>
                </c:pt>
                <c:pt idx="762">
                  <c:v>45176</c:v>
                </c:pt>
                <c:pt idx="763">
                  <c:v>45175</c:v>
                </c:pt>
                <c:pt idx="764">
                  <c:v>45174</c:v>
                </c:pt>
                <c:pt idx="765">
                  <c:v>45173</c:v>
                </c:pt>
                <c:pt idx="766">
                  <c:v>45172</c:v>
                </c:pt>
                <c:pt idx="767">
                  <c:v>45171</c:v>
                </c:pt>
                <c:pt idx="768">
                  <c:v>45170</c:v>
                </c:pt>
                <c:pt idx="769">
                  <c:v>45169</c:v>
                </c:pt>
                <c:pt idx="770">
                  <c:v>45168</c:v>
                </c:pt>
                <c:pt idx="771">
                  <c:v>45167</c:v>
                </c:pt>
                <c:pt idx="772">
                  <c:v>45166</c:v>
                </c:pt>
                <c:pt idx="773">
                  <c:v>45165</c:v>
                </c:pt>
                <c:pt idx="774">
                  <c:v>45164</c:v>
                </c:pt>
                <c:pt idx="775">
                  <c:v>45163</c:v>
                </c:pt>
                <c:pt idx="776">
                  <c:v>45162</c:v>
                </c:pt>
                <c:pt idx="777">
                  <c:v>45161</c:v>
                </c:pt>
                <c:pt idx="778">
                  <c:v>45160</c:v>
                </c:pt>
                <c:pt idx="779">
                  <c:v>45159</c:v>
                </c:pt>
                <c:pt idx="780">
                  <c:v>45158</c:v>
                </c:pt>
                <c:pt idx="781">
                  <c:v>45157</c:v>
                </c:pt>
                <c:pt idx="782">
                  <c:v>45156</c:v>
                </c:pt>
                <c:pt idx="783">
                  <c:v>45155</c:v>
                </c:pt>
                <c:pt idx="784">
                  <c:v>45154</c:v>
                </c:pt>
                <c:pt idx="785">
                  <c:v>45153</c:v>
                </c:pt>
                <c:pt idx="786">
                  <c:v>45152</c:v>
                </c:pt>
                <c:pt idx="787">
                  <c:v>45151</c:v>
                </c:pt>
                <c:pt idx="788">
                  <c:v>45150</c:v>
                </c:pt>
                <c:pt idx="789">
                  <c:v>45149</c:v>
                </c:pt>
                <c:pt idx="790">
                  <c:v>45148</c:v>
                </c:pt>
                <c:pt idx="791">
                  <c:v>45147</c:v>
                </c:pt>
                <c:pt idx="792">
                  <c:v>45146</c:v>
                </c:pt>
                <c:pt idx="793">
                  <c:v>45145</c:v>
                </c:pt>
                <c:pt idx="794">
                  <c:v>45144</c:v>
                </c:pt>
                <c:pt idx="795">
                  <c:v>45143</c:v>
                </c:pt>
                <c:pt idx="796">
                  <c:v>45142</c:v>
                </c:pt>
                <c:pt idx="797">
                  <c:v>45141</c:v>
                </c:pt>
                <c:pt idx="798">
                  <c:v>45140</c:v>
                </c:pt>
                <c:pt idx="799">
                  <c:v>45139</c:v>
                </c:pt>
                <c:pt idx="800">
                  <c:v>45138</c:v>
                </c:pt>
                <c:pt idx="801">
                  <c:v>45137</c:v>
                </c:pt>
                <c:pt idx="802">
                  <c:v>45136</c:v>
                </c:pt>
                <c:pt idx="803">
                  <c:v>45135</c:v>
                </c:pt>
                <c:pt idx="804">
                  <c:v>45134</c:v>
                </c:pt>
                <c:pt idx="805">
                  <c:v>45133</c:v>
                </c:pt>
                <c:pt idx="806">
                  <c:v>45132</c:v>
                </c:pt>
                <c:pt idx="807">
                  <c:v>45131</c:v>
                </c:pt>
                <c:pt idx="808">
                  <c:v>45130</c:v>
                </c:pt>
                <c:pt idx="809">
                  <c:v>45129</c:v>
                </c:pt>
                <c:pt idx="810">
                  <c:v>45128</c:v>
                </c:pt>
                <c:pt idx="811">
                  <c:v>45127</c:v>
                </c:pt>
                <c:pt idx="812">
                  <c:v>45126</c:v>
                </c:pt>
                <c:pt idx="813">
                  <c:v>45125</c:v>
                </c:pt>
                <c:pt idx="814">
                  <c:v>45124</c:v>
                </c:pt>
                <c:pt idx="815">
                  <c:v>45123</c:v>
                </c:pt>
                <c:pt idx="816">
                  <c:v>45122</c:v>
                </c:pt>
                <c:pt idx="817">
                  <c:v>45121</c:v>
                </c:pt>
                <c:pt idx="818">
                  <c:v>45120</c:v>
                </c:pt>
                <c:pt idx="819">
                  <c:v>45119</c:v>
                </c:pt>
                <c:pt idx="820">
                  <c:v>45118</c:v>
                </c:pt>
                <c:pt idx="821">
                  <c:v>45117</c:v>
                </c:pt>
                <c:pt idx="822">
                  <c:v>45116</c:v>
                </c:pt>
                <c:pt idx="823">
                  <c:v>45115</c:v>
                </c:pt>
                <c:pt idx="824">
                  <c:v>45114</c:v>
                </c:pt>
                <c:pt idx="825">
                  <c:v>45113</c:v>
                </c:pt>
                <c:pt idx="826">
                  <c:v>45112</c:v>
                </c:pt>
                <c:pt idx="827">
                  <c:v>45111</c:v>
                </c:pt>
                <c:pt idx="828">
                  <c:v>45110</c:v>
                </c:pt>
                <c:pt idx="829">
                  <c:v>45109</c:v>
                </c:pt>
                <c:pt idx="830">
                  <c:v>45108</c:v>
                </c:pt>
                <c:pt idx="831">
                  <c:v>45107</c:v>
                </c:pt>
                <c:pt idx="832">
                  <c:v>45106</c:v>
                </c:pt>
                <c:pt idx="833">
                  <c:v>45105</c:v>
                </c:pt>
                <c:pt idx="834">
                  <c:v>45104</c:v>
                </c:pt>
                <c:pt idx="835">
                  <c:v>45103</c:v>
                </c:pt>
                <c:pt idx="836">
                  <c:v>45102</c:v>
                </c:pt>
                <c:pt idx="837">
                  <c:v>45101</c:v>
                </c:pt>
                <c:pt idx="838">
                  <c:v>45100</c:v>
                </c:pt>
                <c:pt idx="839">
                  <c:v>45099</c:v>
                </c:pt>
                <c:pt idx="840">
                  <c:v>45098</c:v>
                </c:pt>
                <c:pt idx="841">
                  <c:v>45097</c:v>
                </c:pt>
                <c:pt idx="842">
                  <c:v>45096</c:v>
                </c:pt>
                <c:pt idx="843">
                  <c:v>45095</c:v>
                </c:pt>
                <c:pt idx="844">
                  <c:v>45094</c:v>
                </c:pt>
                <c:pt idx="845">
                  <c:v>45093</c:v>
                </c:pt>
                <c:pt idx="846">
                  <c:v>45092</c:v>
                </c:pt>
                <c:pt idx="847">
                  <c:v>45091</c:v>
                </c:pt>
                <c:pt idx="848">
                  <c:v>45090</c:v>
                </c:pt>
                <c:pt idx="849">
                  <c:v>45089</c:v>
                </c:pt>
                <c:pt idx="850">
                  <c:v>45088</c:v>
                </c:pt>
                <c:pt idx="851">
                  <c:v>45087</c:v>
                </c:pt>
                <c:pt idx="852">
                  <c:v>45086</c:v>
                </c:pt>
                <c:pt idx="853">
                  <c:v>45085</c:v>
                </c:pt>
                <c:pt idx="854">
                  <c:v>45084</c:v>
                </c:pt>
                <c:pt idx="855">
                  <c:v>45083</c:v>
                </c:pt>
                <c:pt idx="856">
                  <c:v>45082</c:v>
                </c:pt>
                <c:pt idx="857">
                  <c:v>45081</c:v>
                </c:pt>
                <c:pt idx="858">
                  <c:v>45080</c:v>
                </c:pt>
                <c:pt idx="859">
                  <c:v>45079</c:v>
                </c:pt>
                <c:pt idx="860">
                  <c:v>45078</c:v>
                </c:pt>
                <c:pt idx="861">
                  <c:v>45077</c:v>
                </c:pt>
                <c:pt idx="862">
                  <c:v>45076</c:v>
                </c:pt>
                <c:pt idx="863">
                  <c:v>45075</c:v>
                </c:pt>
                <c:pt idx="864">
                  <c:v>45074</c:v>
                </c:pt>
                <c:pt idx="865">
                  <c:v>45073</c:v>
                </c:pt>
                <c:pt idx="866">
                  <c:v>45072</c:v>
                </c:pt>
                <c:pt idx="867">
                  <c:v>45071</c:v>
                </c:pt>
                <c:pt idx="868">
                  <c:v>45070</c:v>
                </c:pt>
                <c:pt idx="869">
                  <c:v>45069</c:v>
                </c:pt>
                <c:pt idx="870">
                  <c:v>45068</c:v>
                </c:pt>
                <c:pt idx="871">
                  <c:v>45067</c:v>
                </c:pt>
                <c:pt idx="872">
                  <c:v>45066</c:v>
                </c:pt>
                <c:pt idx="873">
                  <c:v>45065</c:v>
                </c:pt>
                <c:pt idx="874">
                  <c:v>45064</c:v>
                </c:pt>
                <c:pt idx="875">
                  <c:v>45063</c:v>
                </c:pt>
                <c:pt idx="876">
                  <c:v>45062</c:v>
                </c:pt>
                <c:pt idx="877">
                  <c:v>45061</c:v>
                </c:pt>
                <c:pt idx="878">
                  <c:v>45060</c:v>
                </c:pt>
                <c:pt idx="879">
                  <c:v>45059</c:v>
                </c:pt>
                <c:pt idx="880">
                  <c:v>45058</c:v>
                </c:pt>
                <c:pt idx="881">
                  <c:v>45057</c:v>
                </c:pt>
                <c:pt idx="882">
                  <c:v>45056</c:v>
                </c:pt>
                <c:pt idx="883">
                  <c:v>45055</c:v>
                </c:pt>
                <c:pt idx="884">
                  <c:v>45054</c:v>
                </c:pt>
                <c:pt idx="885">
                  <c:v>45053</c:v>
                </c:pt>
                <c:pt idx="886">
                  <c:v>45052</c:v>
                </c:pt>
                <c:pt idx="887">
                  <c:v>45051</c:v>
                </c:pt>
                <c:pt idx="888">
                  <c:v>45050</c:v>
                </c:pt>
                <c:pt idx="889">
                  <c:v>45049</c:v>
                </c:pt>
                <c:pt idx="890">
                  <c:v>45048</c:v>
                </c:pt>
                <c:pt idx="891">
                  <c:v>45047</c:v>
                </c:pt>
                <c:pt idx="892">
                  <c:v>45046</c:v>
                </c:pt>
                <c:pt idx="893">
                  <c:v>45045</c:v>
                </c:pt>
                <c:pt idx="894">
                  <c:v>45044</c:v>
                </c:pt>
                <c:pt idx="895">
                  <c:v>45043</c:v>
                </c:pt>
                <c:pt idx="896">
                  <c:v>45042</c:v>
                </c:pt>
                <c:pt idx="897">
                  <c:v>45041</c:v>
                </c:pt>
                <c:pt idx="898">
                  <c:v>45040</c:v>
                </c:pt>
                <c:pt idx="899">
                  <c:v>45039</c:v>
                </c:pt>
                <c:pt idx="900">
                  <c:v>45038</c:v>
                </c:pt>
                <c:pt idx="901">
                  <c:v>45037</c:v>
                </c:pt>
                <c:pt idx="902">
                  <c:v>45036</c:v>
                </c:pt>
                <c:pt idx="903">
                  <c:v>45035</c:v>
                </c:pt>
                <c:pt idx="904">
                  <c:v>45034</c:v>
                </c:pt>
                <c:pt idx="905">
                  <c:v>45033</c:v>
                </c:pt>
                <c:pt idx="906">
                  <c:v>45032</c:v>
                </c:pt>
                <c:pt idx="907">
                  <c:v>45031</c:v>
                </c:pt>
                <c:pt idx="908">
                  <c:v>45030</c:v>
                </c:pt>
                <c:pt idx="909">
                  <c:v>45029</c:v>
                </c:pt>
                <c:pt idx="910">
                  <c:v>45028</c:v>
                </c:pt>
                <c:pt idx="911">
                  <c:v>45027</c:v>
                </c:pt>
                <c:pt idx="912">
                  <c:v>45026</c:v>
                </c:pt>
                <c:pt idx="913">
                  <c:v>45025</c:v>
                </c:pt>
                <c:pt idx="914">
                  <c:v>45024</c:v>
                </c:pt>
                <c:pt idx="915">
                  <c:v>45023</c:v>
                </c:pt>
                <c:pt idx="916">
                  <c:v>45022</c:v>
                </c:pt>
                <c:pt idx="917">
                  <c:v>45021</c:v>
                </c:pt>
                <c:pt idx="918">
                  <c:v>45020</c:v>
                </c:pt>
                <c:pt idx="919">
                  <c:v>45019</c:v>
                </c:pt>
                <c:pt idx="920">
                  <c:v>45018</c:v>
                </c:pt>
                <c:pt idx="921">
                  <c:v>45017</c:v>
                </c:pt>
                <c:pt idx="922">
                  <c:v>45016</c:v>
                </c:pt>
                <c:pt idx="923">
                  <c:v>45015</c:v>
                </c:pt>
                <c:pt idx="924">
                  <c:v>45014</c:v>
                </c:pt>
                <c:pt idx="925">
                  <c:v>45013</c:v>
                </c:pt>
                <c:pt idx="926">
                  <c:v>45012</c:v>
                </c:pt>
                <c:pt idx="927">
                  <c:v>45011</c:v>
                </c:pt>
                <c:pt idx="928">
                  <c:v>45010</c:v>
                </c:pt>
                <c:pt idx="929">
                  <c:v>45009</c:v>
                </c:pt>
                <c:pt idx="930">
                  <c:v>45008</c:v>
                </c:pt>
                <c:pt idx="931">
                  <c:v>45007</c:v>
                </c:pt>
                <c:pt idx="932">
                  <c:v>45006</c:v>
                </c:pt>
                <c:pt idx="933">
                  <c:v>45005</c:v>
                </c:pt>
                <c:pt idx="934">
                  <c:v>45004</c:v>
                </c:pt>
                <c:pt idx="935">
                  <c:v>45003</c:v>
                </c:pt>
                <c:pt idx="936">
                  <c:v>45002</c:v>
                </c:pt>
                <c:pt idx="937">
                  <c:v>45001</c:v>
                </c:pt>
                <c:pt idx="938">
                  <c:v>45000</c:v>
                </c:pt>
                <c:pt idx="939">
                  <c:v>44999</c:v>
                </c:pt>
                <c:pt idx="940">
                  <c:v>44998</c:v>
                </c:pt>
                <c:pt idx="941">
                  <c:v>44997</c:v>
                </c:pt>
                <c:pt idx="942">
                  <c:v>44996</c:v>
                </c:pt>
                <c:pt idx="943">
                  <c:v>44995</c:v>
                </c:pt>
                <c:pt idx="944">
                  <c:v>44994</c:v>
                </c:pt>
                <c:pt idx="945">
                  <c:v>44993</c:v>
                </c:pt>
                <c:pt idx="946">
                  <c:v>44992</c:v>
                </c:pt>
                <c:pt idx="947">
                  <c:v>44991</c:v>
                </c:pt>
                <c:pt idx="948">
                  <c:v>44990</c:v>
                </c:pt>
                <c:pt idx="949">
                  <c:v>44989</c:v>
                </c:pt>
                <c:pt idx="950">
                  <c:v>44988</c:v>
                </c:pt>
                <c:pt idx="951">
                  <c:v>44987</c:v>
                </c:pt>
                <c:pt idx="952">
                  <c:v>44986</c:v>
                </c:pt>
                <c:pt idx="953">
                  <c:v>44985</c:v>
                </c:pt>
                <c:pt idx="954">
                  <c:v>44984</c:v>
                </c:pt>
                <c:pt idx="955">
                  <c:v>44983</c:v>
                </c:pt>
                <c:pt idx="956">
                  <c:v>44982</c:v>
                </c:pt>
                <c:pt idx="957">
                  <c:v>44981</c:v>
                </c:pt>
                <c:pt idx="958">
                  <c:v>44980</c:v>
                </c:pt>
                <c:pt idx="959">
                  <c:v>44979</c:v>
                </c:pt>
                <c:pt idx="960">
                  <c:v>44978</c:v>
                </c:pt>
                <c:pt idx="961">
                  <c:v>44977</c:v>
                </c:pt>
                <c:pt idx="962">
                  <c:v>44976</c:v>
                </c:pt>
                <c:pt idx="963">
                  <c:v>44975</c:v>
                </c:pt>
                <c:pt idx="964">
                  <c:v>44974</c:v>
                </c:pt>
                <c:pt idx="965">
                  <c:v>44973</c:v>
                </c:pt>
                <c:pt idx="966">
                  <c:v>44972</c:v>
                </c:pt>
                <c:pt idx="967">
                  <c:v>44971</c:v>
                </c:pt>
                <c:pt idx="968">
                  <c:v>44970</c:v>
                </c:pt>
                <c:pt idx="969">
                  <c:v>44969</c:v>
                </c:pt>
                <c:pt idx="970">
                  <c:v>44968</c:v>
                </c:pt>
                <c:pt idx="971">
                  <c:v>44967</c:v>
                </c:pt>
                <c:pt idx="972">
                  <c:v>44966</c:v>
                </c:pt>
                <c:pt idx="973">
                  <c:v>44965</c:v>
                </c:pt>
                <c:pt idx="974">
                  <c:v>44964</c:v>
                </c:pt>
                <c:pt idx="975">
                  <c:v>44963</c:v>
                </c:pt>
                <c:pt idx="976">
                  <c:v>44962</c:v>
                </c:pt>
                <c:pt idx="977">
                  <c:v>44961</c:v>
                </c:pt>
                <c:pt idx="978">
                  <c:v>44960</c:v>
                </c:pt>
                <c:pt idx="979">
                  <c:v>44959</c:v>
                </c:pt>
                <c:pt idx="980">
                  <c:v>44958</c:v>
                </c:pt>
                <c:pt idx="981">
                  <c:v>44957</c:v>
                </c:pt>
                <c:pt idx="982">
                  <c:v>44956</c:v>
                </c:pt>
                <c:pt idx="983">
                  <c:v>44955</c:v>
                </c:pt>
                <c:pt idx="984">
                  <c:v>44954</c:v>
                </c:pt>
                <c:pt idx="985">
                  <c:v>44953</c:v>
                </c:pt>
                <c:pt idx="986">
                  <c:v>44952</c:v>
                </c:pt>
                <c:pt idx="987">
                  <c:v>44951</c:v>
                </c:pt>
                <c:pt idx="988">
                  <c:v>44950</c:v>
                </c:pt>
                <c:pt idx="989">
                  <c:v>44949</c:v>
                </c:pt>
                <c:pt idx="990">
                  <c:v>44948</c:v>
                </c:pt>
                <c:pt idx="991">
                  <c:v>44947</c:v>
                </c:pt>
                <c:pt idx="992">
                  <c:v>44946</c:v>
                </c:pt>
                <c:pt idx="993">
                  <c:v>44945</c:v>
                </c:pt>
                <c:pt idx="994">
                  <c:v>44944</c:v>
                </c:pt>
                <c:pt idx="995">
                  <c:v>44943</c:v>
                </c:pt>
                <c:pt idx="996">
                  <c:v>44942</c:v>
                </c:pt>
                <c:pt idx="997">
                  <c:v>44941</c:v>
                </c:pt>
                <c:pt idx="998">
                  <c:v>44940</c:v>
                </c:pt>
                <c:pt idx="999">
                  <c:v>44939</c:v>
                </c:pt>
                <c:pt idx="1000">
                  <c:v>44938</c:v>
                </c:pt>
                <c:pt idx="1001">
                  <c:v>44937</c:v>
                </c:pt>
                <c:pt idx="1002">
                  <c:v>44936</c:v>
                </c:pt>
                <c:pt idx="1003">
                  <c:v>44935</c:v>
                </c:pt>
                <c:pt idx="1004">
                  <c:v>44934</c:v>
                </c:pt>
                <c:pt idx="1005">
                  <c:v>44933</c:v>
                </c:pt>
                <c:pt idx="1006">
                  <c:v>44932</c:v>
                </c:pt>
                <c:pt idx="1007">
                  <c:v>44931</c:v>
                </c:pt>
                <c:pt idx="1008">
                  <c:v>44930</c:v>
                </c:pt>
                <c:pt idx="1009">
                  <c:v>44929</c:v>
                </c:pt>
                <c:pt idx="1010">
                  <c:v>44928</c:v>
                </c:pt>
                <c:pt idx="1011">
                  <c:v>44927</c:v>
                </c:pt>
                <c:pt idx="1012">
                  <c:v>44926</c:v>
                </c:pt>
                <c:pt idx="1013">
                  <c:v>44925</c:v>
                </c:pt>
                <c:pt idx="1014">
                  <c:v>44924</c:v>
                </c:pt>
                <c:pt idx="1015">
                  <c:v>44923</c:v>
                </c:pt>
                <c:pt idx="1016">
                  <c:v>44922</c:v>
                </c:pt>
                <c:pt idx="1017">
                  <c:v>44921</c:v>
                </c:pt>
                <c:pt idx="1018">
                  <c:v>44920</c:v>
                </c:pt>
                <c:pt idx="1019">
                  <c:v>44919</c:v>
                </c:pt>
                <c:pt idx="1020">
                  <c:v>44918</c:v>
                </c:pt>
                <c:pt idx="1021">
                  <c:v>44917</c:v>
                </c:pt>
                <c:pt idx="1022">
                  <c:v>44916</c:v>
                </c:pt>
                <c:pt idx="1023">
                  <c:v>44915</c:v>
                </c:pt>
                <c:pt idx="1024">
                  <c:v>44914</c:v>
                </c:pt>
                <c:pt idx="1025">
                  <c:v>44913</c:v>
                </c:pt>
                <c:pt idx="1026">
                  <c:v>44912</c:v>
                </c:pt>
                <c:pt idx="1027">
                  <c:v>44911</c:v>
                </c:pt>
                <c:pt idx="1028">
                  <c:v>44910</c:v>
                </c:pt>
                <c:pt idx="1029">
                  <c:v>44909</c:v>
                </c:pt>
                <c:pt idx="1030">
                  <c:v>44908</c:v>
                </c:pt>
                <c:pt idx="1031">
                  <c:v>44907</c:v>
                </c:pt>
                <c:pt idx="1032">
                  <c:v>44906</c:v>
                </c:pt>
                <c:pt idx="1033">
                  <c:v>44905</c:v>
                </c:pt>
                <c:pt idx="1034">
                  <c:v>44904</c:v>
                </c:pt>
                <c:pt idx="1035">
                  <c:v>44903</c:v>
                </c:pt>
                <c:pt idx="1036">
                  <c:v>44902</c:v>
                </c:pt>
                <c:pt idx="1037">
                  <c:v>44901</c:v>
                </c:pt>
                <c:pt idx="1038">
                  <c:v>44900</c:v>
                </c:pt>
                <c:pt idx="1039">
                  <c:v>44899</c:v>
                </c:pt>
                <c:pt idx="1040">
                  <c:v>44898</c:v>
                </c:pt>
                <c:pt idx="1041">
                  <c:v>44897</c:v>
                </c:pt>
                <c:pt idx="1042">
                  <c:v>44896</c:v>
                </c:pt>
                <c:pt idx="1043">
                  <c:v>44895</c:v>
                </c:pt>
                <c:pt idx="1044">
                  <c:v>44894</c:v>
                </c:pt>
              </c:numCache>
            </c:numRef>
          </c:cat>
          <c:val>
            <c:numRef>
              <c:f>'Stock Data'!$AO$4:$AO$1048</c:f>
              <c:numCache>
                <c:formatCode>#,##0.00_);\(#,##0.00\)</c:formatCode>
                <c:ptCount val="1045"/>
                <c:pt idx="0">
                  <c:v>130</c:v>
                </c:pt>
                <c:pt idx="1">
                  <c:v>2092717</c:v>
                </c:pt>
                <c:pt idx="2">
                  <c:v>1665542</c:v>
                </c:pt>
                <c:pt idx="3">
                  <c:v>1665542</c:v>
                </c:pt>
                <c:pt idx="4">
                  <c:v>1665542</c:v>
                </c:pt>
                <c:pt idx="5">
                  <c:v>1773926</c:v>
                </c:pt>
                <c:pt idx="6">
                  <c:v>1723945</c:v>
                </c:pt>
                <c:pt idx="7">
                  <c:v>2077323</c:v>
                </c:pt>
                <c:pt idx="8">
                  <c:v>1485522</c:v>
                </c:pt>
                <c:pt idx="9">
                  <c:v>1485522</c:v>
                </c:pt>
                <c:pt idx="10">
                  <c:v>1485522</c:v>
                </c:pt>
                <c:pt idx="11">
                  <c:v>1485522</c:v>
                </c:pt>
                <c:pt idx="12">
                  <c:v>1400480</c:v>
                </c:pt>
                <c:pt idx="13">
                  <c:v>1083953</c:v>
                </c:pt>
                <c:pt idx="14">
                  <c:v>1743812</c:v>
                </c:pt>
                <c:pt idx="15">
                  <c:v>1470405</c:v>
                </c:pt>
                <c:pt idx="16">
                  <c:v>1750364</c:v>
                </c:pt>
                <c:pt idx="17">
                  <c:v>1750364</c:v>
                </c:pt>
                <c:pt idx="18">
                  <c:v>1750364</c:v>
                </c:pt>
                <c:pt idx="19">
                  <c:v>1431846</c:v>
                </c:pt>
                <c:pt idx="20">
                  <c:v>1285083</c:v>
                </c:pt>
                <c:pt idx="21">
                  <c:v>1409797</c:v>
                </c:pt>
                <c:pt idx="22">
                  <c:v>1317998</c:v>
                </c:pt>
                <c:pt idx="23">
                  <c:v>1798722</c:v>
                </c:pt>
                <c:pt idx="24">
                  <c:v>1798722</c:v>
                </c:pt>
                <c:pt idx="25">
                  <c:v>1798722</c:v>
                </c:pt>
                <c:pt idx="26">
                  <c:v>1617204</c:v>
                </c:pt>
                <c:pt idx="27">
                  <c:v>3386999</c:v>
                </c:pt>
                <c:pt idx="28">
                  <c:v>1921125</c:v>
                </c:pt>
                <c:pt idx="29">
                  <c:v>1522397</c:v>
                </c:pt>
                <c:pt idx="30">
                  <c:v>1325116</c:v>
                </c:pt>
                <c:pt idx="31">
                  <c:v>1325116</c:v>
                </c:pt>
                <c:pt idx="32">
                  <c:v>1325116</c:v>
                </c:pt>
                <c:pt idx="33">
                  <c:v>1454640</c:v>
                </c:pt>
                <c:pt idx="34">
                  <c:v>2130714</c:v>
                </c:pt>
                <c:pt idx="35">
                  <c:v>1972867</c:v>
                </c:pt>
                <c:pt idx="36">
                  <c:v>1819851</c:v>
                </c:pt>
                <c:pt idx="37">
                  <c:v>2213877</c:v>
                </c:pt>
                <c:pt idx="38">
                  <c:v>2213877</c:v>
                </c:pt>
                <c:pt idx="39">
                  <c:v>2213877</c:v>
                </c:pt>
                <c:pt idx="40">
                  <c:v>2296579</c:v>
                </c:pt>
                <c:pt idx="41">
                  <c:v>3617327</c:v>
                </c:pt>
                <c:pt idx="42">
                  <c:v>2068886</c:v>
                </c:pt>
                <c:pt idx="43">
                  <c:v>1624527</c:v>
                </c:pt>
                <c:pt idx="44">
                  <c:v>1812785</c:v>
                </c:pt>
                <c:pt idx="45">
                  <c:v>1812785</c:v>
                </c:pt>
                <c:pt idx="46">
                  <c:v>1812785</c:v>
                </c:pt>
                <c:pt idx="47">
                  <c:v>2079819</c:v>
                </c:pt>
                <c:pt idx="48">
                  <c:v>2255100</c:v>
                </c:pt>
                <c:pt idx="49">
                  <c:v>1833600</c:v>
                </c:pt>
                <c:pt idx="50">
                  <c:v>1149808</c:v>
                </c:pt>
                <c:pt idx="51">
                  <c:v>1776872</c:v>
                </c:pt>
                <c:pt idx="52">
                  <c:v>1776872</c:v>
                </c:pt>
                <c:pt idx="53">
                  <c:v>1776872</c:v>
                </c:pt>
                <c:pt idx="54">
                  <c:v>1328928</c:v>
                </c:pt>
                <c:pt idx="55">
                  <c:v>1906491</c:v>
                </c:pt>
                <c:pt idx="56">
                  <c:v>1720309</c:v>
                </c:pt>
                <c:pt idx="57">
                  <c:v>1433186</c:v>
                </c:pt>
                <c:pt idx="58">
                  <c:v>1667418</c:v>
                </c:pt>
                <c:pt idx="59">
                  <c:v>1667418</c:v>
                </c:pt>
                <c:pt idx="60">
                  <c:v>1667418</c:v>
                </c:pt>
                <c:pt idx="61">
                  <c:v>1940500</c:v>
                </c:pt>
                <c:pt idx="62">
                  <c:v>1938385</c:v>
                </c:pt>
                <c:pt idx="63">
                  <c:v>1960342</c:v>
                </c:pt>
                <c:pt idx="64">
                  <c:v>2609727</c:v>
                </c:pt>
                <c:pt idx="65">
                  <c:v>2410389</c:v>
                </c:pt>
                <c:pt idx="66">
                  <c:v>2410389</c:v>
                </c:pt>
                <c:pt idx="67">
                  <c:v>2410389</c:v>
                </c:pt>
                <c:pt idx="68">
                  <c:v>2410389</c:v>
                </c:pt>
                <c:pt idx="69">
                  <c:v>2495809</c:v>
                </c:pt>
                <c:pt idx="70">
                  <c:v>2720962</c:v>
                </c:pt>
                <c:pt idx="71">
                  <c:v>2599821</c:v>
                </c:pt>
                <c:pt idx="72">
                  <c:v>4052904</c:v>
                </c:pt>
                <c:pt idx="73">
                  <c:v>4052904</c:v>
                </c:pt>
                <c:pt idx="74">
                  <c:v>4052904</c:v>
                </c:pt>
                <c:pt idx="75">
                  <c:v>4787145</c:v>
                </c:pt>
                <c:pt idx="76">
                  <c:v>8103708</c:v>
                </c:pt>
                <c:pt idx="77">
                  <c:v>4670573</c:v>
                </c:pt>
                <c:pt idx="78">
                  <c:v>2044954</c:v>
                </c:pt>
                <c:pt idx="79">
                  <c:v>2248442</c:v>
                </c:pt>
                <c:pt idx="80">
                  <c:v>2248442</c:v>
                </c:pt>
                <c:pt idx="81">
                  <c:v>2248442</c:v>
                </c:pt>
                <c:pt idx="82">
                  <c:v>1518172</c:v>
                </c:pt>
                <c:pt idx="83">
                  <c:v>1518172</c:v>
                </c:pt>
                <c:pt idx="84">
                  <c:v>1779237</c:v>
                </c:pt>
                <c:pt idx="85">
                  <c:v>1902606</c:v>
                </c:pt>
                <c:pt idx="86">
                  <c:v>1888412</c:v>
                </c:pt>
                <c:pt idx="87">
                  <c:v>1888412</c:v>
                </c:pt>
                <c:pt idx="88">
                  <c:v>1888412</c:v>
                </c:pt>
                <c:pt idx="89">
                  <c:v>1860749</c:v>
                </c:pt>
                <c:pt idx="90">
                  <c:v>1927149</c:v>
                </c:pt>
                <c:pt idx="91">
                  <c:v>2034255</c:v>
                </c:pt>
                <c:pt idx="92">
                  <c:v>2146383</c:v>
                </c:pt>
                <c:pt idx="93">
                  <c:v>1684260</c:v>
                </c:pt>
                <c:pt idx="94">
                  <c:v>1684260</c:v>
                </c:pt>
                <c:pt idx="95">
                  <c:v>1684260</c:v>
                </c:pt>
                <c:pt idx="96">
                  <c:v>1961375</c:v>
                </c:pt>
                <c:pt idx="97">
                  <c:v>1437109</c:v>
                </c:pt>
                <c:pt idx="98">
                  <c:v>2352291</c:v>
                </c:pt>
                <c:pt idx="99">
                  <c:v>1374354</c:v>
                </c:pt>
                <c:pt idx="100">
                  <c:v>2339144</c:v>
                </c:pt>
                <c:pt idx="101">
                  <c:v>2339144</c:v>
                </c:pt>
                <c:pt idx="102">
                  <c:v>2339144</c:v>
                </c:pt>
                <c:pt idx="103">
                  <c:v>1461856</c:v>
                </c:pt>
                <c:pt idx="104">
                  <c:v>1247351</c:v>
                </c:pt>
                <c:pt idx="105">
                  <c:v>1917196</c:v>
                </c:pt>
                <c:pt idx="106">
                  <c:v>1496306</c:v>
                </c:pt>
                <c:pt idx="107">
                  <c:v>1496306</c:v>
                </c:pt>
                <c:pt idx="108">
                  <c:v>1496306</c:v>
                </c:pt>
                <c:pt idx="109">
                  <c:v>1496306</c:v>
                </c:pt>
                <c:pt idx="110">
                  <c:v>1512854</c:v>
                </c:pt>
                <c:pt idx="111">
                  <c:v>1684407</c:v>
                </c:pt>
                <c:pt idx="112">
                  <c:v>2437826</c:v>
                </c:pt>
                <c:pt idx="113">
                  <c:v>1852487</c:v>
                </c:pt>
                <c:pt idx="114">
                  <c:v>2271986</c:v>
                </c:pt>
                <c:pt idx="115">
                  <c:v>2271986</c:v>
                </c:pt>
                <c:pt idx="116">
                  <c:v>2271986</c:v>
                </c:pt>
                <c:pt idx="117">
                  <c:v>2624906</c:v>
                </c:pt>
                <c:pt idx="118">
                  <c:v>2238959</c:v>
                </c:pt>
                <c:pt idx="119">
                  <c:v>2250837</c:v>
                </c:pt>
                <c:pt idx="120">
                  <c:v>3390920</c:v>
                </c:pt>
                <c:pt idx="121">
                  <c:v>1167908</c:v>
                </c:pt>
                <c:pt idx="122">
                  <c:v>1167908</c:v>
                </c:pt>
                <c:pt idx="123">
                  <c:v>1167908</c:v>
                </c:pt>
                <c:pt idx="124">
                  <c:v>1334400</c:v>
                </c:pt>
                <c:pt idx="125">
                  <c:v>1227876</c:v>
                </c:pt>
                <c:pt idx="126">
                  <c:v>1104146</c:v>
                </c:pt>
                <c:pt idx="127">
                  <c:v>1261715</c:v>
                </c:pt>
                <c:pt idx="128">
                  <c:v>2180680</c:v>
                </c:pt>
                <c:pt idx="129">
                  <c:v>2180680</c:v>
                </c:pt>
                <c:pt idx="130">
                  <c:v>2180680</c:v>
                </c:pt>
                <c:pt idx="131">
                  <c:v>1368533</c:v>
                </c:pt>
                <c:pt idx="132">
                  <c:v>1279254</c:v>
                </c:pt>
                <c:pt idx="133">
                  <c:v>1647311</c:v>
                </c:pt>
                <c:pt idx="134">
                  <c:v>1360836</c:v>
                </c:pt>
                <c:pt idx="135">
                  <c:v>1328911</c:v>
                </c:pt>
                <c:pt idx="136">
                  <c:v>1328911</c:v>
                </c:pt>
                <c:pt idx="137">
                  <c:v>1328911</c:v>
                </c:pt>
                <c:pt idx="138">
                  <c:v>1132874</c:v>
                </c:pt>
                <c:pt idx="139">
                  <c:v>1365766</c:v>
                </c:pt>
                <c:pt idx="140">
                  <c:v>1369519</c:v>
                </c:pt>
                <c:pt idx="141">
                  <c:v>1182198</c:v>
                </c:pt>
                <c:pt idx="142">
                  <c:v>1107414</c:v>
                </c:pt>
                <c:pt idx="143">
                  <c:v>1107414</c:v>
                </c:pt>
                <c:pt idx="144">
                  <c:v>1107414</c:v>
                </c:pt>
                <c:pt idx="145">
                  <c:v>1107414</c:v>
                </c:pt>
                <c:pt idx="146">
                  <c:v>1272832</c:v>
                </c:pt>
                <c:pt idx="147">
                  <c:v>1081262</c:v>
                </c:pt>
                <c:pt idx="148">
                  <c:v>1507307</c:v>
                </c:pt>
                <c:pt idx="149">
                  <c:v>2197960</c:v>
                </c:pt>
                <c:pt idx="150">
                  <c:v>2197960</c:v>
                </c:pt>
                <c:pt idx="151">
                  <c:v>2197960</c:v>
                </c:pt>
                <c:pt idx="152">
                  <c:v>2807496</c:v>
                </c:pt>
                <c:pt idx="153">
                  <c:v>3529111</c:v>
                </c:pt>
                <c:pt idx="154">
                  <c:v>2407582</c:v>
                </c:pt>
                <c:pt idx="155">
                  <c:v>3023810</c:v>
                </c:pt>
                <c:pt idx="156">
                  <c:v>3618718</c:v>
                </c:pt>
                <c:pt idx="157">
                  <c:v>3618718</c:v>
                </c:pt>
                <c:pt idx="158">
                  <c:v>3618718</c:v>
                </c:pt>
                <c:pt idx="159">
                  <c:v>5066456</c:v>
                </c:pt>
                <c:pt idx="160">
                  <c:v>990882</c:v>
                </c:pt>
                <c:pt idx="161">
                  <c:v>1369845</c:v>
                </c:pt>
                <c:pt idx="162">
                  <c:v>2080727</c:v>
                </c:pt>
                <c:pt idx="163">
                  <c:v>1679844</c:v>
                </c:pt>
                <c:pt idx="164">
                  <c:v>1679844</c:v>
                </c:pt>
                <c:pt idx="165">
                  <c:v>1679844</c:v>
                </c:pt>
                <c:pt idx="166">
                  <c:v>1674358</c:v>
                </c:pt>
                <c:pt idx="167">
                  <c:v>2191544</c:v>
                </c:pt>
                <c:pt idx="168">
                  <c:v>2668977</c:v>
                </c:pt>
                <c:pt idx="169">
                  <c:v>3999047</c:v>
                </c:pt>
                <c:pt idx="170">
                  <c:v>9418186</c:v>
                </c:pt>
                <c:pt idx="171">
                  <c:v>9418186</c:v>
                </c:pt>
                <c:pt idx="172">
                  <c:v>9418186</c:v>
                </c:pt>
                <c:pt idx="173">
                  <c:v>3180148</c:v>
                </c:pt>
                <c:pt idx="174">
                  <c:v>1491355</c:v>
                </c:pt>
                <c:pt idx="175">
                  <c:v>1587681</c:v>
                </c:pt>
                <c:pt idx="176">
                  <c:v>1270068</c:v>
                </c:pt>
                <c:pt idx="177">
                  <c:v>1431766</c:v>
                </c:pt>
                <c:pt idx="178">
                  <c:v>1431766</c:v>
                </c:pt>
                <c:pt idx="179">
                  <c:v>1431766</c:v>
                </c:pt>
                <c:pt idx="180">
                  <c:v>1565459</c:v>
                </c:pt>
                <c:pt idx="181">
                  <c:v>1703233</c:v>
                </c:pt>
                <c:pt idx="182">
                  <c:v>1966073</c:v>
                </c:pt>
                <c:pt idx="183">
                  <c:v>1658004</c:v>
                </c:pt>
                <c:pt idx="184">
                  <c:v>1569475</c:v>
                </c:pt>
                <c:pt idx="185">
                  <c:v>1569475</c:v>
                </c:pt>
                <c:pt idx="186">
                  <c:v>1569475</c:v>
                </c:pt>
                <c:pt idx="187">
                  <c:v>1902720</c:v>
                </c:pt>
                <c:pt idx="188">
                  <c:v>1370556</c:v>
                </c:pt>
                <c:pt idx="189">
                  <c:v>2334524</c:v>
                </c:pt>
                <c:pt idx="190">
                  <c:v>1225714</c:v>
                </c:pt>
                <c:pt idx="191">
                  <c:v>1963352</c:v>
                </c:pt>
                <c:pt idx="192">
                  <c:v>1963352</c:v>
                </c:pt>
                <c:pt idx="193">
                  <c:v>1963352</c:v>
                </c:pt>
                <c:pt idx="194">
                  <c:v>1174743</c:v>
                </c:pt>
                <c:pt idx="195">
                  <c:v>1096600</c:v>
                </c:pt>
                <c:pt idx="196">
                  <c:v>1330390</c:v>
                </c:pt>
                <c:pt idx="197">
                  <c:v>1451615</c:v>
                </c:pt>
                <c:pt idx="198">
                  <c:v>4331309</c:v>
                </c:pt>
                <c:pt idx="199">
                  <c:v>4331309</c:v>
                </c:pt>
                <c:pt idx="200">
                  <c:v>4331309</c:v>
                </c:pt>
                <c:pt idx="201">
                  <c:v>707123</c:v>
                </c:pt>
                <c:pt idx="202">
                  <c:v>957199</c:v>
                </c:pt>
                <c:pt idx="203">
                  <c:v>927785</c:v>
                </c:pt>
                <c:pt idx="204">
                  <c:v>1265262</c:v>
                </c:pt>
                <c:pt idx="205">
                  <c:v>1265262</c:v>
                </c:pt>
                <c:pt idx="206">
                  <c:v>1265262</c:v>
                </c:pt>
                <c:pt idx="207">
                  <c:v>1265262</c:v>
                </c:pt>
                <c:pt idx="208">
                  <c:v>1303508</c:v>
                </c:pt>
                <c:pt idx="209">
                  <c:v>1952800</c:v>
                </c:pt>
                <c:pt idx="210">
                  <c:v>1415065</c:v>
                </c:pt>
                <c:pt idx="211">
                  <c:v>1216439</c:v>
                </c:pt>
                <c:pt idx="212">
                  <c:v>1392936</c:v>
                </c:pt>
                <c:pt idx="213">
                  <c:v>1392936</c:v>
                </c:pt>
                <c:pt idx="214">
                  <c:v>1392936</c:v>
                </c:pt>
                <c:pt idx="215">
                  <c:v>2539796</c:v>
                </c:pt>
                <c:pt idx="216">
                  <c:v>1535366</c:v>
                </c:pt>
                <c:pt idx="217">
                  <c:v>2185720</c:v>
                </c:pt>
                <c:pt idx="218">
                  <c:v>3774703</c:v>
                </c:pt>
                <c:pt idx="219">
                  <c:v>2341601</c:v>
                </c:pt>
                <c:pt idx="220">
                  <c:v>2341601</c:v>
                </c:pt>
                <c:pt idx="221">
                  <c:v>2341601</c:v>
                </c:pt>
                <c:pt idx="222">
                  <c:v>2827618</c:v>
                </c:pt>
                <c:pt idx="223">
                  <c:v>1078367</c:v>
                </c:pt>
                <c:pt idx="224">
                  <c:v>1043326</c:v>
                </c:pt>
                <c:pt idx="225">
                  <c:v>1553087</c:v>
                </c:pt>
                <c:pt idx="226">
                  <c:v>1544752</c:v>
                </c:pt>
                <c:pt idx="227">
                  <c:v>1544752</c:v>
                </c:pt>
                <c:pt idx="228">
                  <c:v>1544752</c:v>
                </c:pt>
                <c:pt idx="229">
                  <c:v>1758793</c:v>
                </c:pt>
                <c:pt idx="230">
                  <c:v>1958616</c:v>
                </c:pt>
                <c:pt idx="231">
                  <c:v>1465556</c:v>
                </c:pt>
                <c:pt idx="232">
                  <c:v>1581845</c:v>
                </c:pt>
                <c:pt idx="233">
                  <c:v>1581845</c:v>
                </c:pt>
                <c:pt idx="234">
                  <c:v>1581845</c:v>
                </c:pt>
                <c:pt idx="235">
                  <c:v>1581845</c:v>
                </c:pt>
                <c:pt idx="236">
                  <c:v>1417615</c:v>
                </c:pt>
                <c:pt idx="237">
                  <c:v>1848405</c:v>
                </c:pt>
                <c:pt idx="238">
                  <c:v>1360895</c:v>
                </c:pt>
                <c:pt idx="239">
                  <c:v>1367765</c:v>
                </c:pt>
                <c:pt idx="240">
                  <c:v>1475602</c:v>
                </c:pt>
                <c:pt idx="241">
                  <c:v>1475602</c:v>
                </c:pt>
                <c:pt idx="242">
                  <c:v>1475602</c:v>
                </c:pt>
                <c:pt idx="243">
                  <c:v>1965565</c:v>
                </c:pt>
                <c:pt idx="244">
                  <c:v>1965565</c:v>
                </c:pt>
                <c:pt idx="245">
                  <c:v>1518015</c:v>
                </c:pt>
                <c:pt idx="246">
                  <c:v>1651375</c:v>
                </c:pt>
                <c:pt idx="247">
                  <c:v>1181532</c:v>
                </c:pt>
                <c:pt idx="248">
                  <c:v>1181532</c:v>
                </c:pt>
                <c:pt idx="249">
                  <c:v>1181532</c:v>
                </c:pt>
                <c:pt idx="250">
                  <c:v>1279337</c:v>
                </c:pt>
                <c:pt idx="251">
                  <c:v>1296955</c:v>
                </c:pt>
                <c:pt idx="252">
                  <c:v>1296955</c:v>
                </c:pt>
                <c:pt idx="253">
                  <c:v>1587522</c:v>
                </c:pt>
                <c:pt idx="254">
                  <c:v>1553177</c:v>
                </c:pt>
                <c:pt idx="255">
                  <c:v>1553177</c:v>
                </c:pt>
                <c:pt idx="256">
                  <c:v>1553177</c:v>
                </c:pt>
                <c:pt idx="257">
                  <c:v>1777485</c:v>
                </c:pt>
                <c:pt idx="258">
                  <c:v>1013074</c:v>
                </c:pt>
                <c:pt idx="259">
                  <c:v>1013074</c:v>
                </c:pt>
                <c:pt idx="260">
                  <c:v>3500725</c:v>
                </c:pt>
                <c:pt idx="261">
                  <c:v>8126797</c:v>
                </c:pt>
                <c:pt idx="262">
                  <c:v>8126797</c:v>
                </c:pt>
                <c:pt idx="263">
                  <c:v>8126797</c:v>
                </c:pt>
                <c:pt idx="264">
                  <c:v>4203477</c:v>
                </c:pt>
                <c:pt idx="265">
                  <c:v>1907526</c:v>
                </c:pt>
                <c:pt idx="266">
                  <c:v>2426691</c:v>
                </c:pt>
                <c:pt idx="267">
                  <c:v>1587310</c:v>
                </c:pt>
                <c:pt idx="268">
                  <c:v>964658</c:v>
                </c:pt>
                <c:pt idx="269">
                  <c:v>964658</c:v>
                </c:pt>
                <c:pt idx="270">
                  <c:v>964658</c:v>
                </c:pt>
                <c:pt idx="271">
                  <c:v>1084894</c:v>
                </c:pt>
                <c:pt idx="272">
                  <c:v>1207003</c:v>
                </c:pt>
                <c:pt idx="273">
                  <c:v>902869</c:v>
                </c:pt>
                <c:pt idx="274">
                  <c:v>1365829</c:v>
                </c:pt>
                <c:pt idx="275">
                  <c:v>2079315</c:v>
                </c:pt>
                <c:pt idx="276">
                  <c:v>2079315</c:v>
                </c:pt>
                <c:pt idx="277">
                  <c:v>2079315</c:v>
                </c:pt>
                <c:pt idx="278">
                  <c:v>1512440</c:v>
                </c:pt>
                <c:pt idx="279">
                  <c:v>1840131</c:v>
                </c:pt>
                <c:pt idx="280">
                  <c:v>2629007</c:v>
                </c:pt>
                <c:pt idx="281">
                  <c:v>1578745</c:v>
                </c:pt>
                <c:pt idx="282">
                  <c:v>665504</c:v>
                </c:pt>
                <c:pt idx="283">
                  <c:v>665504</c:v>
                </c:pt>
                <c:pt idx="284">
                  <c:v>665504</c:v>
                </c:pt>
                <c:pt idx="285">
                  <c:v>919462</c:v>
                </c:pt>
                <c:pt idx="286">
                  <c:v>919462</c:v>
                </c:pt>
                <c:pt idx="287">
                  <c:v>1669324</c:v>
                </c:pt>
                <c:pt idx="288">
                  <c:v>2415851</c:v>
                </c:pt>
                <c:pt idx="289">
                  <c:v>1846044</c:v>
                </c:pt>
                <c:pt idx="290">
                  <c:v>1846044</c:v>
                </c:pt>
                <c:pt idx="291">
                  <c:v>1846044</c:v>
                </c:pt>
                <c:pt idx="292">
                  <c:v>1596920</c:v>
                </c:pt>
                <c:pt idx="293">
                  <c:v>1392808</c:v>
                </c:pt>
                <c:pt idx="294">
                  <c:v>1474784</c:v>
                </c:pt>
                <c:pt idx="295">
                  <c:v>1460032</c:v>
                </c:pt>
                <c:pt idx="296">
                  <c:v>1506570</c:v>
                </c:pt>
                <c:pt idx="297">
                  <c:v>1506570</c:v>
                </c:pt>
                <c:pt idx="298">
                  <c:v>1506570</c:v>
                </c:pt>
                <c:pt idx="299">
                  <c:v>1248469</c:v>
                </c:pt>
                <c:pt idx="300">
                  <c:v>1896947</c:v>
                </c:pt>
                <c:pt idx="301">
                  <c:v>1235636</c:v>
                </c:pt>
                <c:pt idx="302">
                  <c:v>1594026</c:v>
                </c:pt>
                <c:pt idx="303">
                  <c:v>1734576</c:v>
                </c:pt>
                <c:pt idx="304">
                  <c:v>1734576</c:v>
                </c:pt>
                <c:pt idx="305">
                  <c:v>1734576</c:v>
                </c:pt>
                <c:pt idx="306">
                  <c:v>1317201</c:v>
                </c:pt>
                <c:pt idx="307">
                  <c:v>2639846</c:v>
                </c:pt>
                <c:pt idx="308">
                  <c:v>948559</c:v>
                </c:pt>
                <c:pt idx="309">
                  <c:v>1020139</c:v>
                </c:pt>
                <c:pt idx="310">
                  <c:v>1370415</c:v>
                </c:pt>
                <c:pt idx="311">
                  <c:v>1370415</c:v>
                </c:pt>
                <c:pt idx="312">
                  <c:v>1370415</c:v>
                </c:pt>
                <c:pt idx="313">
                  <c:v>1099532</c:v>
                </c:pt>
                <c:pt idx="314">
                  <c:v>1197151</c:v>
                </c:pt>
                <c:pt idx="315">
                  <c:v>1190146</c:v>
                </c:pt>
                <c:pt idx="316">
                  <c:v>1179784</c:v>
                </c:pt>
                <c:pt idx="317">
                  <c:v>835534</c:v>
                </c:pt>
                <c:pt idx="318">
                  <c:v>835534</c:v>
                </c:pt>
                <c:pt idx="319">
                  <c:v>835534</c:v>
                </c:pt>
                <c:pt idx="320">
                  <c:v>1635802</c:v>
                </c:pt>
                <c:pt idx="321">
                  <c:v>1153174</c:v>
                </c:pt>
                <c:pt idx="322">
                  <c:v>971993</c:v>
                </c:pt>
                <c:pt idx="323">
                  <c:v>1443007</c:v>
                </c:pt>
                <c:pt idx="324">
                  <c:v>1217071</c:v>
                </c:pt>
                <c:pt idx="325">
                  <c:v>1217071</c:v>
                </c:pt>
                <c:pt idx="326">
                  <c:v>1217071</c:v>
                </c:pt>
                <c:pt idx="327">
                  <c:v>1603015</c:v>
                </c:pt>
                <c:pt idx="328">
                  <c:v>1713680</c:v>
                </c:pt>
                <c:pt idx="329">
                  <c:v>1363221</c:v>
                </c:pt>
                <c:pt idx="330">
                  <c:v>922317</c:v>
                </c:pt>
                <c:pt idx="331">
                  <c:v>965705</c:v>
                </c:pt>
                <c:pt idx="332">
                  <c:v>965705</c:v>
                </c:pt>
                <c:pt idx="333">
                  <c:v>965705</c:v>
                </c:pt>
                <c:pt idx="334">
                  <c:v>872825</c:v>
                </c:pt>
                <c:pt idx="335">
                  <c:v>1308338</c:v>
                </c:pt>
                <c:pt idx="336">
                  <c:v>1073116</c:v>
                </c:pt>
                <c:pt idx="337">
                  <c:v>1342256</c:v>
                </c:pt>
                <c:pt idx="338">
                  <c:v>1638679</c:v>
                </c:pt>
                <c:pt idx="339">
                  <c:v>1638679</c:v>
                </c:pt>
                <c:pt idx="340">
                  <c:v>1638679</c:v>
                </c:pt>
                <c:pt idx="341">
                  <c:v>1733135</c:v>
                </c:pt>
                <c:pt idx="342">
                  <c:v>1406439</c:v>
                </c:pt>
                <c:pt idx="343">
                  <c:v>1703842</c:v>
                </c:pt>
                <c:pt idx="344">
                  <c:v>2908280</c:v>
                </c:pt>
                <c:pt idx="345">
                  <c:v>1819238</c:v>
                </c:pt>
                <c:pt idx="346">
                  <c:v>1819238</c:v>
                </c:pt>
                <c:pt idx="347">
                  <c:v>1819238</c:v>
                </c:pt>
                <c:pt idx="348">
                  <c:v>1862548</c:v>
                </c:pt>
                <c:pt idx="349">
                  <c:v>2593692</c:v>
                </c:pt>
                <c:pt idx="350">
                  <c:v>4108980</c:v>
                </c:pt>
                <c:pt idx="351">
                  <c:v>3730597</c:v>
                </c:pt>
                <c:pt idx="352">
                  <c:v>17455457</c:v>
                </c:pt>
                <c:pt idx="353">
                  <c:v>17455457</c:v>
                </c:pt>
                <c:pt idx="354">
                  <c:v>17455457</c:v>
                </c:pt>
                <c:pt idx="355">
                  <c:v>4220491</c:v>
                </c:pt>
                <c:pt idx="356">
                  <c:v>1373510</c:v>
                </c:pt>
                <c:pt idx="357">
                  <c:v>1331334</c:v>
                </c:pt>
                <c:pt idx="358">
                  <c:v>1141728</c:v>
                </c:pt>
                <c:pt idx="359">
                  <c:v>1142647</c:v>
                </c:pt>
                <c:pt idx="360">
                  <c:v>1142647</c:v>
                </c:pt>
                <c:pt idx="361">
                  <c:v>1142647</c:v>
                </c:pt>
                <c:pt idx="362">
                  <c:v>862185</c:v>
                </c:pt>
                <c:pt idx="363">
                  <c:v>937701</c:v>
                </c:pt>
                <c:pt idx="364">
                  <c:v>940090</c:v>
                </c:pt>
                <c:pt idx="365">
                  <c:v>880031</c:v>
                </c:pt>
                <c:pt idx="366">
                  <c:v>1117464</c:v>
                </c:pt>
                <c:pt idx="367">
                  <c:v>1117464</c:v>
                </c:pt>
                <c:pt idx="368">
                  <c:v>1117464</c:v>
                </c:pt>
                <c:pt idx="369">
                  <c:v>1317998</c:v>
                </c:pt>
                <c:pt idx="370">
                  <c:v>719195</c:v>
                </c:pt>
                <c:pt idx="371">
                  <c:v>1138831</c:v>
                </c:pt>
                <c:pt idx="372">
                  <c:v>1096965</c:v>
                </c:pt>
                <c:pt idx="373">
                  <c:v>1096965</c:v>
                </c:pt>
                <c:pt idx="374">
                  <c:v>1096965</c:v>
                </c:pt>
                <c:pt idx="375">
                  <c:v>1096965</c:v>
                </c:pt>
                <c:pt idx="376">
                  <c:v>729970</c:v>
                </c:pt>
                <c:pt idx="377">
                  <c:v>712298</c:v>
                </c:pt>
                <c:pt idx="378">
                  <c:v>828694</c:v>
                </c:pt>
                <c:pt idx="379">
                  <c:v>771591</c:v>
                </c:pt>
                <c:pt idx="380">
                  <c:v>865593</c:v>
                </c:pt>
                <c:pt idx="381">
                  <c:v>865593</c:v>
                </c:pt>
                <c:pt idx="382">
                  <c:v>865593</c:v>
                </c:pt>
                <c:pt idx="383">
                  <c:v>980082</c:v>
                </c:pt>
                <c:pt idx="384">
                  <c:v>787399</c:v>
                </c:pt>
                <c:pt idx="385">
                  <c:v>591742</c:v>
                </c:pt>
                <c:pt idx="386">
                  <c:v>804192</c:v>
                </c:pt>
                <c:pt idx="387">
                  <c:v>1318335</c:v>
                </c:pt>
                <c:pt idx="388">
                  <c:v>1318335</c:v>
                </c:pt>
                <c:pt idx="389">
                  <c:v>1318335</c:v>
                </c:pt>
                <c:pt idx="390">
                  <c:v>1292881</c:v>
                </c:pt>
                <c:pt idx="391">
                  <c:v>768241</c:v>
                </c:pt>
                <c:pt idx="392">
                  <c:v>1232043</c:v>
                </c:pt>
                <c:pt idx="393">
                  <c:v>1247323</c:v>
                </c:pt>
                <c:pt idx="394">
                  <c:v>1256175</c:v>
                </c:pt>
                <c:pt idx="395">
                  <c:v>1256175</c:v>
                </c:pt>
                <c:pt idx="396">
                  <c:v>1256175</c:v>
                </c:pt>
                <c:pt idx="397">
                  <c:v>1573352</c:v>
                </c:pt>
                <c:pt idx="398">
                  <c:v>1790974</c:v>
                </c:pt>
                <c:pt idx="399">
                  <c:v>1424722</c:v>
                </c:pt>
                <c:pt idx="400">
                  <c:v>2684030</c:v>
                </c:pt>
                <c:pt idx="401">
                  <c:v>2252729</c:v>
                </c:pt>
                <c:pt idx="402">
                  <c:v>2252729</c:v>
                </c:pt>
                <c:pt idx="403">
                  <c:v>2252729</c:v>
                </c:pt>
                <c:pt idx="404">
                  <c:v>1532574</c:v>
                </c:pt>
                <c:pt idx="405">
                  <c:v>947414</c:v>
                </c:pt>
                <c:pt idx="406">
                  <c:v>1038532</c:v>
                </c:pt>
                <c:pt idx="407">
                  <c:v>865086</c:v>
                </c:pt>
                <c:pt idx="408">
                  <c:v>1200882</c:v>
                </c:pt>
                <c:pt idx="409">
                  <c:v>1200882</c:v>
                </c:pt>
                <c:pt idx="410">
                  <c:v>1200882</c:v>
                </c:pt>
                <c:pt idx="411">
                  <c:v>1262657</c:v>
                </c:pt>
                <c:pt idx="412">
                  <c:v>1541125</c:v>
                </c:pt>
                <c:pt idx="413">
                  <c:v>2268483</c:v>
                </c:pt>
                <c:pt idx="414">
                  <c:v>1414201</c:v>
                </c:pt>
                <c:pt idx="415">
                  <c:v>1294627</c:v>
                </c:pt>
                <c:pt idx="416">
                  <c:v>1294627</c:v>
                </c:pt>
                <c:pt idx="417">
                  <c:v>1294627</c:v>
                </c:pt>
                <c:pt idx="418">
                  <c:v>1603002</c:v>
                </c:pt>
                <c:pt idx="419">
                  <c:v>1588345</c:v>
                </c:pt>
                <c:pt idx="420">
                  <c:v>2812578</c:v>
                </c:pt>
                <c:pt idx="421">
                  <c:v>2068704</c:v>
                </c:pt>
                <c:pt idx="422">
                  <c:v>1445706</c:v>
                </c:pt>
                <c:pt idx="423">
                  <c:v>1445706</c:v>
                </c:pt>
                <c:pt idx="424">
                  <c:v>1445706</c:v>
                </c:pt>
                <c:pt idx="425">
                  <c:v>1860782</c:v>
                </c:pt>
                <c:pt idx="426">
                  <c:v>1466553</c:v>
                </c:pt>
                <c:pt idx="427">
                  <c:v>1252354</c:v>
                </c:pt>
                <c:pt idx="428">
                  <c:v>1532993</c:v>
                </c:pt>
                <c:pt idx="429">
                  <c:v>1480190</c:v>
                </c:pt>
                <c:pt idx="430">
                  <c:v>1480190</c:v>
                </c:pt>
                <c:pt idx="431">
                  <c:v>1480190</c:v>
                </c:pt>
                <c:pt idx="432">
                  <c:v>1274326</c:v>
                </c:pt>
                <c:pt idx="433">
                  <c:v>1274326</c:v>
                </c:pt>
                <c:pt idx="434">
                  <c:v>1834588</c:v>
                </c:pt>
                <c:pt idx="435">
                  <c:v>2469072</c:v>
                </c:pt>
                <c:pt idx="436">
                  <c:v>4278920</c:v>
                </c:pt>
                <c:pt idx="437">
                  <c:v>4278920</c:v>
                </c:pt>
                <c:pt idx="438">
                  <c:v>4278920</c:v>
                </c:pt>
                <c:pt idx="439">
                  <c:v>3989167</c:v>
                </c:pt>
                <c:pt idx="440">
                  <c:v>11126144</c:v>
                </c:pt>
                <c:pt idx="441">
                  <c:v>6313659</c:v>
                </c:pt>
                <c:pt idx="442">
                  <c:v>1897242</c:v>
                </c:pt>
                <c:pt idx="443">
                  <c:v>3145207</c:v>
                </c:pt>
                <c:pt idx="444">
                  <c:v>3145207</c:v>
                </c:pt>
                <c:pt idx="445">
                  <c:v>3145207</c:v>
                </c:pt>
                <c:pt idx="446">
                  <c:v>1488600</c:v>
                </c:pt>
                <c:pt idx="447">
                  <c:v>1506100</c:v>
                </c:pt>
                <c:pt idx="448">
                  <c:v>1506100</c:v>
                </c:pt>
                <c:pt idx="449">
                  <c:v>1252183</c:v>
                </c:pt>
                <c:pt idx="450">
                  <c:v>1245761</c:v>
                </c:pt>
                <c:pt idx="451">
                  <c:v>1245761</c:v>
                </c:pt>
                <c:pt idx="452">
                  <c:v>1245761</c:v>
                </c:pt>
                <c:pt idx="453">
                  <c:v>1015640</c:v>
                </c:pt>
                <c:pt idx="454">
                  <c:v>1555991</c:v>
                </c:pt>
                <c:pt idx="455">
                  <c:v>1176868</c:v>
                </c:pt>
                <c:pt idx="456">
                  <c:v>1475471</c:v>
                </c:pt>
                <c:pt idx="457">
                  <c:v>1281900</c:v>
                </c:pt>
                <c:pt idx="458">
                  <c:v>1281900</c:v>
                </c:pt>
                <c:pt idx="459">
                  <c:v>1281900</c:v>
                </c:pt>
                <c:pt idx="460">
                  <c:v>1171199</c:v>
                </c:pt>
                <c:pt idx="461">
                  <c:v>930390</c:v>
                </c:pt>
                <c:pt idx="462">
                  <c:v>1253621</c:v>
                </c:pt>
                <c:pt idx="463">
                  <c:v>1409883</c:v>
                </c:pt>
                <c:pt idx="464">
                  <c:v>1747147</c:v>
                </c:pt>
                <c:pt idx="465">
                  <c:v>1747147</c:v>
                </c:pt>
                <c:pt idx="466">
                  <c:v>1747147</c:v>
                </c:pt>
                <c:pt idx="467">
                  <c:v>1084452</c:v>
                </c:pt>
                <c:pt idx="468">
                  <c:v>1108329</c:v>
                </c:pt>
                <c:pt idx="469">
                  <c:v>1229816</c:v>
                </c:pt>
                <c:pt idx="470">
                  <c:v>1096590</c:v>
                </c:pt>
                <c:pt idx="471">
                  <c:v>1096590</c:v>
                </c:pt>
                <c:pt idx="472">
                  <c:v>1096590</c:v>
                </c:pt>
                <c:pt idx="473">
                  <c:v>1096590</c:v>
                </c:pt>
                <c:pt idx="474">
                  <c:v>1446511</c:v>
                </c:pt>
                <c:pt idx="475">
                  <c:v>1766130</c:v>
                </c:pt>
                <c:pt idx="476">
                  <c:v>1027206</c:v>
                </c:pt>
                <c:pt idx="477">
                  <c:v>899543</c:v>
                </c:pt>
                <c:pt idx="478">
                  <c:v>1419700</c:v>
                </c:pt>
                <c:pt idx="479">
                  <c:v>1419700</c:v>
                </c:pt>
                <c:pt idx="480">
                  <c:v>1419700</c:v>
                </c:pt>
                <c:pt idx="481">
                  <c:v>1136270</c:v>
                </c:pt>
                <c:pt idx="482">
                  <c:v>1145756</c:v>
                </c:pt>
                <c:pt idx="483">
                  <c:v>2534036</c:v>
                </c:pt>
                <c:pt idx="484">
                  <c:v>2036442</c:v>
                </c:pt>
                <c:pt idx="485">
                  <c:v>1092424</c:v>
                </c:pt>
                <c:pt idx="486">
                  <c:v>1092424</c:v>
                </c:pt>
                <c:pt idx="487">
                  <c:v>1092424</c:v>
                </c:pt>
                <c:pt idx="488">
                  <c:v>923721</c:v>
                </c:pt>
                <c:pt idx="489">
                  <c:v>1453867</c:v>
                </c:pt>
                <c:pt idx="490">
                  <c:v>1356150</c:v>
                </c:pt>
                <c:pt idx="491">
                  <c:v>929625</c:v>
                </c:pt>
                <c:pt idx="492">
                  <c:v>1085243</c:v>
                </c:pt>
                <c:pt idx="493">
                  <c:v>1085243</c:v>
                </c:pt>
                <c:pt idx="494">
                  <c:v>1085243</c:v>
                </c:pt>
                <c:pt idx="495">
                  <c:v>1311629</c:v>
                </c:pt>
                <c:pt idx="496">
                  <c:v>901041</c:v>
                </c:pt>
                <c:pt idx="497">
                  <c:v>853888</c:v>
                </c:pt>
                <c:pt idx="498">
                  <c:v>787712</c:v>
                </c:pt>
                <c:pt idx="499">
                  <c:v>958876</c:v>
                </c:pt>
                <c:pt idx="500">
                  <c:v>958876</c:v>
                </c:pt>
                <c:pt idx="501">
                  <c:v>958876</c:v>
                </c:pt>
                <c:pt idx="502">
                  <c:v>876128</c:v>
                </c:pt>
                <c:pt idx="503">
                  <c:v>1696568</c:v>
                </c:pt>
                <c:pt idx="504">
                  <c:v>1186998</c:v>
                </c:pt>
                <c:pt idx="505">
                  <c:v>1246671</c:v>
                </c:pt>
                <c:pt idx="506">
                  <c:v>1894373</c:v>
                </c:pt>
                <c:pt idx="507">
                  <c:v>1894373</c:v>
                </c:pt>
                <c:pt idx="508">
                  <c:v>1894373</c:v>
                </c:pt>
                <c:pt idx="509">
                  <c:v>1063718</c:v>
                </c:pt>
                <c:pt idx="510">
                  <c:v>1371907</c:v>
                </c:pt>
                <c:pt idx="511">
                  <c:v>1421134</c:v>
                </c:pt>
                <c:pt idx="512">
                  <c:v>999078</c:v>
                </c:pt>
                <c:pt idx="513">
                  <c:v>1176474</c:v>
                </c:pt>
                <c:pt idx="514">
                  <c:v>1176474</c:v>
                </c:pt>
                <c:pt idx="515">
                  <c:v>1176474</c:v>
                </c:pt>
                <c:pt idx="516">
                  <c:v>1031935</c:v>
                </c:pt>
                <c:pt idx="517">
                  <c:v>2603197</c:v>
                </c:pt>
                <c:pt idx="518">
                  <c:v>1223883</c:v>
                </c:pt>
                <c:pt idx="519">
                  <c:v>2048696</c:v>
                </c:pt>
                <c:pt idx="520">
                  <c:v>1568954</c:v>
                </c:pt>
                <c:pt idx="521">
                  <c:v>1568954</c:v>
                </c:pt>
                <c:pt idx="522">
                  <c:v>1568954</c:v>
                </c:pt>
                <c:pt idx="523">
                  <c:v>1836530</c:v>
                </c:pt>
                <c:pt idx="524">
                  <c:v>1805831</c:v>
                </c:pt>
                <c:pt idx="525">
                  <c:v>2516403</c:v>
                </c:pt>
                <c:pt idx="526">
                  <c:v>2783955</c:v>
                </c:pt>
                <c:pt idx="527">
                  <c:v>1650866</c:v>
                </c:pt>
                <c:pt idx="528">
                  <c:v>1650866</c:v>
                </c:pt>
                <c:pt idx="529">
                  <c:v>1650866</c:v>
                </c:pt>
                <c:pt idx="530">
                  <c:v>1650866</c:v>
                </c:pt>
                <c:pt idx="531">
                  <c:v>1786587</c:v>
                </c:pt>
                <c:pt idx="532">
                  <c:v>4527764</c:v>
                </c:pt>
                <c:pt idx="533">
                  <c:v>3028465</c:v>
                </c:pt>
                <c:pt idx="534">
                  <c:v>8186588</c:v>
                </c:pt>
                <c:pt idx="535">
                  <c:v>8186588</c:v>
                </c:pt>
                <c:pt idx="536">
                  <c:v>8186588</c:v>
                </c:pt>
                <c:pt idx="537">
                  <c:v>4879372</c:v>
                </c:pt>
                <c:pt idx="538">
                  <c:v>1890239</c:v>
                </c:pt>
                <c:pt idx="539">
                  <c:v>1444351</c:v>
                </c:pt>
                <c:pt idx="540">
                  <c:v>1558640</c:v>
                </c:pt>
                <c:pt idx="541">
                  <c:v>3296730</c:v>
                </c:pt>
                <c:pt idx="542">
                  <c:v>3296730</c:v>
                </c:pt>
                <c:pt idx="543">
                  <c:v>3296730</c:v>
                </c:pt>
                <c:pt idx="544">
                  <c:v>1333915</c:v>
                </c:pt>
                <c:pt idx="545">
                  <c:v>1492343</c:v>
                </c:pt>
                <c:pt idx="546">
                  <c:v>1912412</c:v>
                </c:pt>
                <c:pt idx="547">
                  <c:v>1475093</c:v>
                </c:pt>
                <c:pt idx="548">
                  <c:v>1117099</c:v>
                </c:pt>
                <c:pt idx="549">
                  <c:v>1117099</c:v>
                </c:pt>
                <c:pt idx="550">
                  <c:v>1117099</c:v>
                </c:pt>
                <c:pt idx="551">
                  <c:v>1536610</c:v>
                </c:pt>
                <c:pt idx="552">
                  <c:v>1649922</c:v>
                </c:pt>
                <c:pt idx="553">
                  <c:v>1381096</c:v>
                </c:pt>
                <c:pt idx="554">
                  <c:v>1594813</c:v>
                </c:pt>
                <c:pt idx="555">
                  <c:v>1682698</c:v>
                </c:pt>
                <c:pt idx="556">
                  <c:v>1682698</c:v>
                </c:pt>
                <c:pt idx="557">
                  <c:v>1682698</c:v>
                </c:pt>
                <c:pt idx="558">
                  <c:v>2789271</c:v>
                </c:pt>
                <c:pt idx="559">
                  <c:v>1442629</c:v>
                </c:pt>
                <c:pt idx="560">
                  <c:v>1030014</c:v>
                </c:pt>
                <c:pt idx="561">
                  <c:v>1294706</c:v>
                </c:pt>
                <c:pt idx="562">
                  <c:v>1128793</c:v>
                </c:pt>
                <c:pt idx="563">
                  <c:v>1128793</c:v>
                </c:pt>
                <c:pt idx="564">
                  <c:v>1128793</c:v>
                </c:pt>
                <c:pt idx="565">
                  <c:v>1344913</c:v>
                </c:pt>
                <c:pt idx="566">
                  <c:v>1497131</c:v>
                </c:pt>
                <c:pt idx="567">
                  <c:v>1671562</c:v>
                </c:pt>
                <c:pt idx="568">
                  <c:v>2113042</c:v>
                </c:pt>
                <c:pt idx="569">
                  <c:v>2113042</c:v>
                </c:pt>
                <c:pt idx="570">
                  <c:v>2113042</c:v>
                </c:pt>
                <c:pt idx="571">
                  <c:v>2113042</c:v>
                </c:pt>
                <c:pt idx="572">
                  <c:v>1520410</c:v>
                </c:pt>
                <c:pt idx="573">
                  <c:v>1454009</c:v>
                </c:pt>
                <c:pt idx="574">
                  <c:v>2513560</c:v>
                </c:pt>
                <c:pt idx="575">
                  <c:v>1773250</c:v>
                </c:pt>
                <c:pt idx="576">
                  <c:v>1786278</c:v>
                </c:pt>
                <c:pt idx="577">
                  <c:v>1786278</c:v>
                </c:pt>
                <c:pt idx="578">
                  <c:v>1786278</c:v>
                </c:pt>
                <c:pt idx="579">
                  <c:v>1847276</c:v>
                </c:pt>
                <c:pt idx="580">
                  <c:v>2155680</c:v>
                </c:pt>
                <c:pt idx="581">
                  <c:v>2625108</c:v>
                </c:pt>
                <c:pt idx="582">
                  <c:v>2624882</c:v>
                </c:pt>
                <c:pt idx="583">
                  <c:v>1999383</c:v>
                </c:pt>
                <c:pt idx="584">
                  <c:v>1999383</c:v>
                </c:pt>
                <c:pt idx="585">
                  <c:v>1999383</c:v>
                </c:pt>
                <c:pt idx="586">
                  <c:v>2417149</c:v>
                </c:pt>
                <c:pt idx="587">
                  <c:v>2990634</c:v>
                </c:pt>
                <c:pt idx="588">
                  <c:v>3961508</c:v>
                </c:pt>
                <c:pt idx="589">
                  <c:v>2612201</c:v>
                </c:pt>
                <c:pt idx="590">
                  <c:v>1755791</c:v>
                </c:pt>
                <c:pt idx="591">
                  <c:v>1755791</c:v>
                </c:pt>
                <c:pt idx="592">
                  <c:v>1755791</c:v>
                </c:pt>
                <c:pt idx="593">
                  <c:v>1714542</c:v>
                </c:pt>
                <c:pt idx="594">
                  <c:v>2466739</c:v>
                </c:pt>
                <c:pt idx="595">
                  <c:v>1633893</c:v>
                </c:pt>
                <c:pt idx="596">
                  <c:v>2300042</c:v>
                </c:pt>
                <c:pt idx="597">
                  <c:v>2430484</c:v>
                </c:pt>
                <c:pt idx="598">
                  <c:v>2430484</c:v>
                </c:pt>
                <c:pt idx="599">
                  <c:v>2430484</c:v>
                </c:pt>
                <c:pt idx="600">
                  <c:v>1995349</c:v>
                </c:pt>
                <c:pt idx="601">
                  <c:v>1904154</c:v>
                </c:pt>
                <c:pt idx="602">
                  <c:v>2804970</c:v>
                </c:pt>
                <c:pt idx="603">
                  <c:v>1603988</c:v>
                </c:pt>
                <c:pt idx="604">
                  <c:v>1603988</c:v>
                </c:pt>
                <c:pt idx="605">
                  <c:v>1603988</c:v>
                </c:pt>
                <c:pt idx="606">
                  <c:v>1603988</c:v>
                </c:pt>
                <c:pt idx="607">
                  <c:v>2020364</c:v>
                </c:pt>
                <c:pt idx="608">
                  <c:v>1968739</c:v>
                </c:pt>
                <c:pt idx="609">
                  <c:v>1514107</c:v>
                </c:pt>
                <c:pt idx="610">
                  <c:v>2226695</c:v>
                </c:pt>
                <c:pt idx="611">
                  <c:v>2268168</c:v>
                </c:pt>
                <c:pt idx="612">
                  <c:v>2268168</c:v>
                </c:pt>
                <c:pt idx="613">
                  <c:v>2268168</c:v>
                </c:pt>
                <c:pt idx="614">
                  <c:v>2911784</c:v>
                </c:pt>
                <c:pt idx="615">
                  <c:v>2949909</c:v>
                </c:pt>
                <c:pt idx="616">
                  <c:v>2488189</c:v>
                </c:pt>
                <c:pt idx="617">
                  <c:v>1948991</c:v>
                </c:pt>
                <c:pt idx="618">
                  <c:v>1948991</c:v>
                </c:pt>
                <c:pt idx="619">
                  <c:v>1948991</c:v>
                </c:pt>
                <c:pt idx="620">
                  <c:v>1948991</c:v>
                </c:pt>
                <c:pt idx="621">
                  <c:v>2246942</c:v>
                </c:pt>
                <c:pt idx="622">
                  <c:v>3134359</c:v>
                </c:pt>
                <c:pt idx="623">
                  <c:v>3594475</c:v>
                </c:pt>
                <c:pt idx="624">
                  <c:v>3347351</c:v>
                </c:pt>
                <c:pt idx="625">
                  <c:v>3347351</c:v>
                </c:pt>
                <c:pt idx="626">
                  <c:v>3347351</c:v>
                </c:pt>
                <c:pt idx="627">
                  <c:v>3347351</c:v>
                </c:pt>
                <c:pt idx="628">
                  <c:v>5851662</c:v>
                </c:pt>
                <c:pt idx="629">
                  <c:v>18816522</c:v>
                </c:pt>
                <c:pt idx="630">
                  <c:v>6880302</c:v>
                </c:pt>
                <c:pt idx="631">
                  <c:v>2469078</c:v>
                </c:pt>
                <c:pt idx="632">
                  <c:v>2767757</c:v>
                </c:pt>
                <c:pt idx="633">
                  <c:v>2767757</c:v>
                </c:pt>
                <c:pt idx="634">
                  <c:v>2767757</c:v>
                </c:pt>
                <c:pt idx="635">
                  <c:v>2889748</c:v>
                </c:pt>
                <c:pt idx="636">
                  <c:v>1499964</c:v>
                </c:pt>
                <c:pt idx="637">
                  <c:v>1539948</c:v>
                </c:pt>
                <c:pt idx="638">
                  <c:v>1295508</c:v>
                </c:pt>
                <c:pt idx="639">
                  <c:v>2046438</c:v>
                </c:pt>
                <c:pt idx="640">
                  <c:v>2046438</c:v>
                </c:pt>
                <c:pt idx="641">
                  <c:v>2046438</c:v>
                </c:pt>
                <c:pt idx="642">
                  <c:v>1401366</c:v>
                </c:pt>
                <c:pt idx="643">
                  <c:v>1649335</c:v>
                </c:pt>
                <c:pt idx="644">
                  <c:v>1176323</c:v>
                </c:pt>
                <c:pt idx="645">
                  <c:v>1420373</c:v>
                </c:pt>
                <c:pt idx="646">
                  <c:v>1994950</c:v>
                </c:pt>
                <c:pt idx="647">
                  <c:v>1994950</c:v>
                </c:pt>
                <c:pt idx="648">
                  <c:v>1994950</c:v>
                </c:pt>
                <c:pt idx="649">
                  <c:v>1806611</c:v>
                </c:pt>
                <c:pt idx="650">
                  <c:v>1012088</c:v>
                </c:pt>
                <c:pt idx="651">
                  <c:v>1141912</c:v>
                </c:pt>
                <c:pt idx="652">
                  <c:v>1787553</c:v>
                </c:pt>
                <c:pt idx="653">
                  <c:v>452183</c:v>
                </c:pt>
                <c:pt idx="654">
                  <c:v>452183</c:v>
                </c:pt>
                <c:pt idx="655">
                  <c:v>452183</c:v>
                </c:pt>
                <c:pt idx="656">
                  <c:v>954899</c:v>
                </c:pt>
                <c:pt idx="657">
                  <c:v>954899</c:v>
                </c:pt>
                <c:pt idx="658">
                  <c:v>851688</c:v>
                </c:pt>
                <c:pt idx="659">
                  <c:v>1201669</c:v>
                </c:pt>
                <c:pt idx="660">
                  <c:v>1231410</c:v>
                </c:pt>
                <c:pt idx="661">
                  <c:v>1231410</c:v>
                </c:pt>
                <c:pt idx="662">
                  <c:v>1231410</c:v>
                </c:pt>
                <c:pt idx="663">
                  <c:v>1496084</c:v>
                </c:pt>
                <c:pt idx="664">
                  <c:v>2121863</c:v>
                </c:pt>
                <c:pt idx="665">
                  <c:v>1899059</c:v>
                </c:pt>
                <c:pt idx="666">
                  <c:v>946204</c:v>
                </c:pt>
                <c:pt idx="667">
                  <c:v>1239465</c:v>
                </c:pt>
                <c:pt idx="668">
                  <c:v>1239465</c:v>
                </c:pt>
                <c:pt idx="669">
                  <c:v>1239465</c:v>
                </c:pt>
                <c:pt idx="670">
                  <c:v>944195</c:v>
                </c:pt>
                <c:pt idx="671">
                  <c:v>1104778</c:v>
                </c:pt>
                <c:pt idx="672">
                  <c:v>948660</c:v>
                </c:pt>
                <c:pt idx="673">
                  <c:v>1016802</c:v>
                </c:pt>
                <c:pt idx="674">
                  <c:v>1409478</c:v>
                </c:pt>
                <c:pt idx="675">
                  <c:v>1409478</c:v>
                </c:pt>
                <c:pt idx="676">
                  <c:v>1409478</c:v>
                </c:pt>
                <c:pt idx="677">
                  <c:v>1490272</c:v>
                </c:pt>
                <c:pt idx="678">
                  <c:v>2079373</c:v>
                </c:pt>
                <c:pt idx="679">
                  <c:v>1550382</c:v>
                </c:pt>
                <c:pt idx="680">
                  <c:v>2081657</c:v>
                </c:pt>
                <c:pt idx="681">
                  <c:v>2004509</c:v>
                </c:pt>
                <c:pt idx="682">
                  <c:v>2004509</c:v>
                </c:pt>
                <c:pt idx="683">
                  <c:v>2004509</c:v>
                </c:pt>
                <c:pt idx="684">
                  <c:v>2987911</c:v>
                </c:pt>
                <c:pt idx="685">
                  <c:v>1612510</c:v>
                </c:pt>
                <c:pt idx="686">
                  <c:v>1469512</c:v>
                </c:pt>
                <c:pt idx="687">
                  <c:v>1342897</c:v>
                </c:pt>
                <c:pt idx="688">
                  <c:v>1680263</c:v>
                </c:pt>
                <c:pt idx="689">
                  <c:v>1680263</c:v>
                </c:pt>
                <c:pt idx="690">
                  <c:v>1680263</c:v>
                </c:pt>
                <c:pt idx="691">
                  <c:v>1388421</c:v>
                </c:pt>
                <c:pt idx="692">
                  <c:v>1842422</c:v>
                </c:pt>
                <c:pt idx="693">
                  <c:v>1462471</c:v>
                </c:pt>
                <c:pt idx="694">
                  <c:v>2025882</c:v>
                </c:pt>
                <c:pt idx="695">
                  <c:v>2920058</c:v>
                </c:pt>
                <c:pt idx="696">
                  <c:v>2920058</c:v>
                </c:pt>
                <c:pt idx="697">
                  <c:v>2920058</c:v>
                </c:pt>
                <c:pt idx="698">
                  <c:v>2514859</c:v>
                </c:pt>
                <c:pt idx="699">
                  <c:v>2149226</c:v>
                </c:pt>
                <c:pt idx="700">
                  <c:v>1500990</c:v>
                </c:pt>
                <c:pt idx="701">
                  <c:v>1725953</c:v>
                </c:pt>
                <c:pt idx="702">
                  <c:v>1580572</c:v>
                </c:pt>
                <c:pt idx="703">
                  <c:v>1580572</c:v>
                </c:pt>
                <c:pt idx="704">
                  <c:v>1580572</c:v>
                </c:pt>
                <c:pt idx="705">
                  <c:v>1460134</c:v>
                </c:pt>
                <c:pt idx="706">
                  <c:v>2152659</c:v>
                </c:pt>
                <c:pt idx="707">
                  <c:v>2090292</c:v>
                </c:pt>
                <c:pt idx="708">
                  <c:v>1913038</c:v>
                </c:pt>
                <c:pt idx="709">
                  <c:v>2374215</c:v>
                </c:pt>
                <c:pt idx="710">
                  <c:v>2374215</c:v>
                </c:pt>
                <c:pt idx="711">
                  <c:v>2374215</c:v>
                </c:pt>
                <c:pt idx="712">
                  <c:v>2038531</c:v>
                </c:pt>
                <c:pt idx="713">
                  <c:v>1885760</c:v>
                </c:pt>
                <c:pt idx="714">
                  <c:v>2368325</c:v>
                </c:pt>
                <c:pt idx="715">
                  <c:v>2356057</c:v>
                </c:pt>
                <c:pt idx="716">
                  <c:v>2826670</c:v>
                </c:pt>
                <c:pt idx="717">
                  <c:v>2826670</c:v>
                </c:pt>
                <c:pt idx="718">
                  <c:v>2826670</c:v>
                </c:pt>
                <c:pt idx="719">
                  <c:v>7081171</c:v>
                </c:pt>
                <c:pt idx="720">
                  <c:v>4014561</c:v>
                </c:pt>
                <c:pt idx="721">
                  <c:v>2219715</c:v>
                </c:pt>
                <c:pt idx="722">
                  <c:v>1780498</c:v>
                </c:pt>
                <c:pt idx="723">
                  <c:v>2075270</c:v>
                </c:pt>
                <c:pt idx="724">
                  <c:v>2075270</c:v>
                </c:pt>
                <c:pt idx="725">
                  <c:v>2075270</c:v>
                </c:pt>
                <c:pt idx="726">
                  <c:v>1568059</c:v>
                </c:pt>
                <c:pt idx="727">
                  <c:v>1524786</c:v>
                </c:pt>
                <c:pt idx="728">
                  <c:v>1133838</c:v>
                </c:pt>
                <c:pt idx="729">
                  <c:v>1263746</c:v>
                </c:pt>
                <c:pt idx="730">
                  <c:v>1179725</c:v>
                </c:pt>
                <c:pt idx="731">
                  <c:v>1179725</c:v>
                </c:pt>
                <c:pt idx="732">
                  <c:v>1179725</c:v>
                </c:pt>
                <c:pt idx="733">
                  <c:v>1209055</c:v>
                </c:pt>
                <c:pt idx="734">
                  <c:v>1099898</c:v>
                </c:pt>
                <c:pt idx="735">
                  <c:v>1224923</c:v>
                </c:pt>
                <c:pt idx="736">
                  <c:v>1436588</c:v>
                </c:pt>
                <c:pt idx="737">
                  <c:v>1436588</c:v>
                </c:pt>
                <c:pt idx="738">
                  <c:v>1436588</c:v>
                </c:pt>
                <c:pt idx="739">
                  <c:v>1436588</c:v>
                </c:pt>
                <c:pt idx="740">
                  <c:v>1524313</c:v>
                </c:pt>
                <c:pt idx="741">
                  <c:v>1524363</c:v>
                </c:pt>
                <c:pt idx="742">
                  <c:v>1793746</c:v>
                </c:pt>
                <c:pt idx="743">
                  <c:v>1059878</c:v>
                </c:pt>
                <c:pt idx="744">
                  <c:v>1415213</c:v>
                </c:pt>
                <c:pt idx="745">
                  <c:v>1415213</c:v>
                </c:pt>
                <c:pt idx="746">
                  <c:v>1415213</c:v>
                </c:pt>
                <c:pt idx="747">
                  <c:v>1795710</c:v>
                </c:pt>
                <c:pt idx="748">
                  <c:v>1653774</c:v>
                </c:pt>
                <c:pt idx="749">
                  <c:v>1473695</c:v>
                </c:pt>
                <c:pt idx="750">
                  <c:v>1628638</c:v>
                </c:pt>
                <c:pt idx="751">
                  <c:v>1972855</c:v>
                </c:pt>
                <c:pt idx="752">
                  <c:v>1972855</c:v>
                </c:pt>
                <c:pt idx="753">
                  <c:v>1972855</c:v>
                </c:pt>
                <c:pt idx="754">
                  <c:v>2194807</c:v>
                </c:pt>
                <c:pt idx="755">
                  <c:v>1475201</c:v>
                </c:pt>
                <c:pt idx="756">
                  <c:v>1391114</c:v>
                </c:pt>
                <c:pt idx="757">
                  <c:v>2207834</c:v>
                </c:pt>
                <c:pt idx="758">
                  <c:v>1204592</c:v>
                </c:pt>
                <c:pt idx="759">
                  <c:v>1204592</c:v>
                </c:pt>
                <c:pt idx="760">
                  <c:v>1204592</c:v>
                </c:pt>
                <c:pt idx="761">
                  <c:v>1039014</c:v>
                </c:pt>
                <c:pt idx="762">
                  <c:v>1266320</c:v>
                </c:pt>
                <c:pt idx="763">
                  <c:v>2050796</c:v>
                </c:pt>
                <c:pt idx="764">
                  <c:v>1494908</c:v>
                </c:pt>
                <c:pt idx="765">
                  <c:v>1593544</c:v>
                </c:pt>
                <c:pt idx="766">
                  <c:v>1593544</c:v>
                </c:pt>
                <c:pt idx="767">
                  <c:v>1593544</c:v>
                </c:pt>
                <c:pt idx="768">
                  <c:v>1810846</c:v>
                </c:pt>
                <c:pt idx="769">
                  <c:v>1227646</c:v>
                </c:pt>
                <c:pt idx="770">
                  <c:v>1252003</c:v>
                </c:pt>
                <c:pt idx="771">
                  <c:v>1055624</c:v>
                </c:pt>
                <c:pt idx="772">
                  <c:v>1058566</c:v>
                </c:pt>
                <c:pt idx="773">
                  <c:v>1058566</c:v>
                </c:pt>
                <c:pt idx="774">
                  <c:v>1058566</c:v>
                </c:pt>
                <c:pt idx="775">
                  <c:v>1945131</c:v>
                </c:pt>
                <c:pt idx="776">
                  <c:v>2751324</c:v>
                </c:pt>
                <c:pt idx="777">
                  <c:v>2363658</c:v>
                </c:pt>
                <c:pt idx="778">
                  <c:v>2010433</c:v>
                </c:pt>
                <c:pt idx="779">
                  <c:v>1786800</c:v>
                </c:pt>
                <c:pt idx="780">
                  <c:v>1786800</c:v>
                </c:pt>
                <c:pt idx="781">
                  <c:v>1786800</c:v>
                </c:pt>
                <c:pt idx="782">
                  <c:v>2138598</c:v>
                </c:pt>
                <c:pt idx="783">
                  <c:v>2655710</c:v>
                </c:pt>
                <c:pt idx="784">
                  <c:v>2766873</c:v>
                </c:pt>
                <c:pt idx="785">
                  <c:v>1494504</c:v>
                </c:pt>
                <c:pt idx="786">
                  <c:v>1044531</c:v>
                </c:pt>
                <c:pt idx="787">
                  <c:v>1044531</c:v>
                </c:pt>
                <c:pt idx="788">
                  <c:v>1044531</c:v>
                </c:pt>
                <c:pt idx="789">
                  <c:v>1747619</c:v>
                </c:pt>
                <c:pt idx="790">
                  <c:v>2068540</c:v>
                </c:pt>
                <c:pt idx="791">
                  <c:v>3039703</c:v>
                </c:pt>
                <c:pt idx="792">
                  <c:v>1573047</c:v>
                </c:pt>
                <c:pt idx="793">
                  <c:v>2423720</c:v>
                </c:pt>
                <c:pt idx="794">
                  <c:v>2423720</c:v>
                </c:pt>
                <c:pt idx="795">
                  <c:v>2423720</c:v>
                </c:pt>
                <c:pt idx="796">
                  <c:v>1713002</c:v>
                </c:pt>
                <c:pt idx="797">
                  <c:v>1613434</c:v>
                </c:pt>
                <c:pt idx="798">
                  <c:v>1281635</c:v>
                </c:pt>
                <c:pt idx="799">
                  <c:v>1281635</c:v>
                </c:pt>
                <c:pt idx="800">
                  <c:v>2604289</c:v>
                </c:pt>
                <c:pt idx="801">
                  <c:v>2604289</c:v>
                </c:pt>
                <c:pt idx="802">
                  <c:v>2604289</c:v>
                </c:pt>
                <c:pt idx="803">
                  <c:v>2314402</c:v>
                </c:pt>
                <c:pt idx="804">
                  <c:v>2980810</c:v>
                </c:pt>
                <c:pt idx="805">
                  <c:v>4161964</c:v>
                </c:pt>
                <c:pt idx="806">
                  <c:v>2205843</c:v>
                </c:pt>
                <c:pt idx="807">
                  <c:v>3027997</c:v>
                </c:pt>
                <c:pt idx="808">
                  <c:v>3027997</c:v>
                </c:pt>
                <c:pt idx="809">
                  <c:v>3027997</c:v>
                </c:pt>
                <c:pt idx="810">
                  <c:v>3595572</c:v>
                </c:pt>
                <c:pt idx="811">
                  <c:v>7125987</c:v>
                </c:pt>
                <c:pt idx="812">
                  <c:v>5215821</c:v>
                </c:pt>
                <c:pt idx="813">
                  <c:v>3293620</c:v>
                </c:pt>
                <c:pt idx="814">
                  <c:v>3293620</c:v>
                </c:pt>
                <c:pt idx="815">
                  <c:v>3293620</c:v>
                </c:pt>
                <c:pt idx="816">
                  <c:v>3293620</c:v>
                </c:pt>
                <c:pt idx="817">
                  <c:v>2321584</c:v>
                </c:pt>
                <c:pt idx="818">
                  <c:v>2091239</c:v>
                </c:pt>
                <c:pt idx="819">
                  <c:v>2341930</c:v>
                </c:pt>
                <c:pt idx="820">
                  <c:v>1437078</c:v>
                </c:pt>
                <c:pt idx="821">
                  <c:v>1654297</c:v>
                </c:pt>
                <c:pt idx="822">
                  <c:v>1654297</c:v>
                </c:pt>
                <c:pt idx="823">
                  <c:v>1654297</c:v>
                </c:pt>
                <c:pt idx="824">
                  <c:v>1633063</c:v>
                </c:pt>
                <c:pt idx="825">
                  <c:v>2141470</c:v>
                </c:pt>
                <c:pt idx="826">
                  <c:v>1474689</c:v>
                </c:pt>
                <c:pt idx="827">
                  <c:v>1531037</c:v>
                </c:pt>
                <c:pt idx="828">
                  <c:v>1541576</c:v>
                </c:pt>
                <c:pt idx="829">
                  <c:v>1541576</c:v>
                </c:pt>
                <c:pt idx="830">
                  <c:v>1541576</c:v>
                </c:pt>
                <c:pt idx="831">
                  <c:v>2170638</c:v>
                </c:pt>
                <c:pt idx="832">
                  <c:v>3001833</c:v>
                </c:pt>
                <c:pt idx="833">
                  <c:v>2073685</c:v>
                </c:pt>
                <c:pt idx="834">
                  <c:v>1218025</c:v>
                </c:pt>
                <c:pt idx="835">
                  <c:v>1218025</c:v>
                </c:pt>
                <c:pt idx="836">
                  <c:v>1218025</c:v>
                </c:pt>
                <c:pt idx="837">
                  <c:v>1218025</c:v>
                </c:pt>
                <c:pt idx="838">
                  <c:v>1015473</c:v>
                </c:pt>
                <c:pt idx="839">
                  <c:v>1031865</c:v>
                </c:pt>
                <c:pt idx="840">
                  <c:v>898151</c:v>
                </c:pt>
                <c:pt idx="841">
                  <c:v>1024429</c:v>
                </c:pt>
                <c:pt idx="842">
                  <c:v>1584100</c:v>
                </c:pt>
                <c:pt idx="843">
                  <c:v>1584100</c:v>
                </c:pt>
                <c:pt idx="844">
                  <c:v>1584100</c:v>
                </c:pt>
                <c:pt idx="845">
                  <c:v>2560639</c:v>
                </c:pt>
                <c:pt idx="846">
                  <c:v>2702427</c:v>
                </c:pt>
                <c:pt idx="847">
                  <c:v>1529671</c:v>
                </c:pt>
                <c:pt idx="848">
                  <c:v>1863893</c:v>
                </c:pt>
                <c:pt idx="849">
                  <c:v>1641833</c:v>
                </c:pt>
                <c:pt idx="850">
                  <c:v>1641833</c:v>
                </c:pt>
                <c:pt idx="851">
                  <c:v>1641833</c:v>
                </c:pt>
                <c:pt idx="852">
                  <c:v>1286236</c:v>
                </c:pt>
                <c:pt idx="853">
                  <c:v>1480856</c:v>
                </c:pt>
                <c:pt idx="854">
                  <c:v>969490</c:v>
                </c:pt>
                <c:pt idx="855">
                  <c:v>1058154</c:v>
                </c:pt>
                <c:pt idx="856">
                  <c:v>1157944</c:v>
                </c:pt>
                <c:pt idx="857">
                  <c:v>1157944</c:v>
                </c:pt>
                <c:pt idx="858">
                  <c:v>1157944</c:v>
                </c:pt>
                <c:pt idx="859">
                  <c:v>955141</c:v>
                </c:pt>
                <c:pt idx="860">
                  <c:v>1356578</c:v>
                </c:pt>
                <c:pt idx="861">
                  <c:v>1102183</c:v>
                </c:pt>
                <c:pt idx="862">
                  <c:v>1122115</c:v>
                </c:pt>
                <c:pt idx="863">
                  <c:v>1608519</c:v>
                </c:pt>
                <c:pt idx="864">
                  <c:v>1608519</c:v>
                </c:pt>
                <c:pt idx="865">
                  <c:v>1608519</c:v>
                </c:pt>
                <c:pt idx="866">
                  <c:v>1535192</c:v>
                </c:pt>
                <c:pt idx="867">
                  <c:v>1813523</c:v>
                </c:pt>
                <c:pt idx="868">
                  <c:v>2201362</c:v>
                </c:pt>
                <c:pt idx="869">
                  <c:v>1374278</c:v>
                </c:pt>
                <c:pt idx="870">
                  <c:v>2180092</c:v>
                </c:pt>
                <c:pt idx="871">
                  <c:v>2180092</c:v>
                </c:pt>
                <c:pt idx="872">
                  <c:v>2180092</c:v>
                </c:pt>
                <c:pt idx="873">
                  <c:v>1314924</c:v>
                </c:pt>
                <c:pt idx="874">
                  <c:v>1340939</c:v>
                </c:pt>
                <c:pt idx="875">
                  <c:v>1282880</c:v>
                </c:pt>
                <c:pt idx="876">
                  <c:v>1535414</c:v>
                </c:pt>
                <c:pt idx="877">
                  <c:v>1525839</c:v>
                </c:pt>
                <c:pt idx="878">
                  <c:v>1525839</c:v>
                </c:pt>
                <c:pt idx="879">
                  <c:v>1525839</c:v>
                </c:pt>
                <c:pt idx="880">
                  <c:v>1797879</c:v>
                </c:pt>
                <c:pt idx="881">
                  <c:v>2507674</c:v>
                </c:pt>
                <c:pt idx="882">
                  <c:v>1971633</c:v>
                </c:pt>
                <c:pt idx="883">
                  <c:v>1881100</c:v>
                </c:pt>
                <c:pt idx="884">
                  <c:v>3675742</c:v>
                </c:pt>
                <c:pt idx="885">
                  <c:v>3675742</c:v>
                </c:pt>
                <c:pt idx="886">
                  <c:v>3675742</c:v>
                </c:pt>
                <c:pt idx="887">
                  <c:v>3675742</c:v>
                </c:pt>
                <c:pt idx="888">
                  <c:v>6601284</c:v>
                </c:pt>
                <c:pt idx="889">
                  <c:v>1753537</c:v>
                </c:pt>
                <c:pt idx="890">
                  <c:v>1980892</c:v>
                </c:pt>
                <c:pt idx="891">
                  <c:v>1654502</c:v>
                </c:pt>
                <c:pt idx="892">
                  <c:v>1654502</c:v>
                </c:pt>
                <c:pt idx="893">
                  <c:v>1654502</c:v>
                </c:pt>
                <c:pt idx="894">
                  <c:v>1647103</c:v>
                </c:pt>
                <c:pt idx="895">
                  <c:v>1674925</c:v>
                </c:pt>
                <c:pt idx="896">
                  <c:v>1357963</c:v>
                </c:pt>
                <c:pt idx="897">
                  <c:v>1870135</c:v>
                </c:pt>
                <c:pt idx="898">
                  <c:v>1772688</c:v>
                </c:pt>
                <c:pt idx="899">
                  <c:v>1772688</c:v>
                </c:pt>
                <c:pt idx="900">
                  <c:v>1772688</c:v>
                </c:pt>
                <c:pt idx="901">
                  <c:v>2583777</c:v>
                </c:pt>
                <c:pt idx="902">
                  <c:v>2190990</c:v>
                </c:pt>
                <c:pt idx="903">
                  <c:v>2006873</c:v>
                </c:pt>
                <c:pt idx="904">
                  <c:v>3336372</c:v>
                </c:pt>
                <c:pt idx="905">
                  <c:v>12660474</c:v>
                </c:pt>
                <c:pt idx="906">
                  <c:v>12660474</c:v>
                </c:pt>
                <c:pt idx="907">
                  <c:v>12660474</c:v>
                </c:pt>
                <c:pt idx="908">
                  <c:v>5147312</c:v>
                </c:pt>
                <c:pt idx="909">
                  <c:v>2674290</c:v>
                </c:pt>
                <c:pt idx="910">
                  <c:v>2582814</c:v>
                </c:pt>
                <c:pt idx="911">
                  <c:v>2268127</c:v>
                </c:pt>
                <c:pt idx="912">
                  <c:v>2537873</c:v>
                </c:pt>
                <c:pt idx="913">
                  <c:v>2537873</c:v>
                </c:pt>
                <c:pt idx="914">
                  <c:v>2537873</c:v>
                </c:pt>
                <c:pt idx="915">
                  <c:v>1954685</c:v>
                </c:pt>
                <c:pt idx="916">
                  <c:v>1073890</c:v>
                </c:pt>
                <c:pt idx="917">
                  <c:v>1527138</c:v>
                </c:pt>
                <c:pt idx="918">
                  <c:v>2148072</c:v>
                </c:pt>
                <c:pt idx="919">
                  <c:v>1612507</c:v>
                </c:pt>
                <c:pt idx="920">
                  <c:v>1612507</c:v>
                </c:pt>
                <c:pt idx="921">
                  <c:v>1612507</c:v>
                </c:pt>
                <c:pt idx="922">
                  <c:v>1092554</c:v>
                </c:pt>
                <c:pt idx="923">
                  <c:v>1179821</c:v>
                </c:pt>
                <c:pt idx="924">
                  <c:v>1464094</c:v>
                </c:pt>
                <c:pt idx="925">
                  <c:v>1324195</c:v>
                </c:pt>
                <c:pt idx="926">
                  <c:v>1387626</c:v>
                </c:pt>
                <c:pt idx="927">
                  <c:v>1387626</c:v>
                </c:pt>
                <c:pt idx="928">
                  <c:v>1387626</c:v>
                </c:pt>
                <c:pt idx="929">
                  <c:v>1344966</c:v>
                </c:pt>
                <c:pt idx="930">
                  <c:v>2388936</c:v>
                </c:pt>
                <c:pt idx="931">
                  <c:v>1715949</c:v>
                </c:pt>
                <c:pt idx="932">
                  <c:v>993348</c:v>
                </c:pt>
                <c:pt idx="933">
                  <c:v>993348</c:v>
                </c:pt>
                <c:pt idx="934">
                  <c:v>993348</c:v>
                </c:pt>
                <c:pt idx="935">
                  <c:v>993348</c:v>
                </c:pt>
                <c:pt idx="936">
                  <c:v>1278571</c:v>
                </c:pt>
                <c:pt idx="937">
                  <c:v>953149</c:v>
                </c:pt>
                <c:pt idx="938">
                  <c:v>1101959</c:v>
                </c:pt>
                <c:pt idx="939">
                  <c:v>1159559</c:v>
                </c:pt>
                <c:pt idx="940">
                  <c:v>1286719</c:v>
                </c:pt>
                <c:pt idx="941">
                  <c:v>1286719</c:v>
                </c:pt>
                <c:pt idx="942">
                  <c:v>1286719</c:v>
                </c:pt>
                <c:pt idx="943">
                  <c:v>1245365</c:v>
                </c:pt>
                <c:pt idx="944">
                  <c:v>1425860</c:v>
                </c:pt>
                <c:pt idx="945">
                  <c:v>1822296</c:v>
                </c:pt>
                <c:pt idx="946">
                  <c:v>1890037</c:v>
                </c:pt>
                <c:pt idx="947">
                  <c:v>2255091</c:v>
                </c:pt>
                <c:pt idx="948">
                  <c:v>2255091</c:v>
                </c:pt>
                <c:pt idx="949">
                  <c:v>2255091</c:v>
                </c:pt>
                <c:pt idx="950">
                  <c:v>3836529</c:v>
                </c:pt>
                <c:pt idx="951">
                  <c:v>5262068</c:v>
                </c:pt>
                <c:pt idx="952">
                  <c:v>2423172</c:v>
                </c:pt>
                <c:pt idx="953">
                  <c:v>2091759</c:v>
                </c:pt>
                <c:pt idx="954">
                  <c:v>1435920</c:v>
                </c:pt>
                <c:pt idx="955">
                  <c:v>1435920</c:v>
                </c:pt>
                <c:pt idx="956">
                  <c:v>1435920</c:v>
                </c:pt>
                <c:pt idx="957">
                  <c:v>1045755</c:v>
                </c:pt>
                <c:pt idx="958">
                  <c:v>1020614</c:v>
                </c:pt>
                <c:pt idx="959">
                  <c:v>1238866</c:v>
                </c:pt>
                <c:pt idx="960">
                  <c:v>1642266</c:v>
                </c:pt>
                <c:pt idx="961">
                  <c:v>1595873</c:v>
                </c:pt>
                <c:pt idx="962">
                  <c:v>1595873</c:v>
                </c:pt>
                <c:pt idx="963">
                  <c:v>1595873</c:v>
                </c:pt>
                <c:pt idx="964">
                  <c:v>1321238</c:v>
                </c:pt>
                <c:pt idx="965">
                  <c:v>1337994</c:v>
                </c:pt>
                <c:pt idx="966">
                  <c:v>1853546</c:v>
                </c:pt>
                <c:pt idx="967">
                  <c:v>1343863</c:v>
                </c:pt>
                <c:pt idx="968">
                  <c:v>1343863</c:v>
                </c:pt>
                <c:pt idx="969">
                  <c:v>1343863</c:v>
                </c:pt>
                <c:pt idx="970">
                  <c:v>1343863</c:v>
                </c:pt>
                <c:pt idx="971">
                  <c:v>1560732</c:v>
                </c:pt>
                <c:pt idx="972">
                  <c:v>1913178</c:v>
                </c:pt>
                <c:pt idx="973">
                  <c:v>1694376</c:v>
                </c:pt>
                <c:pt idx="974">
                  <c:v>2894256</c:v>
                </c:pt>
                <c:pt idx="975">
                  <c:v>2039639</c:v>
                </c:pt>
                <c:pt idx="976">
                  <c:v>2039639</c:v>
                </c:pt>
                <c:pt idx="977">
                  <c:v>2039639</c:v>
                </c:pt>
                <c:pt idx="978">
                  <c:v>2441705</c:v>
                </c:pt>
                <c:pt idx="979">
                  <c:v>2286168</c:v>
                </c:pt>
                <c:pt idx="980">
                  <c:v>2193929</c:v>
                </c:pt>
                <c:pt idx="981">
                  <c:v>1558536</c:v>
                </c:pt>
                <c:pt idx="982">
                  <c:v>1558536</c:v>
                </c:pt>
                <c:pt idx="983">
                  <c:v>1558536</c:v>
                </c:pt>
                <c:pt idx="984">
                  <c:v>1558536</c:v>
                </c:pt>
                <c:pt idx="985">
                  <c:v>1363011</c:v>
                </c:pt>
                <c:pt idx="986">
                  <c:v>1705229</c:v>
                </c:pt>
                <c:pt idx="987">
                  <c:v>1936799</c:v>
                </c:pt>
                <c:pt idx="988">
                  <c:v>3035904</c:v>
                </c:pt>
                <c:pt idx="989">
                  <c:v>3035904</c:v>
                </c:pt>
                <c:pt idx="990">
                  <c:v>3035904</c:v>
                </c:pt>
                <c:pt idx="991">
                  <c:v>3035904</c:v>
                </c:pt>
                <c:pt idx="992">
                  <c:v>5122853</c:v>
                </c:pt>
                <c:pt idx="993">
                  <c:v>7904800</c:v>
                </c:pt>
                <c:pt idx="994">
                  <c:v>5451448</c:v>
                </c:pt>
                <c:pt idx="995">
                  <c:v>2783770</c:v>
                </c:pt>
                <c:pt idx="996">
                  <c:v>3383692</c:v>
                </c:pt>
                <c:pt idx="997">
                  <c:v>3383692</c:v>
                </c:pt>
                <c:pt idx="998">
                  <c:v>3383692</c:v>
                </c:pt>
                <c:pt idx="999">
                  <c:v>1802809</c:v>
                </c:pt>
                <c:pt idx="1000">
                  <c:v>1611665</c:v>
                </c:pt>
                <c:pt idx="1001">
                  <c:v>2754324</c:v>
                </c:pt>
                <c:pt idx="1002">
                  <c:v>2461604</c:v>
                </c:pt>
                <c:pt idx="1003">
                  <c:v>1475223</c:v>
                </c:pt>
                <c:pt idx="1004">
                  <c:v>1475223</c:v>
                </c:pt>
                <c:pt idx="1005">
                  <c:v>1475223</c:v>
                </c:pt>
                <c:pt idx="1006">
                  <c:v>2229569</c:v>
                </c:pt>
                <c:pt idx="1007">
                  <c:v>1500178</c:v>
                </c:pt>
                <c:pt idx="1008">
                  <c:v>2064145</c:v>
                </c:pt>
                <c:pt idx="1009">
                  <c:v>1560719</c:v>
                </c:pt>
                <c:pt idx="1010">
                  <c:v>2060261</c:v>
                </c:pt>
                <c:pt idx="1011">
                  <c:v>2060261</c:v>
                </c:pt>
                <c:pt idx="1012">
                  <c:v>2060261</c:v>
                </c:pt>
                <c:pt idx="1013">
                  <c:v>1562454</c:v>
                </c:pt>
                <c:pt idx="1014">
                  <c:v>5014486</c:v>
                </c:pt>
                <c:pt idx="1015">
                  <c:v>1663144</c:v>
                </c:pt>
                <c:pt idx="1016">
                  <c:v>2656980</c:v>
                </c:pt>
                <c:pt idx="1017">
                  <c:v>445291</c:v>
                </c:pt>
                <c:pt idx="1018">
                  <c:v>445291</c:v>
                </c:pt>
                <c:pt idx="1019">
                  <c:v>445291</c:v>
                </c:pt>
                <c:pt idx="1020">
                  <c:v>1758209</c:v>
                </c:pt>
                <c:pt idx="1021">
                  <c:v>1758209</c:v>
                </c:pt>
                <c:pt idx="1022">
                  <c:v>1457323</c:v>
                </c:pt>
                <c:pt idx="1023">
                  <c:v>1385589</c:v>
                </c:pt>
                <c:pt idx="1024">
                  <c:v>1845945</c:v>
                </c:pt>
                <c:pt idx="1025">
                  <c:v>1845945</c:v>
                </c:pt>
                <c:pt idx="1026">
                  <c:v>1845945</c:v>
                </c:pt>
                <c:pt idx="1027">
                  <c:v>1641232</c:v>
                </c:pt>
                <c:pt idx="1028">
                  <c:v>2388355</c:v>
                </c:pt>
                <c:pt idx="1029">
                  <c:v>5216928</c:v>
                </c:pt>
                <c:pt idx="1030">
                  <c:v>2990576</c:v>
                </c:pt>
                <c:pt idx="1031">
                  <c:v>4436491</c:v>
                </c:pt>
                <c:pt idx="1032">
                  <c:v>4436491</c:v>
                </c:pt>
                <c:pt idx="1033">
                  <c:v>4436491</c:v>
                </c:pt>
                <c:pt idx="1034">
                  <c:v>3783073</c:v>
                </c:pt>
                <c:pt idx="1035">
                  <c:v>2257448</c:v>
                </c:pt>
                <c:pt idx="1036">
                  <c:v>3602704</c:v>
                </c:pt>
                <c:pt idx="1037">
                  <c:v>1711987</c:v>
                </c:pt>
                <c:pt idx="1038">
                  <c:v>1473866</c:v>
                </c:pt>
                <c:pt idx="1039">
                  <c:v>1473866</c:v>
                </c:pt>
                <c:pt idx="1040">
                  <c:v>1473866</c:v>
                </c:pt>
                <c:pt idx="1041">
                  <c:v>6053192</c:v>
                </c:pt>
                <c:pt idx="1042">
                  <c:v>2282973</c:v>
                </c:pt>
                <c:pt idx="1043">
                  <c:v>2199530</c:v>
                </c:pt>
                <c:pt idx="1044">
                  <c:v>1910978</c:v>
                </c:pt>
              </c:numCache>
            </c:numRef>
          </c:val>
          <c:extLst>
            <c:ext xmlns:c16="http://schemas.microsoft.com/office/drawing/2014/chart" uri="{C3380CC4-5D6E-409C-BE32-E72D297353CC}">
              <c16:uniqueId val="{00000000-D1DC-4E4A-A246-46D1BC992423}"/>
            </c:ext>
          </c:extLst>
        </c:ser>
        <c:dLbls>
          <c:showLegendKey val="0"/>
          <c:showVal val="0"/>
          <c:showCatName val="0"/>
          <c:showSerName val="0"/>
          <c:showPercent val="0"/>
          <c:showBubbleSize val="0"/>
        </c:dLbls>
        <c:gapWidth val="219"/>
        <c:axId val="33469023"/>
        <c:axId val="33476223"/>
      </c:barChart>
      <c:lineChart>
        <c:grouping val="standard"/>
        <c:varyColors val="0"/>
        <c:ser>
          <c:idx val="0"/>
          <c:order val="0"/>
          <c:tx>
            <c:v>Price</c:v>
          </c:tx>
          <c:spPr>
            <a:ln w="28575" cap="rnd">
              <a:solidFill>
                <a:schemeClr val="accent1"/>
              </a:solidFill>
              <a:round/>
            </a:ln>
            <a:effectLst/>
          </c:spPr>
          <c:marker>
            <c:symbol val="none"/>
          </c:marker>
          <c:cat>
            <c:numRef>
              <c:f>'Stock Data'!$AM$4:$AM$1048</c:f>
              <c:numCache>
                <c:formatCode>m/d/yy;@</c:formatCode>
                <c:ptCount val="1045"/>
                <c:pt idx="0">
                  <c:v>45938</c:v>
                </c:pt>
                <c:pt idx="1">
                  <c:v>45937</c:v>
                </c:pt>
                <c:pt idx="2">
                  <c:v>45936</c:v>
                </c:pt>
                <c:pt idx="3">
                  <c:v>45935</c:v>
                </c:pt>
                <c:pt idx="4">
                  <c:v>45934</c:v>
                </c:pt>
                <c:pt idx="5">
                  <c:v>45933</c:v>
                </c:pt>
                <c:pt idx="6">
                  <c:v>45932</c:v>
                </c:pt>
                <c:pt idx="7">
                  <c:v>45931</c:v>
                </c:pt>
                <c:pt idx="8">
                  <c:v>45930</c:v>
                </c:pt>
                <c:pt idx="9">
                  <c:v>45929</c:v>
                </c:pt>
                <c:pt idx="10">
                  <c:v>45928</c:v>
                </c:pt>
                <c:pt idx="11">
                  <c:v>45927</c:v>
                </c:pt>
                <c:pt idx="12">
                  <c:v>45926</c:v>
                </c:pt>
                <c:pt idx="13">
                  <c:v>45925</c:v>
                </c:pt>
                <c:pt idx="14">
                  <c:v>45924</c:v>
                </c:pt>
                <c:pt idx="15">
                  <c:v>45923</c:v>
                </c:pt>
                <c:pt idx="16">
                  <c:v>45922</c:v>
                </c:pt>
                <c:pt idx="17">
                  <c:v>45921</c:v>
                </c:pt>
                <c:pt idx="18">
                  <c:v>45920</c:v>
                </c:pt>
                <c:pt idx="19">
                  <c:v>45919</c:v>
                </c:pt>
                <c:pt idx="20">
                  <c:v>45918</c:v>
                </c:pt>
                <c:pt idx="21">
                  <c:v>45917</c:v>
                </c:pt>
                <c:pt idx="22">
                  <c:v>45916</c:v>
                </c:pt>
                <c:pt idx="23">
                  <c:v>45915</c:v>
                </c:pt>
                <c:pt idx="24">
                  <c:v>45914</c:v>
                </c:pt>
                <c:pt idx="25">
                  <c:v>45913</c:v>
                </c:pt>
                <c:pt idx="26">
                  <c:v>45912</c:v>
                </c:pt>
                <c:pt idx="27">
                  <c:v>45911</c:v>
                </c:pt>
                <c:pt idx="28">
                  <c:v>45910</c:v>
                </c:pt>
                <c:pt idx="29">
                  <c:v>45909</c:v>
                </c:pt>
                <c:pt idx="30">
                  <c:v>45908</c:v>
                </c:pt>
                <c:pt idx="31">
                  <c:v>45907</c:v>
                </c:pt>
                <c:pt idx="32">
                  <c:v>45906</c:v>
                </c:pt>
                <c:pt idx="33">
                  <c:v>45905</c:v>
                </c:pt>
                <c:pt idx="34">
                  <c:v>45904</c:v>
                </c:pt>
                <c:pt idx="35">
                  <c:v>45903</c:v>
                </c:pt>
                <c:pt idx="36">
                  <c:v>45902</c:v>
                </c:pt>
                <c:pt idx="37">
                  <c:v>45901</c:v>
                </c:pt>
                <c:pt idx="38">
                  <c:v>45900</c:v>
                </c:pt>
                <c:pt idx="39">
                  <c:v>45899</c:v>
                </c:pt>
                <c:pt idx="40">
                  <c:v>45898</c:v>
                </c:pt>
                <c:pt idx="41">
                  <c:v>45897</c:v>
                </c:pt>
                <c:pt idx="42">
                  <c:v>45896</c:v>
                </c:pt>
                <c:pt idx="43">
                  <c:v>45895</c:v>
                </c:pt>
                <c:pt idx="44">
                  <c:v>45894</c:v>
                </c:pt>
                <c:pt idx="45">
                  <c:v>45893</c:v>
                </c:pt>
                <c:pt idx="46">
                  <c:v>45892</c:v>
                </c:pt>
                <c:pt idx="47">
                  <c:v>45891</c:v>
                </c:pt>
                <c:pt idx="48">
                  <c:v>45890</c:v>
                </c:pt>
                <c:pt idx="49">
                  <c:v>45889</c:v>
                </c:pt>
                <c:pt idx="50">
                  <c:v>45888</c:v>
                </c:pt>
                <c:pt idx="51">
                  <c:v>45887</c:v>
                </c:pt>
                <c:pt idx="52">
                  <c:v>45886</c:v>
                </c:pt>
                <c:pt idx="53">
                  <c:v>45885</c:v>
                </c:pt>
                <c:pt idx="54">
                  <c:v>45884</c:v>
                </c:pt>
                <c:pt idx="55">
                  <c:v>45883</c:v>
                </c:pt>
                <c:pt idx="56">
                  <c:v>45882</c:v>
                </c:pt>
                <c:pt idx="57">
                  <c:v>45881</c:v>
                </c:pt>
                <c:pt idx="58">
                  <c:v>45880</c:v>
                </c:pt>
                <c:pt idx="59">
                  <c:v>45879</c:v>
                </c:pt>
                <c:pt idx="60">
                  <c:v>45878</c:v>
                </c:pt>
                <c:pt idx="61">
                  <c:v>45877</c:v>
                </c:pt>
                <c:pt idx="62">
                  <c:v>45876</c:v>
                </c:pt>
                <c:pt idx="63">
                  <c:v>45875</c:v>
                </c:pt>
                <c:pt idx="64">
                  <c:v>45874</c:v>
                </c:pt>
                <c:pt idx="65">
                  <c:v>45873</c:v>
                </c:pt>
                <c:pt idx="66">
                  <c:v>45872</c:v>
                </c:pt>
                <c:pt idx="67">
                  <c:v>45871</c:v>
                </c:pt>
                <c:pt idx="68">
                  <c:v>45870</c:v>
                </c:pt>
                <c:pt idx="69">
                  <c:v>45869</c:v>
                </c:pt>
                <c:pt idx="70">
                  <c:v>45868</c:v>
                </c:pt>
                <c:pt idx="71">
                  <c:v>45867</c:v>
                </c:pt>
                <c:pt idx="72">
                  <c:v>45866</c:v>
                </c:pt>
                <c:pt idx="73">
                  <c:v>45865</c:v>
                </c:pt>
                <c:pt idx="74">
                  <c:v>45864</c:v>
                </c:pt>
                <c:pt idx="75">
                  <c:v>45863</c:v>
                </c:pt>
                <c:pt idx="76">
                  <c:v>45862</c:v>
                </c:pt>
                <c:pt idx="77">
                  <c:v>45861</c:v>
                </c:pt>
                <c:pt idx="78">
                  <c:v>45860</c:v>
                </c:pt>
                <c:pt idx="79">
                  <c:v>45859</c:v>
                </c:pt>
                <c:pt idx="80">
                  <c:v>45858</c:v>
                </c:pt>
                <c:pt idx="81">
                  <c:v>45857</c:v>
                </c:pt>
                <c:pt idx="82">
                  <c:v>45856</c:v>
                </c:pt>
                <c:pt idx="83">
                  <c:v>45855</c:v>
                </c:pt>
                <c:pt idx="84">
                  <c:v>45854</c:v>
                </c:pt>
                <c:pt idx="85">
                  <c:v>45853</c:v>
                </c:pt>
                <c:pt idx="86">
                  <c:v>45852</c:v>
                </c:pt>
                <c:pt idx="87">
                  <c:v>45851</c:v>
                </c:pt>
                <c:pt idx="88">
                  <c:v>45850</c:v>
                </c:pt>
                <c:pt idx="89">
                  <c:v>45849</c:v>
                </c:pt>
                <c:pt idx="90">
                  <c:v>45848</c:v>
                </c:pt>
                <c:pt idx="91">
                  <c:v>45847</c:v>
                </c:pt>
                <c:pt idx="92">
                  <c:v>45846</c:v>
                </c:pt>
                <c:pt idx="93">
                  <c:v>45845</c:v>
                </c:pt>
                <c:pt idx="94">
                  <c:v>45844</c:v>
                </c:pt>
                <c:pt idx="95">
                  <c:v>45843</c:v>
                </c:pt>
                <c:pt idx="96">
                  <c:v>45842</c:v>
                </c:pt>
                <c:pt idx="97">
                  <c:v>45841</c:v>
                </c:pt>
                <c:pt idx="98">
                  <c:v>45840</c:v>
                </c:pt>
                <c:pt idx="99">
                  <c:v>45839</c:v>
                </c:pt>
                <c:pt idx="100">
                  <c:v>45838</c:v>
                </c:pt>
                <c:pt idx="101">
                  <c:v>45837</c:v>
                </c:pt>
                <c:pt idx="102">
                  <c:v>45836</c:v>
                </c:pt>
                <c:pt idx="103">
                  <c:v>45835</c:v>
                </c:pt>
                <c:pt idx="104">
                  <c:v>45834</c:v>
                </c:pt>
                <c:pt idx="105">
                  <c:v>45833</c:v>
                </c:pt>
                <c:pt idx="106">
                  <c:v>45832</c:v>
                </c:pt>
                <c:pt idx="107">
                  <c:v>45831</c:v>
                </c:pt>
                <c:pt idx="108">
                  <c:v>45830</c:v>
                </c:pt>
                <c:pt idx="109">
                  <c:v>45829</c:v>
                </c:pt>
                <c:pt idx="110">
                  <c:v>45828</c:v>
                </c:pt>
                <c:pt idx="111">
                  <c:v>45827</c:v>
                </c:pt>
                <c:pt idx="112">
                  <c:v>45826</c:v>
                </c:pt>
                <c:pt idx="113">
                  <c:v>45825</c:v>
                </c:pt>
                <c:pt idx="114">
                  <c:v>45824</c:v>
                </c:pt>
                <c:pt idx="115">
                  <c:v>45823</c:v>
                </c:pt>
                <c:pt idx="116">
                  <c:v>45822</c:v>
                </c:pt>
                <c:pt idx="117">
                  <c:v>45821</c:v>
                </c:pt>
                <c:pt idx="118">
                  <c:v>45820</c:v>
                </c:pt>
                <c:pt idx="119">
                  <c:v>45819</c:v>
                </c:pt>
                <c:pt idx="120">
                  <c:v>45818</c:v>
                </c:pt>
                <c:pt idx="121">
                  <c:v>45817</c:v>
                </c:pt>
                <c:pt idx="122">
                  <c:v>45816</c:v>
                </c:pt>
                <c:pt idx="123">
                  <c:v>45815</c:v>
                </c:pt>
                <c:pt idx="124">
                  <c:v>45814</c:v>
                </c:pt>
                <c:pt idx="125">
                  <c:v>45813</c:v>
                </c:pt>
                <c:pt idx="126">
                  <c:v>45812</c:v>
                </c:pt>
                <c:pt idx="127">
                  <c:v>45811</c:v>
                </c:pt>
                <c:pt idx="128">
                  <c:v>45810</c:v>
                </c:pt>
                <c:pt idx="129">
                  <c:v>45809</c:v>
                </c:pt>
                <c:pt idx="130">
                  <c:v>45808</c:v>
                </c:pt>
                <c:pt idx="131">
                  <c:v>45807</c:v>
                </c:pt>
                <c:pt idx="132">
                  <c:v>45806</c:v>
                </c:pt>
                <c:pt idx="133">
                  <c:v>45805</c:v>
                </c:pt>
                <c:pt idx="134">
                  <c:v>45804</c:v>
                </c:pt>
                <c:pt idx="135">
                  <c:v>45803</c:v>
                </c:pt>
                <c:pt idx="136">
                  <c:v>45802</c:v>
                </c:pt>
                <c:pt idx="137">
                  <c:v>45801</c:v>
                </c:pt>
                <c:pt idx="138">
                  <c:v>45800</c:v>
                </c:pt>
                <c:pt idx="139">
                  <c:v>45799</c:v>
                </c:pt>
                <c:pt idx="140">
                  <c:v>45798</c:v>
                </c:pt>
                <c:pt idx="141">
                  <c:v>45797</c:v>
                </c:pt>
                <c:pt idx="142">
                  <c:v>45796</c:v>
                </c:pt>
                <c:pt idx="143">
                  <c:v>45795</c:v>
                </c:pt>
                <c:pt idx="144">
                  <c:v>45794</c:v>
                </c:pt>
                <c:pt idx="145">
                  <c:v>45793</c:v>
                </c:pt>
                <c:pt idx="146">
                  <c:v>45792</c:v>
                </c:pt>
                <c:pt idx="147">
                  <c:v>45791</c:v>
                </c:pt>
                <c:pt idx="148">
                  <c:v>45790</c:v>
                </c:pt>
                <c:pt idx="149">
                  <c:v>45789</c:v>
                </c:pt>
                <c:pt idx="150">
                  <c:v>45788</c:v>
                </c:pt>
                <c:pt idx="151">
                  <c:v>45787</c:v>
                </c:pt>
                <c:pt idx="152">
                  <c:v>45786</c:v>
                </c:pt>
                <c:pt idx="153">
                  <c:v>45785</c:v>
                </c:pt>
                <c:pt idx="154">
                  <c:v>45784</c:v>
                </c:pt>
                <c:pt idx="155">
                  <c:v>45783</c:v>
                </c:pt>
                <c:pt idx="156">
                  <c:v>45782</c:v>
                </c:pt>
                <c:pt idx="157">
                  <c:v>45781</c:v>
                </c:pt>
                <c:pt idx="158">
                  <c:v>45780</c:v>
                </c:pt>
                <c:pt idx="159">
                  <c:v>45779</c:v>
                </c:pt>
                <c:pt idx="160">
                  <c:v>45778</c:v>
                </c:pt>
                <c:pt idx="161">
                  <c:v>45777</c:v>
                </c:pt>
                <c:pt idx="162">
                  <c:v>45776</c:v>
                </c:pt>
                <c:pt idx="163">
                  <c:v>45775</c:v>
                </c:pt>
                <c:pt idx="164">
                  <c:v>45774</c:v>
                </c:pt>
                <c:pt idx="165">
                  <c:v>45773</c:v>
                </c:pt>
                <c:pt idx="166">
                  <c:v>45772</c:v>
                </c:pt>
                <c:pt idx="167">
                  <c:v>45771</c:v>
                </c:pt>
                <c:pt idx="168">
                  <c:v>45770</c:v>
                </c:pt>
                <c:pt idx="169">
                  <c:v>45769</c:v>
                </c:pt>
                <c:pt idx="170">
                  <c:v>45768</c:v>
                </c:pt>
                <c:pt idx="171">
                  <c:v>45767</c:v>
                </c:pt>
                <c:pt idx="172">
                  <c:v>45766</c:v>
                </c:pt>
                <c:pt idx="173">
                  <c:v>45765</c:v>
                </c:pt>
                <c:pt idx="174">
                  <c:v>45764</c:v>
                </c:pt>
                <c:pt idx="175">
                  <c:v>45763</c:v>
                </c:pt>
                <c:pt idx="176">
                  <c:v>45762</c:v>
                </c:pt>
                <c:pt idx="177">
                  <c:v>45761</c:v>
                </c:pt>
                <c:pt idx="178">
                  <c:v>45760</c:v>
                </c:pt>
                <c:pt idx="179">
                  <c:v>45759</c:v>
                </c:pt>
                <c:pt idx="180">
                  <c:v>45758</c:v>
                </c:pt>
                <c:pt idx="181">
                  <c:v>45757</c:v>
                </c:pt>
                <c:pt idx="182">
                  <c:v>45756</c:v>
                </c:pt>
                <c:pt idx="183">
                  <c:v>45755</c:v>
                </c:pt>
                <c:pt idx="184">
                  <c:v>45754</c:v>
                </c:pt>
                <c:pt idx="185">
                  <c:v>45753</c:v>
                </c:pt>
                <c:pt idx="186">
                  <c:v>45752</c:v>
                </c:pt>
                <c:pt idx="187">
                  <c:v>45751</c:v>
                </c:pt>
                <c:pt idx="188">
                  <c:v>45750</c:v>
                </c:pt>
                <c:pt idx="189">
                  <c:v>45749</c:v>
                </c:pt>
                <c:pt idx="190">
                  <c:v>45748</c:v>
                </c:pt>
                <c:pt idx="191">
                  <c:v>45747</c:v>
                </c:pt>
                <c:pt idx="192">
                  <c:v>45746</c:v>
                </c:pt>
                <c:pt idx="193">
                  <c:v>45745</c:v>
                </c:pt>
                <c:pt idx="194">
                  <c:v>45744</c:v>
                </c:pt>
                <c:pt idx="195">
                  <c:v>45743</c:v>
                </c:pt>
                <c:pt idx="196">
                  <c:v>45742</c:v>
                </c:pt>
                <c:pt idx="197">
                  <c:v>45741</c:v>
                </c:pt>
                <c:pt idx="198">
                  <c:v>45740</c:v>
                </c:pt>
                <c:pt idx="199">
                  <c:v>45739</c:v>
                </c:pt>
                <c:pt idx="200">
                  <c:v>45738</c:v>
                </c:pt>
                <c:pt idx="201">
                  <c:v>45737</c:v>
                </c:pt>
                <c:pt idx="202">
                  <c:v>45736</c:v>
                </c:pt>
                <c:pt idx="203">
                  <c:v>45735</c:v>
                </c:pt>
                <c:pt idx="204">
                  <c:v>45734</c:v>
                </c:pt>
                <c:pt idx="205">
                  <c:v>45733</c:v>
                </c:pt>
                <c:pt idx="206">
                  <c:v>45732</c:v>
                </c:pt>
                <c:pt idx="207">
                  <c:v>45731</c:v>
                </c:pt>
                <c:pt idx="208">
                  <c:v>45730</c:v>
                </c:pt>
                <c:pt idx="209">
                  <c:v>45729</c:v>
                </c:pt>
                <c:pt idx="210">
                  <c:v>45728</c:v>
                </c:pt>
                <c:pt idx="211">
                  <c:v>45727</c:v>
                </c:pt>
                <c:pt idx="212">
                  <c:v>45726</c:v>
                </c:pt>
                <c:pt idx="213">
                  <c:v>45725</c:v>
                </c:pt>
                <c:pt idx="214">
                  <c:v>45724</c:v>
                </c:pt>
                <c:pt idx="215">
                  <c:v>45723</c:v>
                </c:pt>
                <c:pt idx="216">
                  <c:v>45722</c:v>
                </c:pt>
                <c:pt idx="217">
                  <c:v>45721</c:v>
                </c:pt>
                <c:pt idx="218">
                  <c:v>45720</c:v>
                </c:pt>
                <c:pt idx="219">
                  <c:v>45719</c:v>
                </c:pt>
                <c:pt idx="220">
                  <c:v>45718</c:v>
                </c:pt>
                <c:pt idx="221">
                  <c:v>45717</c:v>
                </c:pt>
                <c:pt idx="222">
                  <c:v>45716</c:v>
                </c:pt>
                <c:pt idx="223">
                  <c:v>45715</c:v>
                </c:pt>
                <c:pt idx="224">
                  <c:v>45714</c:v>
                </c:pt>
                <c:pt idx="225">
                  <c:v>45713</c:v>
                </c:pt>
                <c:pt idx="226">
                  <c:v>45712</c:v>
                </c:pt>
                <c:pt idx="227">
                  <c:v>45711</c:v>
                </c:pt>
                <c:pt idx="228">
                  <c:v>45710</c:v>
                </c:pt>
                <c:pt idx="229">
                  <c:v>45709</c:v>
                </c:pt>
                <c:pt idx="230">
                  <c:v>45708</c:v>
                </c:pt>
                <c:pt idx="231">
                  <c:v>45707</c:v>
                </c:pt>
                <c:pt idx="232">
                  <c:v>45706</c:v>
                </c:pt>
                <c:pt idx="233">
                  <c:v>45705</c:v>
                </c:pt>
                <c:pt idx="234">
                  <c:v>45704</c:v>
                </c:pt>
                <c:pt idx="235">
                  <c:v>45703</c:v>
                </c:pt>
                <c:pt idx="236">
                  <c:v>45702</c:v>
                </c:pt>
                <c:pt idx="237">
                  <c:v>45701</c:v>
                </c:pt>
                <c:pt idx="238">
                  <c:v>45700</c:v>
                </c:pt>
                <c:pt idx="239">
                  <c:v>45699</c:v>
                </c:pt>
                <c:pt idx="240">
                  <c:v>45698</c:v>
                </c:pt>
                <c:pt idx="241">
                  <c:v>45697</c:v>
                </c:pt>
                <c:pt idx="242">
                  <c:v>45696</c:v>
                </c:pt>
                <c:pt idx="243">
                  <c:v>45695</c:v>
                </c:pt>
                <c:pt idx="244">
                  <c:v>45694</c:v>
                </c:pt>
                <c:pt idx="245">
                  <c:v>45693</c:v>
                </c:pt>
                <c:pt idx="246">
                  <c:v>45692</c:v>
                </c:pt>
                <c:pt idx="247">
                  <c:v>45691</c:v>
                </c:pt>
                <c:pt idx="248">
                  <c:v>45690</c:v>
                </c:pt>
                <c:pt idx="249">
                  <c:v>45689</c:v>
                </c:pt>
                <c:pt idx="250">
                  <c:v>45688</c:v>
                </c:pt>
                <c:pt idx="251">
                  <c:v>45687</c:v>
                </c:pt>
                <c:pt idx="252">
                  <c:v>45686</c:v>
                </c:pt>
                <c:pt idx="253">
                  <c:v>45685</c:v>
                </c:pt>
                <c:pt idx="254">
                  <c:v>45684</c:v>
                </c:pt>
                <c:pt idx="255">
                  <c:v>45683</c:v>
                </c:pt>
                <c:pt idx="256">
                  <c:v>45682</c:v>
                </c:pt>
                <c:pt idx="257">
                  <c:v>45681</c:v>
                </c:pt>
                <c:pt idx="258">
                  <c:v>45680</c:v>
                </c:pt>
                <c:pt idx="259">
                  <c:v>45679</c:v>
                </c:pt>
                <c:pt idx="260">
                  <c:v>45678</c:v>
                </c:pt>
                <c:pt idx="261">
                  <c:v>45677</c:v>
                </c:pt>
                <c:pt idx="262">
                  <c:v>45676</c:v>
                </c:pt>
                <c:pt idx="263">
                  <c:v>45675</c:v>
                </c:pt>
                <c:pt idx="264">
                  <c:v>45674</c:v>
                </c:pt>
                <c:pt idx="265">
                  <c:v>45673</c:v>
                </c:pt>
                <c:pt idx="266">
                  <c:v>45672</c:v>
                </c:pt>
                <c:pt idx="267">
                  <c:v>45671</c:v>
                </c:pt>
                <c:pt idx="268">
                  <c:v>45670</c:v>
                </c:pt>
                <c:pt idx="269">
                  <c:v>45669</c:v>
                </c:pt>
                <c:pt idx="270">
                  <c:v>45668</c:v>
                </c:pt>
                <c:pt idx="271">
                  <c:v>45667</c:v>
                </c:pt>
                <c:pt idx="272">
                  <c:v>45666</c:v>
                </c:pt>
                <c:pt idx="273">
                  <c:v>45665</c:v>
                </c:pt>
                <c:pt idx="274">
                  <c:v>45664</c:v>
                </c:pt>
                <c:pt idx="275">
                  <c:v>45663</c:v>
                </c:pt>
                <c:pt idx="276">
                  <c:v>45662</c:v>
                </c:pt>
                <c:pt idx="277">
                  <c:v>45661</c:v>
                </c:pt>
                <c:pt idx="278">
                  <c:v>45660</c:v>
                </c:pt>
                <c:pt idx="279">
                  <c:v>45659</c:v>
                </c:pt>
                <c:pt idx="280">
                  <c:v>45658</c:v>
                </c:pt>
                <c:pt idx="281">
                  <c:v>45657</c:v>
                </c:pt>
                <c:pt idx="282">
                  <c:v>45656</c:v>
                </c:pt>
                <c:pt idx="283">
                  <c:v>45655</c:v>
                </c:pt>
                <c:pt idx="284">
                  <c:v>45654</c:v>
                </c:pt>
                <c:pt idx="285">
                  <c:v>45653</c:v>
                </c:pt>
                <c:pt idx="286">
                  <c:v>45652</c:v>
                </c:pt>
                <c:pt idx="287">
                  <c:v>45651</c:v>
                </c:pt>
                <c:pt idx="288">
                  <c:v>45650</c:v>
                </c:pt>
                <c:pt idx="289">
                  <c:v>45649</c:v>
                </c:pt>
                <c:pt idx="290">
                  <c:v>45648</c:v>
                </c:pt>
                <c:pt idx="291">
                  <c:v>45647</c:v>
                </c:pt>
                <c:pt idx="292">
                  <c:v>45646</c:v>
                </c:pt>
                <c:pt idx="293">
                  <c:v>45645</c:v>
                </c:pt>
                <c:pt idx="294">
                  <c:v>45644</c:v>
                </c:pt>
                <c:pt idx="295">
                  <c:v>45643</c:v>
                </c:pt>
                <c:pt idx="296">
                  <c:v>45642</c:v>
                </c:pt>
                <c:pt idx="297">
                  <c:v>45641</c:v>
                </c:pt>
                <c:pt idx="298">
                  <c:v>45640</c:v>
                </c:pt>
                <c:pt idx="299">
                  <c:v>45639</c:v>
                </c:pt>
                <c:pt idx="300">
                  <c:v>45638</c:v>
                </c:pt>
                <c:pt idx="301">
                  <c:v>45637</c:v>
                </c:pt>
                <c:pt idx="302">
                  <c:v>45636</c:v>
                </c:pt>
                <c:pt idx="303">
                  <c:v>45635</c:v>
                </c:pt>
                <c:pt idx="304">
                  <c:v>45634</c:v>
                </c:pt>
                <c:pt idx="305">
                  <c:v>45633</c:v>
                </c:pt>
                <c:pt idx="306">
                  <c:v>45632</c:v>
                </c:pt>
                <c:pt idx="307">
                  <c:v>45631</c:v>
                </c:pt>
                <c:pt idx="308">
                  <c:v>45630</c:v>
                </c:pt>
                <c:pt idx="309">
                  <c:v>45629</c:v>
                </c:pt>
                <c:pt idx="310">
                  <c:v>45628</c:v>
                </c:pt>
                <c:pt idx="311">
                  <c:v>45627</c:v>
                </c:pt>
                <c:pt idx="312">
                  <c:v>45626</c:v>
                </c:pt>
                <c:pt idx="313">
                  <c:v>45625</c:v>
                </c:pt>
                <c:pt idx="314">
                  <c:v>45624</c:v>
                </c:pt>
                <c:pt idx="315">
                  <c:v>45623</c:v>
                </c:pt>
                <c:pt idx="316">
                  <c:v>45622</c:v>
                </c:pt>
                <c:pt idx="317">
                  <c:v>45621</c:v>
                </c:pt>
                <c:pt idx="318">
                  <c:v>45620</c:v>
                </c:pt>
                <c:pt idx="319">
                  <c:v>45619</c:v>
                </c:pt>
                <c:pt idx="320">
                  <c:v>45618</c:v>
                </c:pt>
                <c:pt idx="321">
                  <c:v>45617</c:v>
                </c:pt>
                <c:pt idx="322">
                  <c:v>45616</c:v>
                </c:pt>
                <c:pt idx="323">
                  <c:v>45615</c:v>
                </c:pt>
                <c:pt idx="324">
                  <c:v>45614</c:v>
                </c:pt>
                <c:pt idx="325">
                  <c:v>45613</c:v>
                </c:pt>
                <c:pt idx="326">
                  <c:v>45612</c:v>
                </c:pt>
                <c:pt idx="327">
                  <c:v>45611</c:v>
                </c:pt>
                <c:pt idx="328">
                  <c:v>45610</c:v>
                </c:pt>
                <c:pt idx="329">
                  <c:v>45609</c:v>
                </c:pt>
                <c:pt idx="330">
                  <c:v>45608</c:v>
                </c:pt>
                <c:pt idx="331">
                  <c:v>45607</c:v>
                </c:pt>
                <c:pt idx="332">
                  <c:v>45606</c:v>
                </c:pt>
                <c:pt idx="333">
                  <c:v>45605</c:v>
                </c:pt>
                <c:pt idx="334">
                  <c:v>45604</c:v>
                </c:pt>
                <c:pt idx="335">
                  <c:v>45603</c:v>
                </c:pt>
                <c:pt idx="336">
                  <c:v>45602</c:v>
                </c:pt>
                <c:pt idx="337">
                  <c:v>45601</c:v>
                </c:pt>
                <c:pt idx="338">
                  <c:v>45600</c:v>
                </c:pt>
                <c:pt idx="339">
                  <c:v>45599</c:v>
                </c:pt>
                <c:pt idx="340">
                  <c:v>45598</c:v>
                </c:pt>
                <c:pt idx="341">
                  <c:v>45597</c:v>
                </c:pt>
                <c:pt idx="342">
                  <c:v>45596</c:v>
                </c:pt>
                <c:pt idx="343">
                  <c:v>45595</c:v>
                </c:pt>
                <c:pt idx="344">
                  <c:v>45594</c:v>
                </c:pt>
                <c:pt idx="345">
                  <c:v>45593</c:v>
                </c:pt>
                <c:pt idx="346">
                  <c:v>45592</c:v>
                </c:pt>
                <c:pt idx="347">
                  <c:v>45591</c:v>
                </c:pt>
                <c:pt idx="348">
                  <c:v>45590</c:v>
                </c:pt>
                <c:pt idx="349">
                  <c:v>45589</c:v>
                </c:pt>
                <c:pt idx="350">
                  <c:v>45588</c:v>
                </c:pt>
                <c:pt idx="351">
                  <c:v>45587</c:v>
                </c:pt>
                <c:pt idx="352">
                  <c:v>45586</c:v>
                </c:pt>
                <c:pt idx="353">
                  <c:v>45585</c:v>
                </c:pt>
                <c:pt idx="354">
                  <c:v>45584</c:v>
                </c:pt>
                <c:pt idx="355">
                  <c:v>45583</c:v>
                </c:pt>
                <c:pt idx="356">
                  <c:v>45582</c:v>
                </c:pt>
                <c:pt idx="357">
                  <c:v>45581</c:v>
                </c:pt>
                <c:pt idx="358">
                  <c:v>45580</c:v>
                </c:pt>
                <c:pt idx="359">
                  <c:v>45579</c:v>
                </c:pt>
                <c:pt idx="360">
                  <c:v>45578</c:v>
                </c:pt>
                <c:pt idx="361">
                  <c:v>45577</c:v>
                </c:pt>
                <c:pt idx="362">
                  <c:v>45576</c:v>
                </c:pt>
                <c:pt idx="363">
                  <c:v>45575</c:v>
                </c:pt>
                <c:pt idx="364">
                  <c:v>45574</c:v>
                </c:pt>
                <c:pt idx="365">
                  <c:v>45573</c:v>
                </c:pt>
                <c:pt idx="366">
                  <c:v>45572</c:v>
                </c:pt>
                <c:pt idx="367">
                  <c:v>45571</c:v>
                </c:pt>
                <c:pt idx="368">
                  <c:v>45570</c:v>
                </c:pt>
                <c:pt idx="369">
                  <c:v>45569</c:v>
                </c:pt>
                <c:pt idx="370">
                  <c:v>45568</c:v>
                </c:pt>
                <c:pt idx="371">
                  <c:v>45567</c:v>
                </c:pt>
                <c:pt idx="372">
                  <c:v>45566</c:v>
                </c:pt>
                <c:pt idx="373">
                  <c:v>45565</c:v>
                </c:pt>
                <c:pt idx="374">
                  <c:v>45564</c:v>
                </c:pt>
                <c:pt idx="375">
                  <c:v>45563</c:v>
                </c:pt>
                <c:pt idx="376">
                  <c:v>45562</c:v>
                </c:pt>
                <c:pt idx="377">
                  <c:v>45561</c:v>
                </c:pt>
                <c:pt idx="378">
                  <c:v>45560</c:v>
                </c:pt>
                <c:pt idx="379">
                  <c:v>45559</c:v>
                </c:pt>
                <c:pt idx="380">
                  <c:v>45558</c:v>
                </c:pt>
                <c:pt idx="381">
                  <c:v>45557</c:v>
                </c:pt>
                <c:pt idx="382">
                  <c:v>45556</c:v>
                </c:pt>
                <c:pt idx="383">
                  <c:v>45555</c:v>
                </c:pt>
                <c:pt idx="384">
                  <c:v>45554</c:v>
                </c:pt>
                <c:pt idx="385">
                  <c:v>45553</c:v>
                </c:pt>
                <c:pt idx="386">
                  <c:v>45552</c:v>
                </c:pt>
                <c:pt idx="387">
                  <c:v>45551</c:v>
                </c:pt>
                <c:pt idx="388">
                  <c:v>45550</c:v>
                </c:pt>
                <c:pt idx="389">
                  <c:v>45549</c:v>
                </c:pt>
                <c:pt idx="390">
                  <c:v>45548</c:v>
                </c:pt>
                <c:pt idx="391">
                  <c:v>45547</c:v>
                </c:pt>
                <c:pt idx="392">
                  <c:v>45546</c:v>
                </c:pt>
                <c:pt idx="393">
                  <c:v>45545</c:v>
                </c:pt>
                <c:pt idx="394">
                  <c:v>45544</c:v>
                </c:pt>
                <c:pt idx="395">
                  <c:v>45543</c:v>
                </c:pt>
                <c:pt idx="396">
                  <c:v>45542</c:v>
                </c:pt>
                <c:pt idx="397">
                  <c:v>45541</c:v>
                </c:pt>
                <c:pt idx="398">
                  <c:v>45540</c:v>
                </c:pt>
                <c:pt idx="399">
                  <c:v>45539</c:v>
                </c:pt>
                <c:pt idx="400">
                  <c:v>45538</c:v>
                </c:pt>
                <c:pt idx="401">
                  <c:v>45537</c:v>
                </c:pt>
                <c:pt idx="402">
                  <c:v>45536</c:v>
                </c:pt>
                <c:pt idx="403">
                  <c:v>45535</c:v>
                </c:pt>
                <c:pt idx="404">
                  <c:v>45534</c:v>
                </c:pt>
                <c:pt idx="405">
                  <c:v>45533</c:v>
                </c:pt>
                <c:pt idx="406">
                  <c:v>45532</c:v>
                </c:pt>
                <c:pt idx="407">
                  <c:v>45531</c:v>
                </c:pt>
                <c:pt idx="408">
                  <c:v>45530</c:v>
                </c:pt>
                <c:pt idx="409">
                  <c:v>45529</c:v>
                </c:pt>
                <c:pt idx="410">
                  <c:v>45528</c:v>
                </c:pt>
                <c:pt idx="411">
                  <c:v>45527</c:v>
                </c:pt>
                <c:pt idx="412">
                  <c:v>45526</c:v>
                </c:pt>
                <c:pt idx="413">
                  <c:v>45525</c:v>
                </c:pt>
                <c:pt idx="414">
                  <c:v>45524</c:v>
                </c:pt>
                <c:pt idx="415">
                  <c:v>45523</c:v>
                </c:pt>
                <c:pt idx="416">
                  <c:v>45522</c:v>
                </c:pt>
                <c:pt idx="417">
                  <c:v>45521</c:v>
                </c:pt>
                <c:pt idx="418">
                  <c:v>45520</c:v>
                </c:pt>
                <c:pt idx="419">
                  <c:v>45519</c:v>
                </c:pt>
                <c:pt idx="420">
                  <c:v>45518</c:v>
                </c:pt>
                <c:pt idx="421">
                  <c:v>45517</c:v>
                </c:pt>
                <c:pt idx="422">
                  <c:v>45516</c:v>
                </c:pt>
                <c:pt idx="423">
                  <c:v>45515</c:v>
                </c:pt>
                <c:pt idx="424">
                  <c:v>45514</c:v>
                </c:pt>
                <c:pt idx="425">
                  <c:v>45513</c:v>
                </c:pt>
                <c:pt idx="426">
                  <c:v>45512</c:v>
                </c:pt>
                <c:pt idx="427">
                  <c:v>45511</c:v>
                </c:pt>
                <c:pt idx="428">
                  <c:v>45510</c:v>
                </c:pt>
                <c:pt idx="429">
                  <c:v>45509</c:v>
                </c:pt>
                <c:pt idx="430">
                  <c:v>45508</c:v>
                </c:pt>
                <c:pt idx="431">
                  <c:v>45507</c:v>
                </c:pt>
                <c:pt idx="432">
                  <c:v>45506</c:v>
                </c:pt>
                <c:pt idx="433">
                  <c:v>45505</c:v>
                </c:pt>
                <c:pt idx="434">
                  <c:v>45504</c:v>
                </c:pt>
                <c:pt idx="435">
                  <c:v>45503</c:v>
                </c:pt>
                <c:pt idx="436">
                  <c:v>45502</c:v>
                </c:pt>
                <c:pt idx="437">
                  <c:v>45501</c:v>
                </c:pt>
                <c:pt idx="438">
                  <c:v>45500</c:v>
                </c:pt>
                <c:pt idx="439">
                  <c:v>45499</c:v>
                </c:pt>
                <c:pt idx="440">
                  <c:v>45498</c:v>
                </c:pt>
                <c:pt idx="441">
                  <c:v>45497</c:v>
                </c:pt>
                <c:pt idx="442">
                  <c:v>45496</c:v>
                </c:pt>
                <c:pt idx="443">
                  <c:v>45495</c:v>
                </c:pt>
                <c:pt idx="444">
                  <c:v>45494</c:v>
                </c:pt>
                <c:pt idx="445">
                  <c:v>45493</c:v>
                </c:pt>
                <c:pt idx="446">
                  <c:v>45492</c:v>
                </c:pt>
                <c:pt idx="447">
                  <c:v>45491</c:v>
                </c:pt>
                <c:pt idx="448">
                  <c:v>45490</c:v>
                </c:pt>
                <c:pt idx="449">
                  <c:v>45489</c:v>
                </c:pt>
                <c:pt idx="450">
                  <c:v>45488</c:v>
                </c:pt>
                <c:pt idx="451">
                  <c:v>45487</c:v>
                </c:pt>
                <c:pt idx="452">
                  <c:v>45486</c:v>
                </c:pt>
                <c:pt idx="453">
                  <c:v>45485</c:v>
                </c:pt>
                <c:pt idx="454">
                  <c:v>45484</c:v>
                </c:pt>
                <c:pt idx="455">
                  <c:v>45483</c:v>
                </c:pt>
                <c:pt idx="456">
                  <c:v>45482</c:v>
                </c:pt>
                <c:pt idx="457">
                  <c:v>45481</c:v>
                </c:pt>
                <c:pt idx="458">
                  <c:v>45480</c:v>
                </c:pt>
                <c:pt idx="459">
                  <c:v>45479</c:v>
                </c:pt>
                <c:pt idx="460">
                  <c:v>45478</c:v>
                </c:pt>
                <c:pt idx="461">
                  <c:v>45477</c:v>
                </c:pt>
                <c:pt idx="462">
                  <c:v>45476</c:v>
                </c:pt>
                <c:pt idx="463">
                  <c:v>45475</c:v>
                </c:pt>
                <c:pt idx="464">
                  <c:v>45474</c:v>
                </c:pt>
                <c:pt idx="465">
                  <c:v>45473</c:v>
                </c:pt>
                <c:pt idx="466">
                  <c:v>45472</c:v>
                </c:pt>
                <c:pt idx="467">
                  <c:v>45471</c:v>
                </c:pt>
                <c:pt idx="468">
                  <c:v>45470</c:v>
                </c:pt>
                <c:pt idx="469">
                  <c:v>45469</c:v>
                </c:pt>
                <c:pt idx="470">
                  <c:v>45468</c:v>
                </c:pt>
                <c:pt idx="471">
                  <c:v>45467</c:v>
                </c:pt>
                <c:pt idx="472">
                  <c:v>45466</c:v>
                </c:pt>
                <c:pt idx="473">
                  <c:v>45465</c:v>
                </c:pt>
                <c:pt idx="474">
                  <c:v>45464</c:v>
                </c:pt>
                <c:pt idx="475">
                  <c:v>45463</c:v>
                </c:pt>
                <c:pt idx="476">
                  <c:v>45462</c:v>
                </c:pt>
                <c:pt idx="477">
                  <c:v>45461</c:v>
                </c:pt>
                <c:pt idx="478">
                  <c:v>45460</c:v>
                </c:pt>
                <c:pt idx="479">
                  <c:v>45459</c:v>
                </c:pt>
                <c:pt idx="480">
                  <c:v>45458</c:v>
                </c:pt>
                <c:pt idx="481">
                  <c:v>45457</c:v>
                </c:pt>
                <c:pt idx="482">
                  <c:v>45456</c:v>
                </c:pt>
                <c:pt idx="483">
                  <c:v>45455</c:v>
                </c:pt>
                <c:pt idx="484">
                  <c:v>45454</c:v>
                </c:pt>
                <c:pt idx="485">
                  <c:v>45453</c:v>
                </c:pt>
                <c:pt idx="486">
                  <c:v>45452</c:v>
                </c:pt>
                <c:pt idx="487">
                  <c:v>45451</c:v>
                </c:pt>
                <c:pt idx="488">
                  <c:v>45450</c:v>
                </c:pt>
                <c:pt idx="489">
                  <c:v>45449</c:v>
                </c:pt>
                <c:pt idx="490">
                  <c:v>45448</c:v>
                </c:pt>
                <c:pt idx="491">
                  <c:v>45447</c:v>
                </c:pt>
                <c:pt idx="492">
                  <c:v>45446</c:v>
                </c:pt>
                <c:pt idx="493">
                  <c:v>45445</c:v>
                </c:pt>
                <c:pt idx="494">
                  <c:v>45444</c:v>
                </c:pt>
                <c:pt idx="495">
                  <c:v>45443</c:v>
                </c:pt>
                <c:pt idx="496">
                  <c:v>45442</c:v>
                </c:pt>
                <c:pt idx="497">
                  <c:v>45441</c:v>
                </c:pt>
                <c:pt idx="498">
                  <c:v>45440</c:v>
                </c:pt>
                <c:pt idx="499">
                  <c:v>45439</c:v>
                </c:pt>
                <c:pt idx="500">
                  <c:v>45438</c:v>
                </c:pt>
                <c:pt idx="501">
                  <c:v>45437</c:v>
                </c:pt>
                <c:pt idx="502">
                  <c:v>45436</c:v>
                </c:pt>
                <c:pt idx="503">
                  <c:v>45435</c:v>
                </c:pt>
                <c:pt idx="504">
                  <c:v>45434</c:v>
                </c:pt>
                <c:pt idx="505">
                  <c:v>45433</c:v>
                </c:pt>
                <c:pt idx="506">
                  <c:v>45432</c:v>
                </c:pt>
                <c:pt idx="507">
                  <c:v>45431</c:v>
                </c:pt>
                <c:pt idx="508">
                  <c:v>45430</c:v>
                </c:pt>
                <c:pt idx="509">
                  <c:v>45429</c:v>
                </c:pt>
                <c:pt idx="510">
                  <c:v>45428</c:v>
                </c:pt>
                <c:pt idx="511">
                  <c:v>45427</c:v>
                </c:pt>
                <c:pt idx="512">
                  <c:v>45426</c:v>
                </c:pt>
                <c:pt idx="513">
                  <c:v>45425</c:v>
                </c:pt>
                <c:pt idx="514">
                  <c:v>45424</c:v>
                </c:pt>
                <c:pt idx="515">
                  <c:v>45423</c:v>
                </c:pt>
                <c:pt idx="516">
                  <c:v>45422</c:v>
                </c:pt>
                <c:pt idx="517">
                  <c:v>45421</c:v>
                </c:pt>
                <c:pt idx="518">
                  <c:v>45420</c:v>
                </c:pt>
                <c:pt idx="519">
                  <c:v>45419</c:v>
                </c:pt>
                <c:pt idx="520">
                  <c:v>45418</c:v>
                </c:pt>
                <c:pt idx="521">
                  <c:v>45417</c:v>
                </c:pt>
                <c:pt idx="522">
                  <c:v>45416</c:v>
                </c:pt>
                <c:pt idx="523">
                  <c:v>45415</c:v>
                </c:pt>
                <c:pt idx="524">
                  <c:v>45414</c:v>
                </c:pt>
                <c:pt idx="525">
                  <c:v>45413</c:v>
                </c:pt>
                <c:pt idx="526">
                  <c:v>45412</c:v>
                </c:pt>
                <c:pt idx="527">
                  <c:v>45411</c:v>
                </c:pt>
                <c:pt idx="528">
                  <c:v>45410</c:v>
                </c:pt>
                <c:pt idx="529">
                  <c:v>45409</c:v>
                </c:pt>
                <c:pt idx="530">
                  <c:v>45408</c:v>
                </c:pt>
                <c:pt idx="531">
                  <c:v>45407</c:v>
                </c:pt>
                <c:pt idx="532">
                  <c:v>45406</c:v>
                </c:pt>
                <c:pt idx="533">
                  <c:v>45405</c:v>
                </c:pt>
                <c:pt idx="534">
                  <c:v>45404</c:v>
                </c:pt>
                <c:pt idx="535">
                  <c:v>45403</c:v>
                </c:pt>
                <c:pt idx="536">
                  <c:v>45402</c:v>
                </c:pt>
                <c:pt idx="537">
                  <c:v>45401</c:v>
                </c:pt>
                <c:pt idx="538">
                  <c:v>45400</c:v>
                </c:pt>
                <c:pt idx="539">
                  <c:v>45399</c:v>
                </c:pt>
                <c:pt idx="540">
                  <c:v>45398</c:v>
                </c:pt>
                <c:pt idx="541">
                  <c:v>45397</c:v>
                </c:pt>
                <c:pt idx="542">
                  <c:v>45396</c:v>
                </c:pt>
                <c:pt idx="543">
                  <c:v>45395</c:v>
                </c:pt>
                <c:pt idx="544">
                  <c:v>45394</c:v>
                </c:pt>
                <c:pt idx="545">
                  <c:v>45393</c:v>
                </c:pt>
                <c:pt idx="546">
                  <c:v>45392</c:v>
                </c:pt>
                <c:pt idx="547">
                  <c:v>45391</c:v>
                </c:pt>
                <c:pt idx="548">
                  <c:v>45390</c:v>
                </c:pt>
                <c:pt idx="549">
                  <c:v>45389</c:v>
                </c:pt>
                <c:pt idx="550">
                  <c:v>45388</c:v>
                </c:pt>
                <c:pt idx="551">
                  <c:v>45387</c:v>
                </c:pt>
                <c:pt idx="552">
                  <c:v>45386</c:v>
                </c:pt>
                <c:pt idx="553">
                  <c:v>45385</c:v>
                </c:pt>
                <c:pt idx="554">
                  <c:v>45384</c:v>
                </c:pt>
                <c:pt idx="555">
                  <c:v>45383</c:v>
                </c:pt>
                <c:pt idx="556">
                  <c:v>45382</c:v>
                </c:pt>
                <c:pt idx="557">
                  <c:v>45381</c:v>
                </c:pt>
                <c:pt idx="558">
                  <c:v>45380</c:v>
                </c:pt>
                <c:pt idx="559">
                  <c:v>45379</c:v>
                </c:pt>
                <c:pt idx="560">
                  <c:v>45378</c:v>
                </c:pt>
                <c:pt idx="561">
                  <c:v>45377</c:v>
                </c:pt>
                <c:pt idx="562">
                  <c:v>45376</c:v>
                </c:pt>
                <c:pt idx="563">
                  <c:v>45375</c:v>
                </c:pt>
                <c:pt idx="564">
                  <c:v>45374</c:v>
                </c:pt>
                <c:pt idx="565">
                  <c:v>45373</c:v>
                </c:pt>
                <c:pt idx="566">
                  <c:v>45372</c:v>
                </c:pt>
                <c:pt idx="567">
                  <c:v>45371</c:v>
                </c:pt>
                <c:pt idx="568">
                  <c:v>45370</c:v>
                </c:pt>
                <c:pt idx="569">
                  <c:v>45369</c:v>
                </c:pt>
                <c:pt idx="570">
                  <c:v>45368</c:v>
                </c:pt>
                <c:pt idx="571">
                  <c:v>45367</c:v>
                </c:pt>
                <c:pt idx="572">
                  <c:v>45366</c:v>
                </c:pt>
                <c:pt idx="573">
                  <c:v>45365</c:v>
                </c:pt>
                <c:pt idx="574">
                  <c:v>45364</c:v>
                </c:pt>
                <c:pt idx="575">
                  <c:v>45363</c:v>
                </c:pt>
                <c:pt idx="576">
                  <c:v>45362</c:v>
                </c:pt>
                <c:pt idx="577">
                  <c:v>45361</c:v>
                </c:pt>
                <c:pt idx="578">
                  <c:v>45360</c:v>
                </c:pt>
                <c:pt idx="579">
                  <c:v>45359</c:v>
                </c:pt>
                <c:pt idx="580">
                  <c:v>45358</c:v>
                </c:pt>
                <c:pt idx="581">
                  <c:v>45357</c:v>
                </c:pt>
                <c:pt idx="582">
                  <c:v>45356</c:v>
                </c:pt>
                <c:pt idx="583">
                  <c:v>45355</c:v>
                </c:pt>
                <c:pt idx="584">
                  <c:v>45354</c:v>
                </c:pt>
                <c:pt idx="585">
                  <c:v>45353</c:v>
                </c:pt>
                <c:pt idx="586">
                  <c:v>45352</c:v>
                </c:pt>
                <c:pt idx="587">
                  <c:v>45351</c:v>
                </c:pt>
                <c:pt idx="588">
                  <c:v>45350</c:v>
                </c:pt>
                <c:pt idx="589">
                  <c:v>45349</c:v>
                </c:pt>
                <c:pt idx="590">
                  <c:v>45348</c:v>
                </c:pt>
                <c:pt idx="591">
                  <c:v>45347</c:v>
                </c:pt>
                <c:pt idx="592">
                  <c:v>45346</c:v>
                </c:pt>
                <c:pt idx="593">
                  <c:v>45345</c:v>
                </c:pt>
                <c:pt idx="594">
                  <c:v>45344</c:v>
                </c:pt>
                <c:pt idx="595">
                  <c:v>45343</c:v>
                </c:pt>
                <c:pt idx="596">
                  <c:v>45342</c:v>
                </c:pt>
                <c:pt idx="597">
                  <c:v>45341</c:v>
                </c:pt>
                <c:pt idx="598">
                  <c:v>45340</c:v>
                </c:pt>
                <c:pt idx="599">
                  <c:v>45339</c:v>
                </c:pt>
                <c:pt idx="600">
                  <c:v>45338</c:v>
                </c:pt>
                <c:pt idx="601">
                  <c:v>45337</c:v>
                </c:pt>
                <c:pt idx="602">
                  <c:v>45336</c:v>
                </c:pt>
                <c:pt idx="603">
                  <c:v>45335</c:v>
                </c:pt>
                <c:pt idx="604">
                  <c:v>45334</c:v>
                </c:pt>
                <c:pt idx="605">
                  <c:v>45333</c:v>
                </c:pt>
                <c:pt idx="606">
                  <c:v>45332</c:v>
                </c:pt>
                <c:pt idx="607">
                  <c:v>45331</c:v>
                </c:pt>
                <c:pt idx="608">
                  <c:v>45330</c:v>
                </c:pt>
                <c:pt idx="609">
                  <c:v>45329</c:v>
                </c:pt>
                <c:pt idx="610">
                  <c:v>45328</c:v>
                </c:pt>
                <c:pt idx="611">
                  <c:v>45327</c:v>
                </c:pt>
                <c:pt idx="612">
                  <c:v>45326</c:v>
                </c:pt>
                <c:pt idx="613">
                  <c:v>45325</c:v>
                </c:pt>
                <c:pt idx="614">
                  <c:v>45324</c:v>
                </c:pt>
                <c:pt idx="615">
                  <c:v>45323</c:v>
                </c:pt>
                <c:pt idx="616">
                  <c:v>45322</c:v>
                </c:pt>
                <c:pt idx="617">
                  <c:v>45321</c:v>
                </c:pt>
                <c:pt idx="618">
                  <c:v>45320</c:v>
                </c:pt>
                <c:pt idx="619">
                  <c:v>45319</c:v>
                </c:pt>
                <c:pt idx="620">
                  <c:v>45318</c:v>
                </c:pt>
                <c:pt idx="621">
                  <c:v>45317</c:v>
                </c:pt>
                <c:pt idx="622">
                  <c:v>45316</c:v>
                </c:pt>
                <c:pt idx="623">
                  <c:v>45315</c:v>
                </c:pt>
                <c:pt idx="624">
                  <c:v>45314</c:v>
                </c:pt>
                <c:pt idx="625">
                  <c:v>45313</c:v>
                </c:pt>
                <c:pt idx="626">
                  <c:v>45312</c:v>
                </c:pt>
                <c:pt idx="627">
                  <c:v>45311</c:v>
                </c:pt>
                <c:pt idx="628">
                  <c:v>45310</c:v>
                </c:pt>
                <c:pt idx="629">
                  <c:v>45309</c:v>
                </c:pt>
                <c:pt idx="630">
                  <c:v>45308</c:v>
                </c:pt>
                <c:pt idx="631">
                  <c:v>45307</c:v>
                </c:pt>
                <c:pt idx="632">
                  <c:v>45306</c:v>
                </c:pt>
                <c:pt idx="633">
                  <c:v>45305</c:v>
                </c:pt>
                <c:pt idx="634">
                  <c:v>45304</c:v>
                </c:pt>
                <c:pt idx="635">
                  <c:v>45303</c:v>
                </c:pt>
                <c:pt idx="636">
                  <c:v>45302</c:v>
                </c:pt>
                <c:pt idx="637">
                  <c:v>45301</c:v>
                </c:pt>
                <c:pt idx="638">
                  <c:v>45300</c:v>
                </c:pt>
                <c:pt idx="639">
                  <c:v>45299</c:v>
                </c:pt>
                <c:pt idx="640">
                  <c:v>45298</c:v>
                </c:pt>
                <c:pt idx="641">
                  <c:v>45297</c:v>
                </c:pt>
                <c:pt idx="642">
                  <c:v>45296</c:v>
                </c:pt>
                <c:pt idx="643">
                  <c:v>45295</c:v>
                </c:pt>
                <c:pt idx="644">
                  <c:v>45294</c:v>
                </c:pt>
                <c:pt idx="645">
                  <c:v>45293</c:v>
                </c:pt>
                <c:pt idx="646">
                  <c:v>45292</c:v>
                </c:pt>
                <c:pt idx="647">
                  <c:v>45291</c:v>
                </c:pt>
                <c:pt idx="648">
                  <c:v>45290</c:v>
                </c:pt>
                <c:pt idx="649">
                  <c:v>45289</c:v>
                </c:pt>
                <c:pt idx="650">
                  <c:v>45288</c:v>
                </c:pt>
                <c:pt idx="651">
                  <c:v>45287</c:v>
                </c:pt>
                <c:pt idx="652">
                  <c:v>45286</c:v>
                </c:pt>
                <c:pt idx="653">
                  <c:v>45285</c:v>
                </c:pt>
                <c:pt idx="654">
                  <c:v>45284</c:v>
                </c:pt>
                <c:pt idx="655">
                  <c:v>45283</c:v>
                </c:pt>
                <c:pt idx="656">
                  <c:v>45282</c:v>
                </c:pt>
                <c:pt idx="657">
                  <c:v>45281</c:v>
                </c:pt>
                <c:pt idx="658">
                  <c:v>45280</c:v>
                </c:pt>
                <c:pt idx="659">
                  <c:v>45279</c:v>
                </c:pt>
                <c:pt idx="660">
                  <c:v>45278</c:v>
                </c:pt>
                <c:pt idx="661">
                  <c:v>45277</c:v>
                </c:pt>
                <c:pt idx="662">
                  <c:v>45276</c:v>
                </c:pt>
                <c:pt idx="663">
                  <c:v>45275</c:v>
                </c:pt>
                <c:pt idx="664">
                  <c:v>45274</c:v>
                </c:pt>
                <c:pt idx="665">
                  <c:v>45273</c:v>
                </c:pt>
                <c:pt idx="666">
                  <c:v>45272</c:v>
                </c:pt>
                <c:pt idx="667">
                  <c:v>45271</c:v>
                </c:pt>
                <c:pt idx="668">
                  <c:v>45270</c:v>
                </c:pt>
                <c:pt idx="669">
                  <c:v>45269</c:v>
                </c:pt>
                <c:pt idx="670">
                  <c:v>45268</c:v>
                </c:pt>
                <c:pt idx="671">
                  <c:v>45267</c:v>
                </c:pt>
                <c:pt idx="672">
                  <c:v>45266</c:v>
                </c:pt>
                <c:pt idx="673">
                  <c:v>45265</c:v>
                </c:pt>
                <c:pt idx="674">
                  <c:v>45264</c:v>
                </c:pt>
                <c:pt idx="675">
                  <c:v>45263</c:v>
                </c:pt>
                <c:pt idx="676">
                  <c:v>45262</c:v>
                </c:pt>
                <c:pt idx="677">
                  <c:v>45261</c:v>
                </c:pt>
                <c:pt idx="678">
                  <c:v>45260</c:v>
                </c:pt>
                <c:pt idx="679">
                  <c:v>45259</c:v>
                </c:pt>
                <c:pt idx="680">
                  <c:v>45258</c:v>
                </c:pt>
                <c:pt idx="681">
                  <c:v>45257</c:v>
                </c:pt>
                <c:pt idx="682">
                  <c:v>45256</c:v>
                </c:pt>
                <c:pt idx="683">
                  <c:v>45255</c:v>
                </c:pt>
                <c:pt idx="684">
                  <c:v>45254</c:v>
                </c:pt>
                <c:pt idx="685">
                  <c:v>45253</c:v>
                </c:pt>
                <c:pt idx="686">
                  <c:v>45252</c:v>
                </c:pt>
                <c:pt idx="687">
                  <c:v>45251</c:v>
                </c:pt>
                <c:pt idx="688">
                  <c:v>45250</c:v>
                </c:pt>
                <c:pt idx="689">
                  <c:v>45249</c:v>
                </c:pt>
                <c:pt idx="690">
                  <c:v>45248</c:v>
                </c:pt>
                <c:pt idx="691">
                  <c:v>45247</c:v>
                </c:pt>
                <c:pt idx="692">
                  <c:v>45246</c:v>
                </c:pt>
                <c:pt idx="693">
                  <c:v>45245</c:v>
                </c:pt>
                <c:pt idx="694">
                  <c:v>45244</c:v>
                </c:pt>
                <c:pt idx="695">
                  <c:v>45243</c:v>
                </c:pt>
                <c:pt idx="696">
                  <c:v>45242</c:v>
                </c:pt>
                <c:pt idx="697">
                  <c:v>45241</c:v>
                </c:pt>
                <c:pt idx="698">
                  <c:v>45240</c:v>
                </c:pt>
                <c:pt idx="699">
                  <c:v>45239</c:v>
                </c:pt>
                <c:pt idx="700">
                  <c:v>45238</c:v>
                </c:pt>
                <c:pt idx="701">
                  <c:v>45237</c:v>
                </c:pt>
                <c:pt idx="702">
                  <c:v>45236</c:v>
                </c:pt>
                <c:pt idx="703">
                  <c:v>45235</c:v>
                </c:pt>
                <c:pt idx="704">
                  <c:v>45234</c:v>
                </c:pt>
                <c:pt idx="705">
                  <c:v>45233</c:v>
                </c:pt>
                <c:pt idx="706">
                  <c:v>45232</c:v>
                </c:pt>
                <c:pt idx="707">
                  <c:v>45231</c:v>
                </c:pt>
                <c:pt idx="708">
                  <c:v>45230</c:v>
                </c:pt>
                <c:pt idx="709">
                  <c:v>45229</c:v>
                </c:pt>
                <c:pt idx="710">
                  <c:v>45228</c:v>
                </c:pt>
                <c:pt idx="711">
                  <c:v>45227</c:v>
                </c:pt>
                <c:pt idx="712">
                  <c:v>45226</c:v>
                </c:pt>
                <c:pt idx="713">
                  <c:v>45225</c:v>
                </c:pt>
                <c:pt idx="714">
                  <c:v>45224</c:v>
                </c:pt>
                <c:pt idx="715">
                  <c:v>45223</c:v>
                </c:pt>
                <c:pt idx="716">
                  <c:v>45222</c:v>
                </c:pt>
                <c:pt idx="717">
                  <c:v>45221</c:v>
                </c:pt>
                <c:pt idx="718">
                  <c:v>45220</c:v>
                </c:pt>
                <c:pt idx="719">
                  <c:v>45219</c:v>
                </c:pt>
                <c:pt idx="720">
                  <c:v>45218</c:v>
                </c:pt>
                <c:pt idx="721">
                  <c:v>45217</c:v>
                </c:pt>
                <c:pt idx="722">
                  <c:v>45216</c:v>
                </c:pt>
                <c:pt idx="723">
                  <c:v>45215</c:v>
                </c:pt>
                <c:pt idx="724">
                  <c:v>45214</c:v>
                </c:pt>
                <c:pt idx="725">
                  <c:v>45213</c:v>
                </c:pt>
                <c:pt idx="726">
                  <c:v>45212</c:v>
                </c:pt>
                <c:pt idx="727">
                  <c:v>45211</c:v>
                </c:pt>
                <c:pt idx="728">
                  <c:v>45210</c:v>
                </c:pt>
                <c:pt idx="729">
                  <c:v>45209</c:v>
                </c:pt>
                <c:pt idx="730">
                  <c:v>45208</c:v>
                </c:pt>
                <c:pt idx="731">
                  <c:v>45207</c:v>
                </c:pt>
                <c:pt idx="732">
                  <c:v>45206</c:v>
                </c:pt>
                <c:pt idx="733">
                  <c:v>45205</c:v>
                </c:pt>
                <c:pt idx="734">
                  <c:v>45204</c:v>
                </c:pt>
                <c:pt idx="735">
                  <c:v>45203</c:v>
                </c:pt>
                <c:pt idx="736">
                  <c:v>45202</c:v>
                </c:pt>
                <c:pt idx="737">
                  <c:v>45201</c:v>
                </c:pt>
                <c:pt idx="738">
                  <c:v>45200</c:v>
                </c:pt>
                <c:pt idx="739">
                  <c:v>45199</c:v>
                </c:pt>
                <c:pt idx="740">
                  <c:v>45198</c:v>
                </c:pt>
                <c:pt idx="741">
                  <c:v>45197</c:v>
                </c:pt>
                <c:pt idx="742">
                  <c:v>45196</c:v>
                </c:pt>
                <c:pt idx="743">
                  <c:v>45195</c:v>
                </c:pt>
                <c:pt idx="744">
                  <c:v>45194</c:v>
                </c:pt>
                <c:pt idx="745">
                  <c:v>45193</c:v>
                </c:pt>
                <c:pt idx="746">
                  <c:v>45192</c:v>
                </c:pt>
                <c:pt idx="747">
                  <c:v>45191</c:v>
                </c:pt>
                <c:pt idx="748">
                  <c:v>45190</c:v>
                </c:pt>
                <c:pt idx="749">
                  <c:v>45189</c:v>
                </c:pt>
                <c:pt idx="750">
                  <c:v>45188</c:v>
                </c:pt>
                <c:pt idx="751">
                  <c:v>45187</c:v>
                </c:pt>
                <c:pt idx="752">
                  <c:v>45186</c:v>
                </c:pt>
                <c:pt idx="753">
                  <c:v>45185</c:v>
                </c:pt>
                <c:pt idx="754">
                  <c:v>45184</c:v>
                </c:pt>
                <c:pt idx="755">
                  <c:v>45183</c:v>
                </c:pt>
                <c:pt idx="756">
                  <c:v>45182</c:v>
                </c:pt>
                <c:pt idx="757">
                  <c:v>45181</c:v>
                </c:pt>
                <c:pt idx="758">
                  <c:v>45180</c:v>
                </c:pt>
                <c:pt idx="759">
                  <c:v>45179</c:v>
                </c:pt>
                <c:pt idx="760">
                  <c:v>45178</c:v>
                </c:pt>
                <c:pt idx="761">
                  <c:v>45177</c:v>
                </c:pt>
                <c:pt idx="762">
                  <c:v>45176</c:v>
                </c:pt>
                <c:pt idx="763">
                  <c:v>45175</c:v>
                </c:pt>
                <c:pt idx="764">
                  <c:v>45174</c:v>
                </c:pt>
                <c:pt idx="765">
                  <c:v>45173</c:v>
                </c:pt>
                <c:pt idx="766">
                  <c:v>45172</c:v>
                </c:pt>
                <c:pt idx="767">
                  <c:v>45171</c:v>
                </c:pt>
                <c:pt idx="768">
                  <c:v>45170</c:v>
                </c:pt>
                <c:pt idx="769">
                  <c:v>45169</c:v>
                </c:pt>
                <c:pt idx="770">
                  <c:v>45168</c:v>
                </c:pt>
                <c:pt idx="771">
                  <c:v>45167</c:v>
                </c:pt>
                <c:pt idx="772">
                  <c:v>45166</c:v>
                </c:pt>
                <c:pt idx="773">
                  <c:v>45165</c:v>
                </c:pt>
                <c:pt idx="774">
                  <c:v>45164</c:v>
                </c:pt>
                <c:pt idx="775">
                  <c:v>45163</c:v>
                </c:pt>
                <c:pt idx="776">
                  <c:v>45162</c:v>
                </c:pt>
                <c:pt idx="777">
                  <c:v>45161</c:v>
                </c:pt>
                <c:pt idx="778">
                  <c:v>45160</c:v>
                </c:pt>
                <c:pt idx="779">
                  <c:v>45159</c:v>
                </c:pt>
                <c:pt idx="780">
                  <c:v>45158</c:v>
                </c:pt>
                <c:pt idx="781">
                  <c:v>45157</c:v>
                </c:pt>
                <c:pt idx="782">
                  <c:v>45156</c:v>
                </c:pt>
                <c:pt idx="783">
                  <c:v>45155</c:v>
                </c:pt>
                <c:pt idx="784">
                  <c:v>45154</c:v>
                </c:pt>
                <c:pt idx="785">
                  <c:v>45153</c:v>
                </c:pt>
                <c:pt idx="786">
                  <c:v>45152</c:v>
                </c:pt>
                <c:pt idx="787">
                  <c:v>45151</c:v>
                </c:pt>
                <c:pt idx="788">
                  <c:v>45150</c:v>
                </c:pt>
                <c:pt idx="789">
                  <c:v>45149</c:v>
                </c:pt>
                <c:pt idx="790">
                  <c:v>45148</c:v>
                </c:pt>
                <c:pt idx="791">
                  <c:v>45147</c:v>
                </c:pt>
                <c:pt idx="792">
                  <c:v>45146</c:v>
                </c:pt>
                <c:pt idx="793">
                  <c:v>45145</c:v>
                </c:pt>
                <c:pt idx="794">
                  <c:v>45144</c:v>
                </c:pt>
                <c:pt idx="795">
                  <c:v>45143</c:v>
                </c:pt>
                <c:pt idx="796">
                  <c:v>45142</c:v>
                </c:pt>
                <c:pt idx="797">
                  <c:v>45141</c:v>
                </c:pt>
                <c:pt idx="798">
                  <c:v>45140</c:v>
                </c:pt>
                <c:pt idx="799">
                  <c:v>45139</c:v>
                </c:pt>
                <c:pt idx="800">
                  <c:v>45138</c:v>
                </c:pt>
                <c:pt idx="801">
                  <c:v>45137</c:v>
                </c:pt>
                <c:pt idx="802">
                  <c:v>45136</c:v>
                </c:pt>
                <c:pt idx="803">
                  <c:v>45135</c:v>
                </c:pt>
                <c:pt idx="804">
                  <c:v>45134</c:v>
                </c:pt>
                <c:pt idx="805">
                  <c:v>45133</c:v>
                </c:pt>
                <c:pt idx="806">
                  <c:v>45132</c:v>
                </c:pt>
                <c:pt idx="807">
                  <c:v>45131</c:v>
                </c:pt>
                <c:pt idx="808">
                  <c:v>45130</c:v>
                </c:pt>
                <c:pt idx="809">
                  <c:v>45129</c:v>
                </c:pt>
                <c:pt idx="810">
                  <c:v>45128</c:v>
                </c:pt>
                <c:pt idx="811">
                  <c:v>45127</c:v>
                </c:pt>
                <c:pt idx="812">
                  <c:v>45126</c:v>
                </c:pt>
                <c:pt idx="813">
                  <c:v>45125</c:v>
                </c:pt>
                <c:pt idx="814">
                  <c:v>45124</c:v>
                </c:pt>
                <c:pt idx="815">
                  <c:v>45123</c:v>
                </c:pt>
                <c:pt idx="816">
                  <c:v>45122</c:v>
                </c:pt>
                <c:pt idx="817">
                  <c:v>45121</c:v>
                </c:pt>
                <c:pt idx="818">
                  <c:v>45120</c:v>
                </c:pt>
                <c:pt idx="819">
                  <c:v>45119</c:v>
                </c:pt>
                <c:pt idx="820">
                  <c:v>45118</c:v>
                </c:pt>
                <c:pt idx="821">
                  <c:v>45117</c:v>
                </c:pt>
                <c:pt idx="822">
                  <c:v>45116</c:v>
                </c:pt>
                <c:pt idx="823">
                  <c:v>45115</c:v>
                </c:pt>
                <c:pt idx="824">
                  <c:v>45114</c:v>
                </c:pt>
                <c:pt idx="825">
                  <c:v>45113</c:v>
                </c:pt>
                <c:pt idx="826">
                  <c:v>45112</c:v>
                </c:pt>
                <c:pt idx="827">
                  <c:v>45111</c:v>
                </c:pt>
                <c:pt idx="828">
                  <c:v>45110</c:v>
                </c:pt>
                <c:pt idx="829">
                  <c:v>45109</c:v>
                </c:pt>
                <c:pt idx="830">
                  <c:v>45108</c:v>
                </c:pt>
                <c:pt idx="831">
                  <c:v>45107</c:v>
                </c:pt>
                <c:pt idx="832">
                  <c:v>45106</c:v>
                </c:pt>
                <c:pt idx="833">
                  <c:v>45105</c:v>
                </c:pt>
                <c:pt idx="834">
                  <c:v>45104</c:v>
                </c:pt>
                <c:pt idx="835">
                  <c:v>45103</c:v>
                </c:pt>
                <c:pt idx="836">
                  <c:v>45102</c:v>
                </c:pt>
                <c:pt idx="837">
                  <c:v>45101</c:v>
                </c:pt>
                <c:pt idx="838">
                  <c:v>45100</c:v>
                </c:pt>
                <c:pt idx="839">
                  <c:v>45099</c:v>
                </c:pt>
                <c:pt idx="840">
                  <c:v>45098</c:v>
                </c:pt>
                <c:pt idx="841">
                  <c:v>45097</c:v>
                </c:pt>
                <c:pt idx="842">
                  <c:v>45096</c:v>
                </c:pt>
                <c:pt idx="843">
                  <c:v>45095</c:v>
                </c:pt>
                <c:pt idx="844">
                  <c:v>45094</c:v>
                </c:pt>
                <c:pt idx="845">
                  <c:v>45093</c:v>
                </c:pt>
                <c:pt idx="846">
                  <c:v>45092</c:v>
                </c:pt>
                <c:pt idx="847">
                  <c:v>45091</c:v>
                </c:pt>
                <c:pt idx="848">
                  <c:v>45090</c:v>
                </c:pt>
                <c:pt idx="849">
                  <c:v>45089</c:v>
                </c:pt>
                <c:pt idx="850">
                  <c:v>45088</c:v>
                </c:pt>
                <c:pt idx="851">
                  <c:v>45087</c:v>
                </c:pt>
                <c:pt idx="852">
                  <c:v>45086</c:v>
                </c:pt>
                <c:pt idx="853">
                  <c:v>45085</c:v>
                </c:pt>
                <c:pt idx="854">
                  <c:v>45084</c:v>
                </c:pt>
                <c:pt idx="855">
                  <c:v>45083</c:v>
                </c:pt>
                <c:pt idx="856">
                  <c:v>45082</c:v>
                </c:pt>
                <c:pt idx="857">
                  <c:v>45081</c:v>
                </c:pt>
                <c:pt idx="858">
                  <c:v>45080</c:v>
                </c:pt>
                <c:pt idx="859">
                  <c:v>45079</c:v>
                </c:pt>
                <c:pt idx="860">
                  <c:v>45078</c:v>
                </c:pt>
                <c:pt idx="861">
                  <c:v>45077</c:v>
                </c:pt>
                <c:pt idx="862">
                  <c:v>45076</c:v>
                </c:pt>
                <c:pt idx="863">
                  <c:v>45075</c:v>
                </c:pt>
                <c:pt idx="864">
                  <c:v>45074</c:v>
                </c:pt>
                <c:pt idx="865">
                  <c:v>45073</c:v>
                </c:pt>
                <c:pt idx="866">
                  <c:v>45072</c:v>
                </c:pt>
                <c:pt idx="867">
                  <c:v>45071</c:v>
                </c:pt>
                <c:pt idx="868">
                  <c:v>45070</c:v>
                </c:pt>
                <c:pt idx="869">
                  <c:v>45069</c:v>
                </c:pt>
                <c:pt idx="870">
                  <c:v>45068</c:v>
                </c:pt>
                <c:pt idx="871">
                  <c:v>45067</c:v>
                </c:pt>
                <c:pt idx="872">
                  <c:v>45066</c:v>
                </c:pt>
                <c:pt idx="873">
                  <c:v>45065</c:v>
                </c:pt>
                <c:pt idx="874">
                  <c:v>45064</c:v>
                </c:pt>
                <c:pt idx="875">
                  <c:v>45063</c:v>
                </c:pt>
                <c:pt idx="876">
                  <c:v>45062</c:v>
                </c:pt>
                <c:pt idx="877">
                  <c:v>45061</c:v>
                </c:pt>
                <c:pt idx="878">
                  <c:v>45060</c:v>
                </c:pt>
                <c:pt idx="879">
                  <c:v>45059</c:v>
                </c:pt>
                <c:pt idx="880">
                  <c:v>45058</c:v>
                </c:pt>
                <c:pt idx="881">
                  <c:v>45057</c:v>
                </c:pt>
                <c:pt idx="882">
                  <c:v>45056</c:v>
                </c:pt>
                <c:pt idx="883">
                  <c:v>45055</c:v>
                </c:pt>
                <c:pt idx="884">
                  <c:v>45054</c:v>
                </c:pt>
                <c:pt idx="885">
                  <c:v>45053</c:v>
                </c:pt>
                <c:pt idx="886">
                  <c:v>45052</c:v>
                </c:pt>
                <c:pt idx="887">
                  <c:v>45051</c:v>
                </c:pt>
                <c:pt idx="888">
                  <c:v>45050</c:v>
                </c:pt>
                <c:pt idx="889">
                  <c:v>45049</c:v>
                </c:pt>
                <c:pt idx="890">
                  <c:v>45048</c:v>
                </c:pt>
                <c:pt idx="891">
                  <c:v>45047</c:v>
                </c:pt>
                <c:pt idx="892">
                  <c:v>45046</c:v>
                </c:pt>
                <c:pt idx="893">
                  <c:v>45045</c:v>
                </c:pt>
                <c:pt idx="894">
                  <c:v>45044</c:v>
                </c:pt>
                <c:pt idx="895">
                  <c:v>45043</c:v>
                </c:pt>
                <c:pt idx="896">
                  <c:v>45042</c:v>
                </c:pt>
                <c:pt idx="897">
                  <c:v>45041</c:v>
                </c:pt>
                <c:pt idx="898">
                  <c:v>45040</c:v>
                </c:pt>
                <c:pt idx="899">
                  <c:v>45039</c:v>
                </c:pt>
                <c:pt idx="900">
                  <c:v>45038</c:v>
                </c:pt>
                <c:pt idx="901">
                  <c:v>45037</c:v>
                </c:pt>
                <c:pt idx="902">
                  <c:v>45036</c:v>
                </c:pt>
                <c:pt idx="903">
                  <c:v>45035</c:v>
                </c:pt>
                <c:pt idx="904">
                  <c:v>45034</c:v>
                </c:pt>
                <c:pt idx="905">
                  <c:v>45033</c:v>
                </c:pt>
                <c:pt idx="906">
                  <c:v>45032</c:v>
                </c:pt>
                <c:pt idx="907">
                  <c:v>45031</c:v>
                </c:pt>
                <c:pt idx="908">
                  <c:v>45030</c:v>
                </c:pt>
                <c:pt idx="909">
                  <c:v>45029</c:v>
                </c:pt>
                <c:pt idx="910">
                  <c:v>45028</c:v>
                </c:pt>
                <c:pt idx="911">
                  <c:v>45027</c:v>
                </c:pt>
                <c:pt idx="912">
                  <c:v>45026</c:v>
                </c:pt>
                <c:pt idx="913">
                  <c:v>45025</c:v>
                </c:pt>
                <c:pt idx="914">
                  <c:v>45024</c:v>
                </c:pt>
                <c:pt idx="915">
                  <c:v>45023</c:v>
                </c:pt>
                <c:pt idx="916">
                  <c:v>45022</c:v>
                </c:pt>
                <c:pt idx="917">
                  <c:v>45021</c:v>
                </c:pt>
                <c:pt idx="918">
                  <c:v>45020</c:v>
                </c:pt>
                <c:pt idx="919">
                  <c:v>45019</c:v>
                </c:pt>
                <c:pt idx="920">
                  <c:v>45018</c:v>
                </c:pt>
                <c:pt idx="921">
                  <c:v>45017</c:v>
                </c:pt>
                <c:pt idx="922">
                  <c:v>45016</c:v>
                </c:pt>
                <c:pt idx="923">
                  <c:v>45015</c:v>
                </c:pt>
                <c:pt idx="924">
                  <c:v>45014</c:v>
                </c:pt>
                <c:pt idx="925">
                  <c:v>45013</c:v>
                </c:pt>
                <c:pt idx="926">
                  <c:v>45012</c:v>
                </c:pt>
                <c:pt idx="927">
                  <c:v>45011</c:v>
                </c:pt>
                <c:pt idx="928">
                  <c:v>45010</c:v>
                </c:pt>
                <c:pt idx="929">
                  <c:v>45009</c:v>
                </c:pt>
                <c:pt idx="930">
                  <c:v>45008</c:v>
                </c:pt>
                <c:pt idx="931">
                  <c:v>45007</c:v>
                </c:pt>
                <c:pt idx="932">
                  <c:v>45006</c:v>
                </c:pt>
                <c:pt idx="933">
                  <c:v>45005</c:v>
                </c:pt>
                <c:pt idx="934">
                  <c:v>45004</c:v>
                </c:pt>
                <c:pt idx="935">
                  <c:v>45003</c:v>
                </c:pt>
                <c:pt idx="936">
                  <c:v>45002</c:v>
                </c:pt>
                <c:pt idx="937">
                  <c:v>45001</c:v>
                </c:pt>
                <c:pt idx="938">
                  <c:v>45000</c:v>
                </c:pt>
                <c:pt idx="939">
                  <c:v>44999</c:v>
                </c:pt>
                <c:pt idx="940">
                  <c:v>44998</c:v>
                </c:pt>
                <c:pt idx="941">
                  <c:v>44997</c:v>
                </c:pt>
                <c:pt idx="942">
                  <c:v>44996</c:v>
                </c:pt>
                <c:pt idx="943">
                  <c:v>44995</c:v>
                </c:pt>
                <c:pt idx="944">
                  <c:v>44994</c:v>
                </c:pt>
                <c:pt idx="945">
                  <c:v>44993</c:v>
                </c:pt>
                <c:pt idx="946">
                  <c:v>44992</c:v>
                </c:pt>
                <c:pt idx="947">
                  <c:v>44991</c:v>
                </c:pt>
                <c:pt idx="948">
                  <c:v>44990</c:v>
                </c:pt>
                <c:pt idx="949">
                  <c:v>44989</c:v>
                </c:pt>
                <c:pt idx="950">
                  <c:v>44988</c:v>
                </c:pt>
                <c:pt idx="951">
                  <c:v>44987</c:v>
                </c:pt>
                <c:pt idx="952">
                  <c:v>44986</c:v>
                </c:pt>
                <c:pt idx="953">
                  <c:v>44985</c:v>
                </c:pt>
                <c:pt idx="954">
                  <c:v>44984</c:v>
                </c:pt>
                <c:pt idx="955">
                  <c:v>44983</c:v>
                </c:pt>
                <c:pt idx="956">
                  <c:v>44982</c:v>
                </c:pt>
                <c:pt idx="957">
                  <c:v>44981</c:v>
                </c:pt>
                <c:pt idx="958">
                  <c:v>44980</c:v>
                </c:pt>
                <c:pt idx="959">
                  <c:v>44979</c:v>
                </c:pt>
                <c:pt idx="960">
                  <c:v>44978</c:v>
                </c:pt>
                <c:pt idx="961">
                  <c:v>44977</c:v>
                </c:pt>
                <c:pt idx="962">
                  <c:v>44976</c:v>
                </c:pt>
                <c:pt idx="963">
                  <c:v>44975</c:v>
                </c:pt>
                <c:pt idx="964">
                  <c:v>44974</c:v>
                </c:pt>
                <c:pt idx="965">
                  <c:v>44973</c:v>
                </c:pt>
                <c:pt idx="966">
                  <c:v>44972</c:v>
                </c:pt>
                <c:pt idx="967">
                  <c:v>44971</c:v>
                </c:pt>
                <c:pt idx="968">
                  <c:v>44970</c:v>
                </c:pt>
                <c:pt idx="969">
                  <c:v>44969</c:v>
                </c:pt>
                <c:pt idx="970">
                  <c:v>44968</c:v>
                </c:pt>
                <c:pt idx="971">
                  <c:v>44967</c:v>
                </c:pt>
                <c:pt idx="972">
                  <c:v>44966</c:v>
                </c:pt>
                <c:pt idx="973">
                  <c:v>44965</c:v>
                </c:pt>
                <c:pt idx="974">
                  <c:v>44964</c:v>
                </c:pt>
                <c:pt idx="975">
                  <c:v>44963</c:v>
                </c:pt>
                <c:pt idx="976">
                  <c:v>44962</c:v>
                </c:pt>
                <c:pt idx="977">
                  <c:v>44961</c:v>
                </c:pt>
                <c:pt idx="978">
                  <c:v>44960</c:v>
                </c:pt>
                <c:pt idx="979">
                  <c:v>44959</c:v>
                </c:pt>
                <c:pt idx="980">
                  <c:v>44958</c:v>
                </c:pt>
                <c:pt idx="981">
                  <c:v>44957</c:v>
                </c:pt>
                <c:pt idx="982">
                  <c:v>44956</c:v>
                </c:pt>
                <c:pt idx="983">
                  <c:v>44955</c:v>
                </c:pt>
                <c:pt idx="984">
                  <c:v>44954</c:v>
                </c:pt>
                <c:pt idx="985">
                  <c:v>44953</c:v>
                </c:pt>
                <c:pt idx="986">
                  <c:v>44952</c:v>
                </c:pt>
                <c:pt idx="987">
                  <c:v>44951</c:v>
                </c:pt>
                <c:pt idx="988">
                  <c:v>44950</c:v>
                </c:pt>
                <c:pt idx="989">
                  <c:v>44949</c:v>
                </c:pt>
                <c:pt idx="990">
                  <c:v>44948</c:v>
                </c:pt>
                <c:pt idx="991">
                  <c:v>44947</c:v>
                </c:pt>
                <c:pt idx="992">
                  <c:v>44946</c:v>
                </c:pt>
                <c:pt idx="993">
                  <c:v>44945</c:v>
                </c:pt>
                <c:pt idx="994">
                  <c:v>44944</c:v>
                </c:pt>
                <c:pt idx="995">
                  <c:v>44943</c:v>
                </c:pt>
                <c:pt idx="996">
                  <c:v>44942</c:v>
                </c:pt>
                <c:pt idx="997">
                  <c:v>44941</c:v>
                </c:pt>
                <c:pt idx="998">
                  <c:v>44940</c:v>
                </c:pt>
                <c:pt idx="999">
                  <c:v>44939</c:v>
                </c:pt>
                <c:pt idx="1000">
                  <c:v>44938</c:v>
                </c:pt>
                <c:pt idx="1001">
                  <c:v>44937</c:v>
                </c:pt>
                <c:pt idx="1002">
                  <c:v>44936</c:v>
                </c:pt>
                <c:pt idx="1003">
                  <c:v>44935</c:v>
                </c:pt>
                <c:pt idx="1004">
                  <c:v>44934</c:v>
                </c:pt>
                <c:pt idx="1005">
                  <c:v>44933</c:v>
                </c:pt>
                <c:pt idx="1006">
                  <c:v>44932</c:v>
                </c:pt>
                <c:pt idx="1007">
                  <c:v>44931</c:v>
                </c:pt>
                <c:pt idx="1008">
                  <c:v>44930</c:v>
                </c:pt>
                <c:pt idx="1009">
                  <c:v>44929</c:v>
                </c:pt>
                <c:pt idx="1010">
                  <c:v>44928</c:v>
                </c:pt>
                <c:pt idx="1011">
                  <c:v>44927</c:v>
                </c:pt>
                <c:pt idx="1012">
                  <c:v>44926</c:v>
                </c:pt>
                <c:pt idx="1013">
                  <c:v>44925</c:v>
                </c:pt>
                <c:pt idx="1014">
                  <c:v>44924</c:v>
                </c:pt>
                <c:pt idx="1015">
                  <c:v>44923</c:v>
                </c:pt>
                <c:pt idx="1016">
                  <c:v>44922</c:v>
                </c:pt>
                <c:pt idx="1017">
                  <c:v>44921</c:v>
                </c:pt>
                <c:pt idx="1018">
                  <c:v>44920</c:v>
                </c:pt>
                <c:pt idx="1019">
                  <c:v>44919</c:v>
                </c:pt>
                <c:pt idx="1020">
                  <c:v>44918</c:v>
                </c:pt>
                <c:pt idx="1021">
                  <c:v>44917</c:v>
                </c:pt>
                <c:pt idx="1022">
                  <c:v>44916</c:v>
                </c:pt>
                <c:pt idx="1023">
                  <c:v>44915</c:v>
                </c:pt>
                <c:pt idx="1024">
                  <c:v>44914</c:v>
                </c:pt>
                <c:pt idx="1025">
                  <c:v>44913</c:v>
                </c:pt>
                <c:pt idx="1026">
                  <c:v>44912</c:v>
                </c:pt>
                <c:pt idx="1027">
                  <c:v>44911</c:v>
                </c:pt>
                <c:pt idx="1028">
                  <c:v>44910</c:v>
                </c:pt>
                <c:pt idx="1029">
                  <c:v>44909</c:v>
                </c:pt>
                <c:pt idx="1030">
                  <c:v>44908</c:v>
                </c:pt>
                <c:pt idx="1031">
                  <c:v>44907</c:v>
                </c:pt>
                <c:pt idx="1032">
                  <c:v>44906</c:v>
                </c:pt>
                <c:pt idx="1033">
                  <c:v>44905</c:v>
                </c:pt>
                <c:pt idx="1034">
                  <c:v>44904</c:v>
                </c:pt>
                <c:pt idx="1035">
                  <c:v>44903</c:v>
                </c:pt>
                <c:pt idx="1036">
                  <c:v>44902</c:v>
                </c:pt>
                <c:pt idx="1037">
                  <c:v>44901</c:v>
                </c:pt>
                <c:pt idx="1038">
                  <c:v>44900</c:v>
                </c:pt>
                <c:pt idx="1039">
                  <c:v>44899</c:v>
                </c:pt>
                <c:pt idx="1040">
                  <c:v>44898</c:v>
                </c:pt>
                <c:pt idx="1041">
                  <c:v>44897</c:v>
                </c:pt>
                <c:pt idx="1042">
                  <c:v>44896</c:v>
                </c:pt>
                <c:pt idx="1043">
                  <c:v>44895</c:v>
                </c:pt>
                <c:pt idx="1044">
                  <c:v>44894</c:v>
                </c:pt>
              </c:numCache>
            </c:numRef>
          </c:cat>
          <c:val>
            <c:numRef>
              <c:f>'Stock Data'!$AN$4:$AN$1048</c:f>
              <c:numCache>
                <c:formatCode>#,##0.00_);\(#,##0.00\)</c:formatCode>
                <c:ptCount val="1045"/>
                <c:pt idx="0">
                  <c:v>225</c:v>
                </c:pt>
                <c:pt idx="1">
                  <c:v>225</c:v>
                </c:pt>
                <c:pt idx="2">
                  <c:v>227.72</c:v>
                </c:pt>
                <c:pt idx="3">
                  <c:v>227.72</c:v>
                </c:pt>
                <c:pt idx="4">
                  <c:v>227.72</c:v>
                </c:pt>
                <c:pt idx="5">
                  <c:v>225.28</c:v>
                </c:pt>
                <c:pt idx="6">
                  <c:v>225.34</c:v>
                </c:pt>
                <c:pt idx="7">
                  <c:v>224.18</c:v>
                </c:pt>
                <c:pt idx="8">
                  <c:v>231.07</c:v>
                </c:pt>
                <c:pt idx="9">
                  <c:v>231.07</c:v>
                </c:pt>
                <c:pt idx="10">
                  <c:v>231.07</c:v>
                </c:pt>
                <c:pt idx="11">
                  <c:v>231.07</c:v>
                </c:pt>
                <c:pt idx="12">
                  <c:v>231.27</c:v>
                </c:pt>
                <c:pt idx="13">
                  <c:v>232.21</c:v>
                </c:pt>
                <c:pt idx="14">
                  <c:v>231.1</c:v>
                </c:pt>
                <c:pt idx="15">
                  <c:v>233</c:v>
                </c:pt>
                <c:pt idx="16">
                  <c:v>236.8</c:v>
                </c:pt>
                <c:pt idx="17">
                  <c:v>236.8</c:v>
                </c:pt>
                <c:pt idx="18">
                  <c:v>236.8</c:v>
                </c:pt>
                <c:pt idx="19">
                  <c:v>225.28</c:v>
                </c:pt>
                <c:pt idx="20">
                  <c:v>227.21</c:v>
                </c:pt>
                <c:pt idx="21">
                  <c:v>233.13</c:v>
                </c:pt>
                <c:pt idx="22">
                  <c:v>227.72</c:v>
                </c:pt>
                <c:pt idx="23">
                  <c:v>227.26</c:v>
                </c:pt>
                <c:pt idx="24">
                  <c:v>227.26</c:v>
                </c:pt>
                <c:pt idx="25">
                  <c:v>227.26</c:v>
                </c:pt>
                <c:pt idx="26">
                  <c:v>231.07</c:v>
                </c:pt>
                <c:pt idx="27">
                  <c:v>230.5</c:v>
                </c:pt>
                <c:pt idx="28">
                  <c:v>230.42</c:v>
                </c:pt>
                <c:pt idx="29">
                  <c:v>224.61</c:v>
                </c:pt>
                <c:pt idx="30">
                  <c:v>228.05</c:v>
                </c:pt>
                <c:pt idx="31">
                  <c:v>228.05</c:v>
                </c:pt>
                <c:pt idx="32">
                  <c:v>228.05</c:v>
                </c:pt>
                <c:pt idx="33">
                  <c:v>224.66</c:v>
                </c:pt>
                <c:pt idx="34">
                  <c:v>226.45</c:v>
                </c:pt>
                <c:pt idx="35">
                  <c:v>222.41</c:v>
                </c:pt>
                <c:pt idx="36">
                  <c:v>217.49</c:v>
                </c:pt>
                <c:pt idx="37">
                  <c:v>217.1</c:v>
                </c:pt>
                <c:pt idx="38">
                  <c:v>217.1</c:v>
                </c:pt>
                <c:pt idx="39">
                  <c:v>217.1</c:v>
                </c:pt>
                <c:pt idx="40">
                  <c:v>223.49</c:v>
                </c:pt>
                <c:pt idx="41">
                  <c:v>223.86</c:v>
                </c:pt>
                <c:pt idx="42">
                  <c:v>234.54</c:v>
                </c:pt>
                <c:pt idx="43">
                  <c:v>242.41</c:v>
                </c:pt>
                <c:pt idx="44">
                  <c:v>243.2</c:v>
                </c:pt>
                <c:pt idx="45">
                  <c:v>243.2</c:v>
                </c:pt>
                <c:pt idx="46">
                  <c:v>243.2</c:v>
                </c:pt>
                <c:pt idx="47">
                  <c:v>236.51</c:v>
                </c:pt>
                <c:pt idx="48">
                  <c:v>237.9</c:v>
                </c:pt>
                <c:pt idx="49">
                  <c:v>231.7</c:v>
                </c:pt>
                <c:pt idx="50">
                  <c:v>225.73</c:v>
                </c:pt>
                <c:pt idx="51">
                  <c:v>226.62</c:v>
                </c:pt>
                <c:pt idx="52">
                  <c:v>226.62</c:v>
                </c:pt>
                <c:pt idx="53">
                  <c:v>226.62</c:v>
                </c:pt>
                <c:pt idx="54">
                  <c:v>228.37</c:v>
                </c:pt>
                <c:pt idx="55">
                  <c:v>228.75</c:v>
                </c:pt>
                <c:pt idx="56">
                  <c:v>230.66</c:v>
                </c:pt>
                <c:pt idx="57">
                  <c:v>233.98</c:v>
                </c:pt>
                <c:pt idx="58">
                  <c:v>236.06</c:v>
                </c:pt>
                <c:pt idx="59">
                  <c:v>236.06</c:v>
                </c:pt>
                <c:pt idx="60">
                  <c:v>236.06</c:v>
                </c:pt>
                <c:pt idx="61">
                  <c:v>238.73</c:v>
                </c:pt>
                <c:pt idx="62">
                  <c:v>236.51</c:v>
                </c:pt>
                <c:pt idx="63">
                  <c:v>238.71</c:v>
                </c:pt>
                <c:pt idx="64">
                  <c:v>235.09</c:v>
                </c:pt>
                <c:pt idx="65">
                  <c:v>241.23</c:v>
                </c:pt>
                <c:pt idx="66">
                  <c:v>241.23</c:v>
                </c:pt>
                <c:pt idx="67">
                  <c:v>241.23</c:v>
                </c:pt>
                <c:pt idx="68">
                  <c:v>241.23</c:v>
                </c:pt>
                <c:pt idx="69">
                  <c:v>239.14</c:v>
                </c:pt>
                <c:pt idx="70">
                  <c:v>234.33</c:v>
                </c:pt>
                <c:pt idx="71">
                  <c:v>227.31</c:v>
                </c:pt>
                <c:pt idx="72">
                  <c:v>228.91</c:v>
                </c:pt>
                <c:pt idx="73">
                  <c:v>228.91</c:v>
                </c:pt>
                <c:pt idx="74">
                  <c:v>228.91</c:v>
                </c:pt>
                <c:pt idx="75">
                  <c:v>221.07</c:v>
                </c:pt>
                <c:pt idx="76">
                  <c:v>222</c:v>
                </c:pt>
                <c:pt idx="77">
                  <c:v>229.51</c:v>
                </c:pt>
                <c:pt idx="78">
                  <c:v>229.23</c:v>
                </c:pt>
                <c:pt idx="79">
                  <c:v>226.04</c:v>
                </c:pt>
                <c:pt idx="80">
                  <c:v>226.04</c:v>
                </c:pt>
                <c:pt idx="81">
                  <c:v>226.04</c:v>
                </c:pt>
                <c:pt idx="82">
                  <c:v>223.3</c:v>
                </c:pt>
                <c:pt idx="83">
                  <c:v>223.3</c:v>
                </c:pt>
                <c:pt idx="84">
                  <c:v>222.53</c:v>
                </c:pt>
                <c:pt idx="85">
                  <c:v>226.77</c:v>
                </c:pt>
                <c:pt idx="86">
                  <c:v>224.38</c:v>
                </c:pt>
                <c:pt idx="87">
                  <c:v>224.38</c:v>
                </c:pt>
                <c:pt idx="88">
                  <c:v>224.38</c:v>
                </c:pt>
                <c:pt idx="89">
                  <c:v>225</c:v>
                </c:pt>
                <c:pt idx="90">
                  <c:v>224</c:v>
                </c:pt>
                <c:pt idx="91">
                  <c:v>227.96</c:v>
                </c:pt>
                <c:pt idx="92">
                  <c:v>222.18</c:v>
                </c:pt>
                <c:pt idx="93">
                  <c:v>219.61</c:v>
                </c:pt>
                <c:pt idx="94">
                  <c:v>219.61</c:v>
                </c:pt>
                <c:pt idx="95">
                  <c:v>219.61</c:v>
                </c:pt>
                <c:pt idx="96">
                  <c:v>216.73</c:v>
                </c:pt>
                <c:pt idx="97">
                  <c:v>218.89</c:v>
                </c:pt>
                <c:pt idx="98">
                  <c:v>219.78</c:v>
                </c:pt>
                <c:pt idx="99">
                  <c:v>217.89</c:v>
                </c:pt>
                <c:pt idx="100">
                  <c:v>218.1</c:v>
                </c:pt>
                <c:pt idx="101">
                  <c:v>218.1</c:v>
                </c:pt>
                <c:pt idx="102">
                  <c:v>218.1</c:v>
                </c:pt>
                <c:pt idx="103">
                  <c:v>220.26</c:v>
                </c:pt>
                <c:pt idx="104">
                  <c:v>217.15</c:v>
                </c:pt>
                <c:pt idx="105">
                  <c:v>219.76</c:v>
                </c:pt>
                <c:pt idx="106">
                  <c:v>216.61</c:v>
                </c:pt>
                <c:pt idx="107">
                  <c:v>216.61</c:v>
                </c:pt>
                <c:pt idx="108">
                  <c:v>216.61</c:v>
                </c:pt>
                <c:pt idx="109">
                  <c:v>216.61</c:v>
                </c:pt>
                <c:pt idx="110">
                  <c:v>218.81</c:v>
                </c:pt>
                <c:pt idx="111">
                  <c:v>216.81</c:v>
                </c:pt>
                <c:pt idx="112">
                  <c:v>221.14</c:v>
                </c:pt>
                <c:pt idx="113">
                  <c:v>226.12</c:v>
                </c:pt>
                <c:pt idx="114">
                  <c:v>229.51</c:v>
                </c:pt>
                <c:pt idx="115">
                  <c:v>229.51</c:v>
                </c:pt>
                <c:pt idx="116">
                  <c:v>229.51</c:v>
                </c:pt>
                <c:pt idx="117">
                  <c:v>231.11</c:v>
                </c:pt>
                <c:pt idx="118">
                  <c:v>231.8</c:v>
                </c:pt>
                <c:pt idx="119">
                  <c:v>231.15</c:v>
                </c:pt>
                <c:pt idx="120">
                  <c:v>232.95</c:v>
                </c:pt>
                <c:pt idx="121">
                  <c:v>217.83</c:v>
                </c:pt>
                <c:pt idx="122">
                  <c:v>217.83</c:v>
                </c:pt>
                <c:pt idx="123">
                  <c:v>217.83</c:v>
                </c:pt>
                <c:pt idx="124">
                  <c:v>219.21</c:v>
                </c:pt>
                <c:pt idx="125">
                  <c:v>215.56</c:v>
                </c:pt>
                <c:pt idx="126">
                  <c:v>213.41</c:v>
                </c:pt>
                <c:pt idx="127">
                  <c:v>216.99</c:v>
                </c:pt>
                <c:pt idx="128">
                  <c:v>219.72</c:v>
                </c:pt>
                <c:pt idx="129">
                  <c:v>219.72</c:v>
                </c:pt>
                <c:pt idx="130">
                  <c:v>219.72</c:v>
                </c:pt>
                <c:pt idx="131">
                  <c:v>210.06</c:v>
                </c:pt>
                <c:pt idx="132">
                  <c:v>210.33</c:v>
                </c:pt>
                <c:pt idx="133">
                  <c:v>209.85</c:v>
                </c:pt>
                <c:pt idx="134">
                  <c:v>211.5</c:v>
                </c:pt>
                <c:pt idx="135">
                  <c:v>211.56</c:v>
                </c:pt>
                <c:pt idx="136">
                  <c:v>211.56</c:v>
                </c:pt>
                <c:pt idx="137">
                  <c:v>211.56</c:v>
                </c:pt>
                <c:pt idx="138">
                  <c:v>215.69</c:v>
                </c:pt>
                <c:pt idx="139">
                  <c:v>211.04</c:v>
                </c:pt>
                <c:pt idx="140">
                  <c:v>206.57</c:v>
                </c:pt>
                <c:pt idx="141">
                  <c:v>205.12</c:v>
                </c:pt>
                <c:pt idx="142">
                  <c:v>207.55</c:v>
                </c:pt>
                <c:pt idx="143">
                  <c:v>207.55</c:v>
                </c:pt>
                <c:pt idx="144">
                  <c:v>207.55</c:v>
                </c:pt>
                <c:pt idx="145">
                  <c:v>207.55</c:v>
                </c:pt>
                <c:pt idx="146">
                  <c:v>203.56</c:v>
                </c:pt>
                <c:pt idx="147">
                  <c:v>207.35</c:v>
                </c:pt>
                <c:pt idx="148">
                  <c:v>210.45</c:v>
                </c:pt>
                <c:pt idx="149">
                  <c:v>207.77</c:v>
                </c:pt>
                <c:pt idx="150">
                  <c:v>207.77</c:v>
                </c:pt>
                <c:pt idx="151">
                  <c:v>207.77</c:v>
                </c:pt>
                <c:pt idx="152">
                  <c:v>206.4</c:v>
                </c:pt>
                <c:pt idx="153">
                  <c:v>217.94</c:v>
                </c:pt>
                <c:pt idx="154">
                  <c:v>198.07</c:v>
                </c:pt>
                <c:pt idx="155">
                  <c:v>205.23</c:v>
                </c:pt>
                <c:pt idx="156">
                  <c:v>210.12</c:v>
                </c:pt>
                <c:pt idx="157">
                  <c:v>210.12</c:v>
                </c:pt>
                <c:pt idx="158">
                  <c:v>210.12</c:v>
                </c:pt>
                <c:pt idx="159">
                  <c:v>215.86</c:v>
                </c:pt>
                <c:pt idx="160">
                  <c:v>245.17</c:v>
                </c:pt>
                <c:pt idx="161">
                  <c:v>241.98</c:v>
                </c:pt>
                <c:pt idx="162">
                  <c:v>243.78</c:v>
                </c:pt>
                <c:pt idx="163">
                  <c:v>241.71</c:v>
                </c:pt>
                <c:pt idx="164">
                  <c:v>241.71</c:v>
                </c:pt>
                <c:pt idx="165">
                  <c:v>241.71</c:v>
                </c:pt>
                <c:pt idx="166">
                  <c:v>243.92</c:v>
                </c:pt>
                <c:pt idx="167">
                  <c:v>243.67</c:v>
                </c:pt>
                <c:pt idx="168">
                  <c:v>241.07</c:v>
                </c:pt>
                <c:pt idx="169">
                  <c:v>242.32</c:v>
                </c:pt>
                <c:pt idx="170">
                  <c:v>230.33</c:v>
                </c:pt>
                <c:pt idx="171">
                  <c:v>230.33</c:v>
                </c:pt>
                <c:pt idx="172">
                  <c:v>230.33</c:v>
                </c:pt>
                <c:pt idx="173">
                  <c:v>246.21</c:v>
                </c:pt>
                <c:pt idx="174">
                  <c:v>247.12</c:v>
                </c:pt>
                <c:pt idx="175">
                  <c:v>245.8</c:v>
                </c:pt>
                <c:pt idx="176">
                  <c:v>245.3</c:v>
                </c:pt>
                <c:pt idx="177">
                  <c:v>242.2</c:v>
                </c:pt>
                <c:pt idx="178">
                  <c:v>242.2</c:v>
                </c:pt>
                <c:pt idx="179">
                  <c:v>242.2</c:v>
                </c:pt>
                <c:pt idx="180">
                  <c:v>240.98</c:v>
                </c:pt>
                <c:pt idx="181">
                  <c:v>243.51</c:v>
                </c:pt>
                <c:pt idx="182">
                  <c:v>242.96</c:v>
                </c:pt>
                <c:pt idx="183">
                  <c:v>246.51</c:v>
                </c:pt>
                <c:pt idx="184">
                  <c:v>253.92</c:v>
                </c:pt>
                <c:pt idx="185">
                  <c:v>253.92</c:v>
                </c:pt>
                <c:pt idx="186">
                  <c:v>253.92</c:v>
                </c:pt>
                <c:pt idx="187">
                  <c:v>249.79</c:v>
                </c:pt>
                <c:pt idx="188">
                  <c:v>250.41</c:v>
                </c:pt>
                <c:pt idx="189">
                  <c:v>247.74</c:v>
                </c:pt>
                <c:pt idx="190">
                  <c:v>258.77</c:v>
                </c:pt>
                <c:pt idx="191">
                  <c:v>262.89999999999998</c:v>
                </c:pt>
                <c:pt idx="192">
                  <c:v>262.89999999999998</c:v>
                </c:pt>
                <c:pt idx="193">
                  <c:v>262.89999999999998</c:v>
                </c:pt>
                <c:pt idx="194">
                  <c:v>258.54000000000002</c:v>
                </c:pt>
                <c:pt idx="195">
                  <c:v>256.12</c:v>
                </c:pt>
                <c:pt idx="196">
                  <c:v>256.48</c:v>
                </c:pt>
                <c:pt idx="197">
                  <c:v>253.54</c:v>
                </c:pt>
                <c:pt idx="198">
                  <c:v>254.19</c:v>
                </c:pt>
                <c:pt idx="199">
                  <c:v>254.19</c:v>
                </c:pt>
                <c:pt idx="200">
                  <c:v>254.19</c:v>
                </c:pt>
                <c:pt idx="201">
                  <c:v>268.45999999999998</c:v>
                </c:pt>
                <c:pt idx="202">
                  <c:v>266.87</c:v>
                </c:pt>
                <c:pt idx="203">
                  <c:v>267.45</c:v>
                </c:pt>
                <c:pt idx="204">
                  <c:v>267.77</c:v>
                </c:pt>
                <c:pt idx="205">
                  <c:v>267.77</c:v>
                </c:pt>
                <c:pt idx="206">
                  <c:v>267.77</c:v>
                </c:pt>
                <c:pt idx="207">
                  <c:v>267.77</c:v>
                </c:pt>
                <c:pt idx="208">
                  <c:v>263.12</c:v>
                </c:pt>
                <c:pt idx="209">
                  <c:v>262.64999999999998</c:v>
                </c:pt>
                <c:pt idx="210">
                  <c:v>261.26</c:v>
                </c:pt>
                <c:pt idx="211">
                  <c:v>258.23</c:v>
                </c:pt>
                <c:pt idx="212">
                  <c:v>256.08</c:v>
                </c:pt>
                <c:pt idx="213">
                  <c:v>256.08</c:v>
                </c:pt>
                <c:pt idx="214">
                  <c:v>256.08</c:v>
                </c:pt>
                <c:pt idx="215">
                  <c:v>258.77</c:v>
                </c:pt>
                <c:pt idx="216">
                  <c:v>252.41</c:v>
                </c:pt>
                <c:pt idx="217">
                  <c:v>250.95</c:v>
                </c:pt>
                <c:pt idx="218">
                  <c:v>247.34</c:v>
                </c:pt>
                <c:pt idx="219">
                  <c:v>264.87</c:v>
                </c:pt>
                <c:pt idx="220">
                  <c:v>264.87</c:v>
                </c:pt>
                <c:pt idx="221">
                  <c:v>264.87</c:v>
                </c:pt>
                <c:pt idx="222">
                  <c:v>269.24</c:v>
                </c:pt>
                <c:pt idx="223">
                  <c:v>275.06</c:v>
                </c:pt>
                <c:pt idx="224">
                  <c:v>278.64999999999998</c:v>
                </c:pt>
                <c:pt idx="225">
                  <c:v>281.52999999999997</c:v>
                </c:pt>
                <c:pt idx="226">
                  <c:v>273.29000000000002</c:v>
                </c:pt>
                <c:pt idx="227">
                  <c:v>273.29000000000002</c:v>
                </c:pt>
                <c:pt idx="228">
                  <c:v>273.29000000000002</c:v>
                </c:pt>
                <c:pt idx="229">
                  <c:v>270.02999999999997</c:v>
                </c:pt>
                <c:pt idx="230">
                  <c:v>270.43</c:v>
                </c:pt>
                <c:pt idx="231">
                  <c:v>275.57</c:v>
                </c:pt>
                <c:pt idx="232">
                  <c:v>275.10000000000002</c:v>
                </c:pt>
                <c:pt idx="233">
                  <c:v>275.10000000000002</c:v>
                </c:pt>
                <c:pt idx="234">
                  <c:v>275.10000000000002</c:v>
                </c:pt>
                <c:pt idx="235">
                  <c:v>275.10000000000002</c:v>
                </c:pt>
                <c:pt idx="236">
                  <c:v>277.37</c:v>
                </c:pt>
                <c:pt idx="237">
                  <c:v>276.58999999999997</c:v>
                </c:pt>
                <c:pt idx="238">
                  <c:v>277.62</c:v>
                </c:pt>
                <c:pt idx="239">
                  <c:v>274.58999999999997</c:v>
                </c:pt>
                <c:pt idx="240">
                  <c:v>270.73</c:v>
                </c:pt>
                <c:pt idx="241">
                  <c:v>270.73</c:v>
                </c:pt>
                <c:pt idx="242">
                  <c:v>270.73</c:v>
                </c:pt>
                <c:pt idx="243">
                  <c:v>274.89999999999998</c:v>
                </c:pt>
                <c:pt idx="244">
                  <c:v>274.89999999999998</c:v>
                </c:pt>
                <c:pt idx="245">
                  <c:v>275</c:v>
                </c:pt>
                <c:pt idx="246">
                  <c:v>273.97000000000003</c:v>
                </c:pt>
                <c:pt idx="247">
                  <c:v>274.41000000000003</c:v>
                </c:pt>
                <c:pt idx="248">
                  <c:v>274.41000000000003</c:v>
                </c:pt>
                <c:pt idx="249">
                  <c:v>274.41000000000003</c:v>
                </c:pt>
                <c:pt idx="250">
                  <c:v>274.27999999999997</c:v>
                </c:pt>
                <c:pt idx="251">
                  <c:v>281.33</c:v>
                </c:pt>
                <c:pt idx="252">
                  <c:v>281.33</c:v>
                </c:pt>
                <c:pt idx="253">
                  <c:v>280.55</c:v>
                </c:pt>
                <c:pt idx="254">
                  <c:v>280.36</c:v>
                </c:pt>
                <c:pt idx="255">
                  <c:v>280.36</c:v>
                </c:pt>
                <c:pt idx="256">
                  <c:v>280.36</c:v>
                </c:pt>
                <c:pt idx="257">
                  <c:v>278.66000000000003</c:v>
                </c:pt>
                <c:pt idx="258">
                  <c:v>271.83999999999997</c:v>
                </c:pt>
                <c:pt idx="259">
                  <c:v>271.83999999999997</c:v>
                </c:pt>
                <c:pt idx="260">
                  <c:v>269.01</c:v>
                </c:pt>
                <c:pt idx="261">
                  <c:v>275.73</c:v>
                </c:pt>
                <c:pt idx="262">
                  <c:v>275.73</c:v>
                </c:pt>
                <c:pt idx="263">
                  <c:v>275.73</c:v>
                </c:pt>
                <c:pt idx="264">
                  <c:v>275.88</c:v>
                </c:pt>
                <c:pt idx="265">
                  <c:v>273.16000000000003</c:v>
                </c:pt>
                <c:pt idx="266">
                  <c:v>277.43</c:v>
                </c:pt>
                <c:pt idx="267">
                  <c:v>283.44</c:v>
                </c:pt>
                <c:pt idx="268">
                  <c:v>283.42</c:v>
                </c:pt>
                <c:pt idx="269">
                  <c:v>283.42</c:v>
                </c:pt>
                <c:pt idx="270">
                  <c:v>283.42</c:v>
                </c:pt>
                <c:pt idx="271">
                  <c:v>283.69</c:v>
                </c:pt>
                <c:pt idx="272">
                  <c:v>281.16000000000003</c:v>
                </c:pt>
                <c:pt idx="273">
                  <c:v>279.32</c:v>
                </c:pt>
                <c:pt idx="274">
                  <c:v>279.52999999999997</c:v>
                </c:pt>
                <c:pt idx="275">
                  <c:v>280.68</c:v>
                </c:pt>
                <c:pt idx="276">
                  <c:v>280.68</c:v>
                </c:pt>
                <c:pt idx="277">
                  <c:v>280.68</c:v>
                </c:pt>
                <c:pt idx="278">
                  <c:v>279.42</c:v>
                </c:pt>
                <c:pt idx="279">
                  <c:v>283.43</c:v>
                </c:pt>
                <c:pt idx="280">
                  <c:v>282.85000000000002</c:v>
                </c:pt>
                <c:pt idx="281">
                  <c:v>296.69</c:v>
                </c:pt>
                <c:pt idx="282">
                  <c:v>302.67</c:v>
                </c:pt>
                <c:pt idx="283">
                  <c:v>302.67</c:v>
                </c:pt>
                <c:pt idx="284">
                  <c:v>302.67</c:v>
                </c:pt>
                <c:pt idx="285">
                  <c:v>303.39</c:v>
                </c:pt>
                <c:pt idx="286">
                  <c:v>303.39</c:v>
                </c:pt>
                <c:pt idx="287">
                  <c:v>302.98</c:v>
                </c:pt>
                <c:pt idx="288">
                  <c:v>305.14999999999998</c:v>
                </c:pt>
                <c:pt idx="289">
                  <c:v>299.97000000000003</c:v>
                </c:pt>
                <c:pt idx="290">
                  <c:v>299.97000000000003</c:v>
                </c:pt>
                <c:pt idx="291">
                  <c:v>299.97000000000003</c:v>
                </c:pt>
                <c:pt idx="292">
                  <c:v>295.16000000000003</c:v>
                </c:pt>
                <c:pt idx="293">
                  <c:v>288.02999999999997</c:v>
                </c:pt>
                <c:pt idx="294">
                  <c:v>293.06</c:v>
                </c:pt>
                <c:pt idx="295">
                  <c:v>295.20999999999998</c:v>
                </c:pt>
                <c:pt idx="296">
                  <c:v>294.45999999999998</c:v>
                </c:pt>
                <c:pt idx="297">
                  <c:v>294.45999999999998</c:v>
                </c:pt>
                <c:pt idx="298">
                  <c:v>294.45999999999998</c:v>
                </c:pt>
                <c:pt idx="299">
                  <c:v>292.29000000000002</c:v>
                </c:pt>
                <c:pt idx="300">
                  <c:v>291.89</c:v>
                </c:pt>
                <c:pt idx="301">
                  <c:v>287.27</c:v>
                </c:pt>
                <c:pt idx="302">
                  <c:v>289.79000000000002</c:v>
                </c:pt>
                <c:pt idx="303">
                  <c:v>286.27999999999997</c:v>
                </c:pt>
                <c:pt idx="304">
                  <c:v>286.27999999999997</c:v>
                </c:pt>
                <c:pt idx="305">
                  <c:v>286.27999999999997</c:v>
                </c:pt>
                <c:pt idx="306">
                  <c:v>283.20999999999998</c:v>
                </c:pt>
                <c:pt idx="307">
                  <c:v>280.06</c:v>
                </c:pt>
                <c:pt idx="308">
                  <c:v>275.42</c:v>
                </c:pt>
                <c:pt idx="309">
                  <c:v>271.18</c:v>
                </c:pt>
                <c:pt idx="310">
                  <c:v>274.35000000000002</c:v>
                </c:pt>
                <c:pt idx="311">
                  <c:v>274.35000000000002</c:v>
                </c:pt>
                <c:pt idx="312">
                  <c:v>274.35000000000002</c:v>
                </c:pt>
                <c:pt idx="313">
                  <c:v>273.85000000000002</c:v>
                </c:pt>
                <c:pt idx="314">
                  <c:v>274.08</c:v>
                </c:pt>
                <c:pt idx="315">
                  <c:v>275.04000000000002</c:v>
                </c:pt>
                <c:pt idx="316">
                  <c:v>275.45</c:v>
                </c:pt>
                <c:pt idx="317">
                  <c:v>272.12</c:v>
                </c:pt>
                <c:pt idx="318">
                  <c:v>272.12</c:v>
                </c:pt>
                <c:pt idx="319">
                  <c:v>272.12</c:v>
                </c:pt>
                <c:pt idx="320">
                  <c:v>272.87</c:v>
                </c:pt>
                <c:pt idx="321">
                  <c:v>268.05</c:v>
                </c:pt>
                <c:pt idx="322">
                  <c:v>269.79000000000002</c:v>
                </c:pt>
                <c:pt idx="323">
                  <c:v>268.81</c:v>
                </c:pt>
                <c:pt idx="324">
                  <c:v>274.39999999999998</c:v>
                </c:pt>
                <c:pt idx="325">
                  <c:v>274.39999999999998</c:v>
                </c:pt>
                <c:pt idx="326">
                  <c:v>274.39999999999998</c:v>
                </c:pt>
                <c:pt idx="327">
                  <c:v>274.26</c:v>
                </c:pt>
                <c:pt idx="328">
                  <c:v>271.8</c:v>
                </c:pt>
                <c:pt idx="329">
                  <c:v>265.92</c:v>
                </c:pt>
                <c:pt idx="330">
                  <c:v>267.45</c:v>
                </c:pt>
                <c:pt idx="331">
                  <c:v>264.36</c:v>
                </c:pt>
                <c:pt idx="332">
                  <c:v>264.36</c:v>
                </c:pt>
                <c:pt idx="333">
                  <c:v>264.36</c:v>
                </c:pt>
                <c:pt idx="334">
                  <c:v>264.27</c:v>
                </c:pt>
                <c:pt idx="335">
                  <c:v>264.64</c:v>
                </c:pt>
                <c:pt idx="336">
                  <c:v>261.39999999999998</c:v>
                </c:pt>
                <c:pt idx="337">
                  <c:v>260.5</c:v>
                </c:pt>
                <c:pt idx="338">
                  <c:v>260.83999999999997</c:v>
                </c:pt>
                <c:pt idx="339">
                  <c:v>260.83999999999997</c:v>
                </c:pt>
                <c:pt idx="340">
                  <c:v>260.83999999999997</c:v>
                </c:pt>
                <c:pt idx="341">
                  <c:v>262.08</c:v>
                </c:pt>
                <c:pt idx="342">
                  <c:v>266.93</c:v>
                </c:pt>
                <c:pt idx="343">
                  <c:v>269.56</c:v>
                </c:pt>
                <c:pt idx="344">
                  <c:v>273.68</c:v>
                </c:pt>
                <c:pt idx="345">
                  <c:v>267.55</c:v>
                </c:pt>
                <c:pt idx="346">
                  <c:v>267.55</c:v>
                </c:pt>
                <c:pt idx="347">
                  <c:v>267.55</c:v>
                </c:pt>
                <c:pt idx="348">
                  <c:v>266.33</c:v>
                </c:pt>
                <c:pt idx="349">
                  <c:v>263.77</c:v>
                </c:pt>
                <c:pt idx="350">
                  <c:v>267.13</c:v>
                </c:pt>
                <c:pt idx="351">
                  <c:v>258.79000000000002</c:v>
                </c:pt>
                <c:pt idx="352">
                  <c:v>254.64</c:v>
                </c:pt>
                <c:pt idx="353">
                  <c:v>254.64</c:v>
                </c:pt>
                <c:pt idx="354">
                  <c:v>254.64</c:v>
                </c:pt>
                <c:pt idx="355">
                  <c:v>300.39</c:v>
                </c:pt>
                <c:pt idx="356">
                  <c:v>298.17</c:v>
                </c:pt>
                <c:pt idx="357">
                  <c:v>297.33999999999997</c:v>
                </c:pt>
                <c:pt idx="358">
                  <c:v>292.63</c:v>
                </c:pt>
                <c:pt idx="359">
                  <c:v>286.38</c:v>
                </c:pt>
                <c:pt idx="360">
                  <c:v>286.38</c:v>
                </c:pt>
                <c:pt idx="361">
                  <c:v>286.38</c:v>
                </c:pt>
                <c:pt idx="362">
                  <c:v>286</c:v>
                </c:pt>
                <c:pt idx="363">
                  <c:v>284.86</c:v>
                </c:pt>
                <c:pt idx="364">
                  <c:v>283.85000000000002</c:v>
                </c:pt>
                <c:pt idx="365">
                  <c:v>283.3</c:v>
                </c:pt>
                <c:pt idx="366">
                  <c:v>283.04000000000002</c:v>
                </c:pt>
                <c:pt idx="367">
                  <c:v>283.04000000000002</c:v>
                </c:pt>
                <c:pt idx="368">
                  <c:v>283.04000000000002</c:v>
                </c:pt>
                <c:pt idx="369">
                  <c:v>285.31</c:v>
                </c:pt>
                <c:pt idx="370">
                  <c:v>292.83999999999997</c:v>
                </c:pt>
                <c:pt idx="371">
                  <c:v>293.48</c:v>
                </c:pt>
                <c:pt idx="372">
                  <c:v>298.77</c:v>
                </c:pt>
                <c:pt idx="373">
                  <c:v>298.77</c:v>
                </c:pt>
                <c:pt idx="374">
                  <c:v>298.77</c:v>
                </c:pt>
                <c:pt idx="375">
                  <c:v>298.77</c:v>
                </c:pt>
                <c:pt idx="376">
                  <c:v>296.25</c:v>
                </c:pt>
                <c:pt idx="377">
                  <c:v>296.13</c:v>
                </c:pt>
                <c:pt idx="378">
                  <c:v>294.89999999999998</c:v>
                </c:pt>
                <c:pt idx="379">
                  <c:v>297.24</c:v>
                </c:pt>
                <c:pt idx="380">
                  <c:v>297.18</c:v>
                </c:pt>
                <c:pt idx="381">
                  <c:v>297.18</c:v>
                </c:pt>
                <c:pt idx="382">
                  <c:v>297.18</c:v>
                </c:pt>
                <c:pt idx="383">
                  <c:v>294.27999999999997</c:v>
                </c:pt>
                <c:pt idx="384">
                  <c:v>291.52</c:v>
                </c:pt>
                <c:pt idx="385">
                  <c:v>288.44</c:v>
                </c:pt>
                <c:pt idx="386">
                  <c:v>288.42</c:v>
                </c:pt>
                <c:pt idx="387">
                  <c:v>285.39999999999998</c:v>
                </c:pt>
                <c:pt idx="388">
                  <c:v>285.39999999999998</c:v>
                </c:pt>
                <c:pt idx="389">
                  <c:v>285.39999999999998</c:v>
                </c:pt>
                <c:pt idx="390">
                  <c:v>284.18</c:v>
                </c:pt>
                <c:pt idx="391">
                  <c:v>283.33</c:v>
                </c:pt>
                <c:pt idx="392">
                  <c:v>283.10000000000002</c:v>
                </c:pt>
                <c:pt idx="393">
                  <c:v>279.14999999999998</c:v>
                </c:pt>
                <c:pt idx="394">
                  <c:v>277.41000000000003</c:v>
                </c:pt>
                <c:pt idx="395">
                  <c:v>277.41000000000003</c:v>
                </c:pt>
                <c:pt idx="396">
                  <c:v>277.41000000000003</c:v>
                </c:pt>
                <c:pt idx="397">
                  <c:v>278.62</c:v>
                </c:pt>
                <c:pt idx="398">
                  <c:v>278.13</c:v>
                </c:pt>
                <c:pt idx="399">
                  <c:v>285.73</c:v>
                </c:pt>
                <c:pt idx="400">
                  <c:v>283.08999999999997</c:v>
                </c:pt>
                <c:pt idx="401">
                  <c:v>292.3</c:v>
                </c:pt>
                <c:pt idx="402">
                  <c:v>292.3</c:v>
                </c:pt>
                <c:pt idx="403">
                  <c:v>292.3</c:v>
                </c:pt>
                <c:pt idx="404">
                  <c:v>297.83</c:v>
                </c:pt>
                <c:pt idx="405">
                  <c:v>302.25</c:v>
                </c:pt>
                <c:pt idx="406">
                  <c:v>300.88</c:v>
                </c:pt>
                <c:pt idx="407">
                  <c:v>299.23</c:v>
                </c:pt>
                <c:pt idx="408">
                  <c:v>300.14</c:v>
                </c:pt>
                <c:pt idx="409">
                  <c:v>300.14</c:v>
                </c:pt>
                <c:pt idx="410">
                  <c:v>300.14</c:v>
                </c:pt>
                <c:pt idx="411">
                  <c:v>298.58999999999997</c:v>
                </c:pt>
                <c:pt idx="412">
                  <c:v>298.27999999999997</c:v>
                </c:pt>
                <c:pt idx="413">
                  <c:v>300.8</c:v>
                </c:pt>
                <c:pt idx="414">
                  <c:v>307.43</c:v>
                </c:pt>
                <c:pt idx="415">
                  <c:v>306.31</c:v>
                </c:pt>
                <c:pt idx="416">
                  <c:v>306.31</c:v>
                </c:pt>
                <c:pt idx="417">
                  <c:v>306.31</c:v>
                </c:pt>
                <c:pt idx="418">
                  <c:v>306.62</c:v>
                </c:pt>
                <c:pt idx="419">
                  <c:v>310.43</c:v>
                </c:pt>
                <c:pt idx="420">
                  <c:v>313.52</c:v>
                </c:pt>
                <c:pt idx="421">
                  <c:v>305.02</c:v>
                </c:pt>
                <c:pt idx="422">
                  <c:v>299.02</c:v>
                </c:pt>
                <c:pt idx="423">
                  <c:v>299.02</c:v>
                </c:pt>
                <c:pt idx="424">
                  <c:v>299.02</c:v>
                </c:pt>
                <c:pt idx="425">
                  <c:v>299.54000000000002</c:v>
                </c:pt>
                <c:pt idx="426">
                  <c:v>293.27</c:v>
                </c:pt>
                <c:pt idx="427">
                  <c:v>292.73</c:v>
                </c:pt>
                <c:pt idx="428">
                  <c:v>295.52999999999997</c:v>
                </c:pt>
                <c:pt idx="429">
                  <c:v>294</c:v>
                </c:pt>
                <c:pt idx="430">
                  <c:v>294</c:v>
                </c:pt>
                <c:pt idx="431">
                  <c:v>294</c:v>
                </c:pt>
                <c:pt idx="432">
                  <c:v>293.70999999999998</c:v>
                </c:pt>
                <c:pt idx="433">
                  <c:v>293.70999999999998</c:v>
                </c:pt>
                <c:pt idx="434">
                  <c:v>298.22000000000003</c:v>
                </c:pt>
                <c:pt idx="435">
                  <c:v>298.68</c:v>
                </c:pt>
                <c:pt idx="436">
                  <c:v>299.83999999999997</c:v>
                </c:pt>
                <c:pt idx="437">
                  <c:v>299.83999999999997</c:v>
                </c:pt>
                <c:pt idx="438">
                  <c:v>299.83999999999997</c:v>
                </c:pt>
                <c:pt idx="439">
                  <c:v>295.47000000000003</c:v>
                </c:pt>
                <c:pt idx="440">
                  <c:v>296.19</c:v>
                </c:pt>
                <c:pt idx="441">
                  <c:v>256.38</c:v>
                </c:pt>
                <c:pt idx="442">
                  <c:v>256.51</c:v>
                </c:pt>
                <c:pt idx="443">
                  <c:v>253.66</c:v>
                </c:pt>
                <c:pt idx="444">
                  <c:v>253.66</c:v>
                </c:pt>
                <c:pt idx="445">
                  <c:v>253.66</c:v>
                </c:pt>
                <c:pt idx="446">
                  <c:v>252.52</c:v>
                </c:pt>
                <c:pt idx="447">
                  <c:v>248.09</c:v>
                </c:pt>
                <c:pt idx="448">
                  <c:v>248.09</c:v>
                </c:pt>
                <c:pt idx="449">
                  <c:v>250.06</c:v>
                </c:pt>
                <c:pt idx="450">
                  <c:v>246.43</c:v>
                </c:pt>
                <c:pt idx="451">
                  <c:v>246.43</c:v>
                </c:pt>
                <c:pt idx="452">
                  <c:v>246.43</c:v>
                </c:pt>
                <c:pt idx="453">
                  <c:v>248.6</c:v>
                </c:pt>
                <c:pt idx="454">
                  <c:v>248.6</c:v>
                </c:pt>
                <c:pt idx="455">
                  <c:v>252.43</c:v>
                </c:pt>
                <c:pt idx="456">
                  <c:v>253.72</c:v>
                </c:pt>
                <c:pt idx="457">
                  <c:v>247.73</c:v>
                </c:pt>
                <c:pt idx="458">
                  <c:v>247.73</c:v>
                </c:pt>
                <c:pt idx="459">
                  <c:v>247.73</c:v>
                </c:pt>
                <c:pt idx="460">
                  <c:v>250.27</c:v>
                </c:pt>
                <c:pt idx="461">
                  <c:v>248.05</c:v>
                </c:pt>
                <c:pt idx="462">
                  <c:v>245.95</c:v>
                </c:pt>
                <c:pt idx="463">
                  <c:v>248.62</c:v>
                </c:pt>
                <c:pt idx="464">
                  <c:v>253.96</c:v>
                </c:pt>
                <c:pt idx="465">
                  <c:v>253.96</c:v>
                </c:pt>
                <c:pt idx="466">
                  <c:v>253.96</c:v>
                </c:pt>
                <c:pt idx="467">
                  <c:v>249.58</c:v>
                </c:pt>
                <c:pt idx="468">
                  <c:v>245.11</c:v>
                </c:pt>
                <c:pt idx="469">
                  <c:v>248.04</c:v>
                </c:pt>
                <c:pt idx="470">
                  <c:v>247.59</c:v>
                </c:pt>
                <c:pt idx="471">
                  <c:v>247.59</c:v>
                </c:pt>
                <c:pt idx="472">
                  <c:v>247.59</c:v>
                </c:pt>
                <c:pt idx="473">
                  <c:v>247.59</c:v>
                </c:pt>
                <c:pt idx="474">
                  <c:v>249.29</c:v>
                </c:pt>
                <c:pt idx="475">
                  <c:v>252.07</c:v>
                </c:pt>
                <c:pt idx="476">
                  <c:v>252.33</c:v>
                </c:pt>
                <c:pt idx="477">
                  <c:v>254.71</c:v>
                </c:pt>
                <c:pt idx="478">
                  <c:v>257.25</c:v>
                </c:pt>
                <c:pt idx="479">
                  <c:v>257.25</c:v>
                </c:pt>
                <c:pt idx="480">
                  <c:v>257.25</c:v>
                </c:pt>
                <c:pt idx="481">
                  <c:v>258.77999999999997</c:v>
                </c:pt>
                <c:pt idx="482">
                  <c:v>259.32</c:v>
                </c:pt>
                <c:pt idx="483">
                  <c:v>259.04000000000002</c:v>
                </c:pt>
                <c:pt idx="484">
                  <c:v>266.89</c:v>
                </c:pt>
                <c:pt idx="485">
                  <c:v>265.73</c:v>
                </c:pt>
                <c:pt idx="486">
                  <c:v>265.73</c:v>
                </c:pt>
                <c:pt idx="487">
                  <c:v>265.73</c:v>
                </c:pt>
                <c:pt idx="488">
                  <c:v>262.06</c:v>
                </c:pt>
                <c:pt idx="489">
                  <c:v>258.01</c:v>
                </c:pt>
                <c:pt idx="490">
                  <c:v>259.47000000000003</c:v>
                </c:pt>
                <c:pt idx="491">
                  <c:v>260.29000000000002</c:v>
                </c:pt>
                <c:pt idx="492">
                  <c:v>260.64999999999998</c:v>
                </c:pt>
                <c:pt idx="493">
                  <c:v>260.64999999999998</c:v>
                </c:pt>
                <c:pt idx="494">
                  <c:v>260.64999999999998</c:v>
                </c:pt>
                <c:pt idx="495">
                  <c:v>262.02999999999997</c:v>
                </c:pt>
                <c:pt idx="496">
                  <c:v>260.73</c:v>
                </c:pt>
                <c:pt idx="497">
                  <c:v>261.77999999999997</c:v>
                </c:pt>
                <c:pt idx="498">
                  <c:v>265.86</c:v>
                </c:pt>
                <c:pt idx="499">
                  <c:v>265.83999999999997</c:v>
                </c:pt>
                <c:pt idx="500">
                  <c:v>265.83999999999997</c:v>
                </c:pt>
                <c:pt idx="501">
                  <c:v>265.83999999999997</c:v>
                </c:pt>
                <c:pt idx="502">
                  <c:v>265.52</c:v>
                </c:pt>
                <c:pt idx="503">
                  <c:v>266.07</c:v>
                </c:pt>
                <c:pt idx="504">
                  <c:v>271.75</c:v>
                </c:pt>
                <c:pt idx="505">
                  <c:v>270.14999999999998</c:v>
                </c:pt>
                <c:pt idx="506">
                  <c:v>266.99</c:v>
                </c:pt>
                <c:pt idx="507">
                  <c:v>266.99</c:v>
                </c:pt>
                <c:pt idx="508">
                  <c:v>266.99</c:v>
                </c:pt>
                <c:pt idx="509">
                  <c:v>263.37</c:v>
                </c:pt>
                <c:pt idx="510">
                  <c:v>263.07</c:v>
                </c:pt>
                <c:pt idx="511">
                  <c:v>264.94</c:v>
                </c:pt>
                <c:pt idx="512">
                  <c:v>266.74</c:v>
                </c:pt>
                <c:pt idx="513">
                  <c:v>267.8</c:v>
                </c:pt>
                <c:pt idx="514">
                  <c:v>267.8</c:v>
                </c:pt>
                <c:pt idx="515">
                  <c:v>267.8</c:v>
                </c:pt>
                <c:pt idx="516">
                  <c:v>272.18</c:v>
                </c:pt>
                <c:pt idx="517">
                  <c:v>270.3</c:v>
                </c:pt>
                <c:pt idx="518">
                  <c:v>276.37</c:v>
                </c:pt>
                <c:pt idx="519">
                  <c:v>275.57</c:v>
                </c:pt>
                <c:pt idx="520">
                  <c:v>273.52</c:v>
                </c:pt>
                <c:pt idx="521">
                  <c:v>273.52</c:v>
                </c:pt>
                <c:pt idx="522">
                  <c:v>273.52</c:v>
                </c:pt>
                <c:pt idx="523">
                  <c:v>275.51</c:v>
                </c:pt>
                <c:pt idx="524">
                  <c:v>278.49</c:v>
                </c:pt>
                <c:pt idx="525">
                  <c:v>275.29000000000002</c:v>
                </c:pt>
                <c:pt idx="526">
                  <c:v>280.13</c:v>
                </c:pt>
                <c:pt idx="527">
                  <c:v>289.74</c:v>
                </c:pt>
                <c:pt idx="528">
                  <c:v>289.74</c:v>
                </c:pt>
                <c:pt idx="529">
                  <c:v>289.74</c:v>
                </c:pt>
                <c:pt idx="530">
                  <c:v>289.74</c:v>
                </c:pt>
                <c:pt idx="531">
                  <c:v>287.88</c:v>
                </c:pt>
                <c:pt idx="532">
                  <c:v>288.99</c:v>
                </c:pt>
                <c:pt idx="533">
                  <c:v>282.57</c:v>
                </c:pt>
                <c:pt idx="534">
                  <c:v>284.32</c:v>
                </c:pt>
                <c:pt idx="535">
                  <c:v>284.32</c:v>
                </c:pt>
                <c:pt idx="536">
                  <c:v>284.32</c:v>
                </c:pt>
                <c:pt idx="537">
                  <c:v>264.85000000000002</c:v>
                </c:pt>
                <c:pt idx="538">
                  <c:v>259.99</c:v>
                </c:pt>
                <c:pt idx="539">
                  <c:v>256.62</c:v>
                </c:pt>
                <c:pt idx="540">
                  <c:v>253.18</c:v>
                </c:pt>
                <c:pt idx="541">
                  <c:v>253.29</c:v>
                </c:pt>
                <c:pt idx="542">
                  <c:v>253.29</c:v>
                </c:pt>
                <c:pt idx="543">
                  <c:v>253.29</c:v>
                </c:pt>
                <c:pt idx="544">
                  <c:v>255.53</c:v>
                </c:pt>
                <c:pt idx="545">
                  <c:v>255.22</c:v>
                </c:pt>
                <c:pt idx="546">
                  <c:v>254.22</c:v>
                </c:pt>
                <c:pt idx="547">
                  <c:v>252.7</c:v>
                </c:pt>
                <c:pt idx="548">
                  <c:v>247.68</c:v>
                </c:pt>
                <c:pt idx="549">
                  <c:v>247.68</c:v>
                </c:pt>
                <c:pt idx="550">
                  <c:v>247.68</c:v>
                </c:pt>
                <c:pt idx="551">
                  <c:v>250.24</c:v>
                </c:pt>
                <c:pt idx="552">
                  <c:v>248.4</c:v>
                </c:pt>
                <c:pt idx="553">
                  <c:v>248.72</c:v>
                </c:pt>
                <c:pt idx="554">
                  <c:v>246.77</c:v>
                </c:pt>
                <c:pt idx="555">
                  <c:v>246.6</c:v>
                </c:pt>
                <c:pt idx="556">
                  <c:v>246.6</c:v>
                </c:pt>
                <c:pt idx="557">
                  <c:v>246.6</c:v>
                </c:pt>
                <c:pt idx="558">
                  <c:v>248.97</c:v>
                </c:pt>
                <c:pt idx="559">
                  <c:v>244.37</c:v>
                </c:pt>
                <c:pt idx="560">
                  <c:v>241.4</c:v>
                </c:pt>
                <c:pt idx="561">
                  <c:v>241.12</c:v>
                </c:pt>
                <c:pt idx="562">
                  <c:v>243.46</c:v>
                </c:pt>
                <c:pt idx="563">
                  <c:v>243.46</c:v>
                </c:pt>
                <c:pt idx="564">
                  <c:v>243.46</c:v>
                </c:pt>
                <c:pt idx="565">
                  <c:v>244.16</c:v>
                </c:pt>
                <c:pt idx="566">
                  <c:v>241.41</c:v>
                </c:pt>
                <c:pt idx="567">
                  <c:v>239.54</c:v>
                </c:pt>
                <c:pt idx="568">
                  <c:v>237.59</c:v>
                </c:pt>
                <c:pt idx="569">
                  <c:v>237.59</c:v>
                </c:pt>
                <c:pt idx="570">
                  <c:v>237.59</c:v>
                </c:pt>
                <c:pt idx="571">
                  <c:v>237.59</c:v>
                </c:pt>
                <c:pt idx="572">
                  <c:v>236.52</c:v>
                </c:pt>
                <c:pt idx="573">
                  <c:v>236.83</c:v>
                </c:pt>
                <c:pt idx="574">
                  <c:v>236.39</c:v>
                </c:pt>
                <c:pt idx="575">
                  <c:v>244.44</c:v>
                </c:pt>
                <c:pt idx="576">
                  <c:v>242.62</c:v>
                </c:pt>
                <c:pt idx="577">
                  <c:v>242.62</c:v>
                </c:pt>
                <c:pt idx="578">
                  <c:v>242.62</c:v>
                </c:pt>
                <c:pt idx="579">
                  <c:v>241.75</c:v>
                </c:pt>
                <c:pt idx="580">
                  <c:v>242.13</c:v>
                </c:pt>
                <c:pt idx="581">
                  <c:v>241.32</c:v>
                </c:pt>
                <c:pt idx="582">
                  <c:v>238.31</c:v>
                </c:pt>
                <c:pt idx="583">
                  <c:v>242.36</c:v>
                </c:pt>
                <c:pt idx="584">
                  <c:v>242.36</c:v>
                </c:pt>
                <c:pt idx="585">
                  <c:v>242.36</c:v>
                </c:pt>
                <c:pt idx="586">
                  <c:v>241.95</c:v>
                </c:pt>
                <c:pt idx="587">
                  <c:v>241.29</c:v>
                </c:pt>
                <c:pt idx="588">
                  <c:v>243.77</c:v>
                </c:pt>
                <c:pt idx="589">
                  <c:v>248.03</c:v>
                </c:pt>
                <c:pt idx="590">
                  <c:v>251.55</c:v>
                </c:pt>
                <c:pt idx="591">
                  <c:v>251.55</c:v>
                </c:pt>
                <c:pt idx="592">
                  <c:v>251.55</c:v>
                </c:pt>
                <c:pt idx="593">
                  <c:v>253.13</c:v>
                </c:pt>
                <c:pt idx="594">
                  <c:v>249.73</c:v>
                </c:pt>
                <c:pt idx="595">
                  <c:v>250.85</c:v>
                </c:pt>
                <c:pt idx="596">
                  <c:v>250.69</c:v>
                </c:pt>
                <c:pt idx="597">
                  <c:v>246.53</c:v>
                </c:pt>
                <c:pt idx="598">
                  <c:v>246.53</c:v>
                </c:pt>
                <c:pt idx="599">
                  <c:v>246.53</c:v>
                </c:pt>
                <c:pt idx="600">
                  <c:v>244.07</c:v>
                </c:pt>
                <c:pt idx="601">
                  <c:v>243.29</c:v>
                </c:pt>
                <c:pt idx="602">
                  <c:v>245.04</c:v>
                </c:pt>
                <c:pt idx="603">
                  <c:v>248.57</c:v>
                </c:pt>
                <c:pt idx="604">
                  <c:v>248.57</c:v>
                </c:pt>
                <c:pt idx="605">
                  <c:v>248.57</c:v>
                </c:pt>
                <c:pt idx="606">
                  <c:v>248.57</c:v>
                </c:pt>
                <c:pt idx="607">
                  <c:v>250.85</c:v>
                </c:pt>
                <c:pt idx="608">
                  <c:v>250.81</c:v>
                </c:pt>
                <c:pt idx="609">
                  <c:v>247.25</c:v>
                </c:pt>
                <c:pt idx="610">
                  <c:v>248.59</c:v>
                </c:pt>
                <c:pt idx="611">
                  <c:v>246.81</c:v>
                </c:pt>
                <c:pt idx="612">
                  <c:v>246.81</c:v>
                </c:pt>
                <c:pt idx="613">
                  <c:v>246.81</c:v>
                </c:pt>
                <c:pt idx="614">
                  <c:v>245.29</c:v>
                </c:pt>
                <c:pt idx="615">
                  <c:v>247.64</c:v>
                </c:pt>
                <c:pt idx="616">
                  <c:v>252.24</c:v>
                </c:pt>
                <c:pt idx="617">
                  <c:v>252.97</c:v>
                </c:pt>
                <c:pt idx="618">
                  <c:v>252.97</c:v>
                </c:pt>
                <c:pt idx="619">
                  <c:v>252.97</c:v>
                </c:pt>
                <c:pt idx="620">
                  <c:v>252.97</c:v>
                </c:pt>
                <c:pt idx="621">
                  <c:v>253.58</c:v>
                </c:pt>
                <c:pt idx="622">
                  <c:v>250.94</c:v>
                </c:pt>
                <c:pt idx="623">
                  <c:v>251.99</c:v>
                </c:pt>
                <c:pt idx="624">
                  <c:v>248.03</c:v>
                </c:pt>
                <c:pt idx="625">
                  <c:v>248.03</c:v>
                </c:pt>
                <c:pt idx="626">
                  <c:v>248.03</c:v>
                </c:pt>
                <c:pt idx="627">
                  <c:v>248.03</c:v>
                </c:pt>
                <c:pt idx="628">
                  <c:v>247.36</c:v>
                </c:pt>
                <c:pt idx="629">
                  <c:v>246.25</c:v>
                </c:pt>
                <c:pt idx="630">
                  <c:v>280</c:v>
                </c:pt>
                <c:pt idx="631">
                  <c:v>281.92</c:v>
                </c:pt>
                <c:pt idx="632">
                  <c:v>281.29000000000002</c:v>
                </c:pt>
                <c:pt idx="633">
                  <c:v>281.29000000000002</c:v>
                </c:pt>
                <c:pt idx="634">
                  <c:v>281.29000000000002</c:v>
                </c:pt>
                <c:pt idx="635">
                  <c:v>279.45999999999998</c:v>
                </c:pt>
                <c:pt idx="636">
                  <c:v>273.83</c:v>
                </c:pt>
                <c:pt idx="637">
                  <c:v>273.01</c:v>
                </c:pt>
                <c:pt idx="638">
                  <c:v>271.38</c:v>
                </c:pt>
                <c:pt idx="639">
                  <c:v>272.20999999999998</c:v>
                </c:pt>
                <c:pt idx="640">
                  <c:v>272.20999999999998</c:v>
                </c:pt>
                <c:pt idx="641">
                  <c:v>272.20999999999998</c:v>
                </c:pt>
                <c:pt idx="642">
                  <c:v>267.63</c:v>
                </c:pt>
                <c:pt idx="643">
                  <c:v>267.20999999999998</c:v>
                </c:pt>
                <c:pt idx="644">
                  <c:v>266.08</c:v>
                </c:pt>
                <c:pt idx="645">
                  <c:v>265.60000000000002</c:v>
                </c:pt>
                <c:pt idx="646">
                  <c:v>264.42</c:v>
                </c:pt>
                <c:pt idx="647">
                  <c:v>264.42</c:v>
                </c:pt>
                <c:pt idx="648">
                  <c:v>264.42</c:v>
                </c:pt>
                <c:pt idx="649">
                  <c:v>258.83</c:v>
                </c:pt>
                <c:pt idx="650">
                  <c:v>253.93</c:v>
                </c:pt>
                <c:pt idx="651">
                  <c:v>253.41</c:v>
                </c:pt>
                <c:pt idx="652">
                  <c:v>253.6</c:v>
                </c:pt>
                <c:pt idx="653">
                  <c:v>257.61</c:v>
                </c:pt>
                <c:pt idx="654">
                  <c:v>257.61</c:v>
                </c:pt>
                <c:pt idx="655">
                  <c:v>257.61</c:v>
                </c:pt>
                <c:pt idx="656">
                  <c:v>256.45999999999998</c:v>
                </c:pt>
                <c:pt idx="657">
                  <c:v>256.45999999999998</c:v>
                </c:pt>
                <c:pt idx="658">
                  <c:v>255.86</c:v>
                </c:pt>
                <c:pt idx="659">
                  <c:v>255.54</c:v>
                </c:pt>
                <c:pt idx="660">
                  <c:v>255.95</c:v>
                </c:pt>
                <c:pt idx="661">
                  <c:v>255.95</c:v>
                </c:pt>
                <c:pt idx="662">
                  <c:v>255.95</c:v>
                </c:pt>
                <c:pt idx="663">
                  <c:v>254.94</c:v>
                </c:pt>
                <c:pt idx="664">
                  <c:v>257.42</c:v>
                </c:pt>
                <c:pt idx="665">
                  <c:v>254.18</c:v>
                </c:pt>
                <c:pt idx="666">
                  <c:v>245.39</c:v>
                </c:pt>
                <c:pt idx="667">
                  <c:v>246.03</c:v>
                </c:pt>
                <c:pt idx="668">
                  <c:v>246.03</c:v>
                </c:pt>
                <c:pt idx="669">
                  <c:v>246.03</c:v>
                </c:pt>
                <c:pt idx="670">
                  <c:v>241.19</c:v>
                </c:pt>
                <c:pt idx="671">
                  <c:v>245.37</c:v>
                </c:pt>
                <c:pt idx="672">
                  <c:v>244.2</c:v>
                </c:pt>
                <c:pt idx="673">
                  <c:v>245.33</c:v>
                </c:pt>
                <c:pt idx="674">
                  <c:v>247.14</c:v>
                </c:pt>
                <c:pt idx="675">
                  <c:v>247.14</c:v>
                </c:pt>
                <c:pt idx="676">
                  <c:v>247.14</c:v>
                </c:pt>
                <c:pt idx="677">
                  <c:v>247.25</c:v>
                </c:pt>
                <c:pt idx="678">
                  <c:v>243.23</c:v>
                </c:pt>
                <c:pt idx="679">
                  <c:v>240.1</c:v>
                </c:pt>
                <c:pt idx="680">
                  <c:v>236.82</c:v>
                </c:pt>
                <c:pt idx="681">
                  <c:v>228.84</c:v>
                </c:pt>
                <c:pt idx="682">
                  <c:v>228.84</c:v>
                </c:pt>
                <c:pt idx="683">
                  <c:v>228.84</c:v>
                </c:pt>
                <c:pt idx="684">
                  <c:v>227.93</c:v>
                </c:pt>
                <c:pt idx="685">
                  <c:v>235.21</c:v>
                </c:pt>
                <c:pt idx="686">
                  <c:v>241.68</c:v>
                </c:pt>
                <c:pt idx="687">
                  <c:v>237.97</c:v>
                </c:pt>
                <c:pt idx="688">
                  <c:v>240.62</c:v>
                </c:pt>
                <c:pt idx="689">
                  <c:v>240.62</c:v>
                </c:pt>
                <c:pt idx="690">
                  <c:v>240.62</c:v>
                </c:pt>
                <c:pt idx="691">
                  <c:v>243.29</c:v>
                </c:pt>
                <c:pt idx="692">
                  <c:v>243.61</c:v>
                </c:pt>
                <c:pt idx="693">
                  <c:v>248.03</c:v>
                </c:pt>
                <c:pt idx="694">
                  <c:v>247.56</c:v>
                </c:pt>
                <c:pt idx="695">
                  <c:v>242.84</c:v>
                </c:pt>
                <c:pt idx="696">
                  <c:v>242.84</c:v>
                </c:pt>
                <c:pt idx="697">
                  <c:v>242.84</c:v>
                </c:pt>
                <c:pt idx="698">
                  <c:v>252.04</c:v>
                </c:pt>
                <c:pt idx="699">
                  <c:v>255.46</c:v>
                </c:pt>
                <c:pt idx="700">
                  <c:v>256.79000000000002</c:v>
                </c:pt>
                <c:pt idx="701">
                  <c:v>255.72</c:v>
                </c:pt>
                <c:pt idx="702">
                  <c:v>257.89999999999998</c:v>
                </c:pt>
                <c:pt idx="703">
                  <c:v>257.89999999999998</c:v>
                </c:pt>
                <c:pt idx="704">
                  <c:v>257.89999999999998</c:v>
                </c:pt>
                <c:pt idx="705">
                  <c:v>259.16000000000003</c:v>
                </c:pt>
                <c:pt idx="706">
                  <c:v>260.05</c:v>
                </c:pt>
                <c:pt idx="707">
                  <c:v>260.19</c:v>
                </c:pt>
                <c:pt idx="708">
                  <c:v>265.11</c:v>
                </c:pt>
                <c:pt idx="709">
                  <c:v>264.92</c:v>
                </c:pt>
                <c:pt idx="710">
                  <c:v>264.92</c:v>
                </c:pt>
                <c:pt idx="711">
                  <c:v>264.92</c:v>
                </c:pt>
                <c:pt idx="712">
                  <c:v>266.44</c:v>
                </c:pt>
                <c:pt idx="713">
                  <c:v>262.70999999999998</c:v>
                </c:pt>
                <c:pt idx="714">
                  <c:v>261.39</c:v>
                </c:pt>
                <c:pt idx="715">
                  <c:v>266.43</c:v>
                </c:pt>
                <c:pt idx="716">
                  <c:v>261.08999999999997</c:v>
                </c:pt>
                <c:pt idx="717">
                  <c:v>261.08999999999997</c:v>
                </c:pt>
                <c:pt idx="718">
                  <c:v>261.08999999999997</c:v>
                </c:pt>
                <c:pt idx="719">
                  <c:v>261.85000000000002</c:v>
                </c:pt>
                <c:pt idx="720">
                  <c:v>250.52</c:v>
                </c:pt>
                <c:pt idx="721">
                  <c:v>249.99</c:v>
                </c:pt>
                <c:pt idx="722">
                  <c:v>249.3</c:v>
                </c:pt>
                <c:pt idx="723">
                  <c:v>254.08</c:v>
                </c:pt>
                <c:pt idx="724">
                  <c:v>254.08</c:v>
                </c:pt>
                <c:pt idx="725">
                  <c:v>254.08</c:v>
                </c:pt>
                <c:pt idx="726">
                  <c:v>257.02999999999997</c:v>
                </c:pt>
                <c:pt idx="727">
                  <c:v>252.16</c:v>
                </c:pt>
                <c:pt idx="728">
                  <c:v>251.47</c:v>
                </c:pt>
                <c:pt idx="729">
                  <c:v>254.7</c:v>
                </c:pt>
                <c:pt idx="730">
                  <c:v>253.31</c:v>
                </c:pt>
                <c:pt idx="731">
                  <c:v>253.31</c:v>
                </c:pt>
                <c:pt idx="732">
                  <c:v>253.31</c:v>
                </c:pt>
                <c:pt idx="733">
                  <c:v>256.16000000000003</c:v>
                </c:pt>
                <c:pt idx="734">
                  <c:v>257.47000000000003</c:v>
                </c:pt>
                <c:pt idx="735">
                  <c:v>256.62</c:v>
                </c:pt>
                <c:pt idx="736">
                  <c:v>260.97000000000003</c:v>
                </c:pt>
                <c:pt idx="737">
                  <c:v>260.97000000000003</c:v>
                </c:pt>
                <c:pt idx="738">
                  <c:v>260.97000000000003</c:v>
                </c:pt>
                <c:pt idx="739">
                  <c:v>260.97000000000003</c:v>
                </c:pt>
                <c:pt idx="740">
                  <c:v>261.02</c:v>
                </c:pt>
                <c:pt idx="741">
                  <c:v>263.89</c:v>
                </c:pt>
                <c:pt idx="742">
                  <c:v>260.58</c:v>
                </c:pt>
                <c:pt idx="743">
                  <c:v>258.35000000000002</c:v>
                </c:pt>
                <c:pt idx="744">
                  <c:v>258.73</c:v>
                </c:pt>
                <c:pt idx="745">
                  <c:v>258.73</c:v>
                </c:pt>
                <c:pt idx="746">
                  <c:v>258.73</c:v>
                </c:pt>
                <c:pt idx="747">
                  <c:v>258.77999999999997</c:v>
                </c:pt>
                <c:pt idx="748">
                  <c:v>260.45</c:v>
                </c:pt>
                <c:pt idx="749">
                  <c:v>258.98</c:v>
                </c:pt>
                <c:pt idx="750">
                  <c:v>259.94</c:v>
                </c:pt>
                <c:pt idx="751">
                  <c:v>262.64999999999998</c:v>
                </c:pt>
                <c:pt idx="752">
                  <c:v>262.64999999999998</c:v>
                </c:pt>
                <c:pt idx="753">
                  <c:v>262.64999999999998</c:v>
                </c:pt>
                <c:pt idx="754">
                  <c:v>264.91000000000003</c:v>
                </c:pt>
                <c:pt idx="755">
                  <c:v>265.07</c:v>
                </c:pt>
                <c:pt idx="756">
                  <c:v>265.55</c:v>
                </c:pt>
                <c:pt idx="757">
                  <c:v>266.94</c:v>
                </c:pt>
                <c:pt idx="758">
                  <c:v>265.77</c:v>
                </c:pt>
                <c:pt idx="759">
                  <c:v>265.77</c:v>
                </c:pt>
                <c:pt idx="760">
                  <c:v>265.77</c:v>
                </c:pt>
                <c:pt idx="761">
                  <c:v>266.52999999999997</c:v>
                </c:pt>
                <c:pt idx="762">
                  <c:v>265.48</c:v>
                </c:pt>
                <c:pt idx="763">
                  <c:v>268.26</c:v>
                </c:pt>
                <c:pt idx="764">
                  <c:v>264.36</c:v>
                </c:pt>
                <c:pt idx="765">
                  <c:v>263</c:v>
                </c:pt>
                <c:pt idx="766">
                  <c:v>263</c:v>
                </c:pt>
                <c:pt idx="767">
                  <c:v>263</c:v>
                </c:pt>
                <c:pt idx="768">
                  <c:v>263.52</c:v>
                </c:pt>
                <c:pt idx="769">
                  <c:v>265.45</c:v>
                </c:pt>
                <c:pt idx="770">
                  <c:v>268.16000000000003</c:v>
                </c:pt>
                <c:pt idx="771">
                  <c:v>269.95</c:v>
                </c:pt>
                <c:pt idx="772">
                  <c:v>268.85000000000002</c:v>
                </c:pt>
                <c:pt idx="773">
                  <c:v>268.85000000000002</c:v>
                </c:pt>
                <c:pt idx="774">
                  <c:v>268.85000000000002</c:v>
                </c:pt>
                <c:pt idx="775">
                  <c:v>265.37</c:v>
                </c:pt>
                <c:pt idx="776">
                  <c:v>268.13</c:v>
                </c:pt>
                <c:pt idx="777">
                  <c:v>259.66000000000003</c:v>
                </c:pt>
                <c:pt idx="778">
                  <c:v>258.77</c:v>
                </c:pt>
                <c:pt idx="779">
                  <c:v>259.67</c:v>
                </c:pt>
                <c:pt idx="780">
                  <c:v>259.67</c:v>
                </c:pt>
                <c:pt idx="781">
                  <c:v>259.67</c:v>
                </c:pt>
                <c:pt idx="782">
                  <c:v>263.54000000000002</c:v>
                </c:pt>
                <c:pt idx="783">
                  <c:v>260.26</c:v>
                </c:pt>
                <c:pt idx="784">
                  <c:v>261.97000000000003</c:v>
                </c:pt>
                <c:pt idx="785">
                  <c:v>254.73</c:v>
                </c:pt>
                <c:pt idx="786">
                  <c:v>257.45</c:v>
                </c:pt>
                <c:pt idx="787">
                  <c:v>257.45</c:v>
                </c:pt>
                <c:pt idx="788">
                  <c:v>257.45</c:v>
                </c:pt>
                <c:pt idx="789">
                  <c:v>258.45999999999998</c:v>
                </c:pt>
                <c:pt idx="790">
                  <c:v>261.61</c:v>
                </c:pt>
                <c:pt idx="791">
                  <c:v>258.39999999999998</c:v>
                </c:pt>
                <c:pt idx="792">
                  <c:v>251.69</c:v>
                </c:pt>
                <c:pt idx="793">
                  <c:v>251.25</c:v>
                </c:pt>
                <c:pt idx="794">
                  <c:v>251.25</c:v>
                </c:pt>
                <c:pt idx="795">
                  <c:v>251.25</c:v>
                </c:pt>
                <c:pt idx="796">
                  <c:v>247.67</c:v>
                </c:pt>
                <c:pt idx="797">
                  <c:v>248.32</c:v>
                </c:pt>
                <c:pt idx="798">
                  <c:v>247.55</c:v>
                </c:pt>
                <c:pt idx="799">
                  <c:v>247.55</c:v>
                </c:pt>
                <c:pt idx="800">
                  <c:v>247.9</c:v>
                </c:pt>
                <c:pt idx="801">
                  <c:v>247.9</c:v>
                </c:pt>
                <c:pt idx="802">
                  <c:v>247.9</c:v>
                </c:pt>
                <c:pt idx="803">
                  <c:v>249.98</c:v>
                </c:pt>
                <c:pt idx="804">
                  <c:v>248.44</c:v>
                </c:pt>
                <c:pt idx="805">
                  <c:v>246.76</c:v>
                </c:pt>
                <c:pt idx="806">
                  <c:v>234.93</c:v>
                </c:pt>
                <c:pt idx="807">
                  <c:v>232.34</c:v>
                </c:pt>
                <c:pt idx="808">
                  <c:v>232.34</c:v>
                </c:pt>
                <c:pt idx="809">
                  <c:v>232.34</c:v>
                </c:pt>
                <c:pt idx="810">
                  <c:v>232.93</c:v>
                </c:pt>
                <c:pt idx="811">
                  <c:v>225.84</c:v>
                </c:pt>
                <c:pt idx="812">
                  <c:v>231.65</c:v>
                </c:pt>
                <c:pt idx="813">
                  <c:v>233.46</c:v>
                </c:pt>
                <c:pt idx="814">
                  <c:v>233.46</c:v>
                </c:pt>
                <c:pt idx="815">
                  <c:v>233.46</c:v>
                </c:pt>
                <c:pt idx="816">
                  <c:v>233.46</c:v>
                </c:pt>
                <c:pt idx="817">
                  <c:v>236.44</c:v>
                </c:pt>
                <c:pt idx="818">
                  <c:v>229.67</c:v>
                </c:pt>
                <c:pt idx="819">
                  <c:v>228.87</c:v>
                </c:pt>
                <c:pt idx="820">
                  <c:v>224.55</c:v>
                </c:pt>
                <c:pt idx="821">
                  <c:v>223.76</c:v>
                </c:pt>
                <c:pt idx="822">
                  <c:v>223.76</c:v>
                </c:pt>
                <c:pt idx="823">
                  <c:v>223.76</c:v>
                </c:pt>
                <c:pt idx="824">
                  <c:v>225.01</c:v>
                </c:pt>
                <c:pt idx="825">
                  <c:v>224.6</c:v>
                </c:pt>
                <c:pt idx="826">
                  <c:v>219.5</c:v>
                </c:pt>
                <c:pt idx="827">
                  <c:v>221.08</c:v>
                </c:pt>
                <c:pt idx="828">
                  <c:v>221.74</c:v>
                </c:pt>
                <c:pt idx="829">
                  <c:v>221.74</c:v>
                </c:pt>
                <c:pt idx="830">
                  <c:v>221.74</c:v>
                </c:pt>
                <c:pt idx="831">
                  <c:v>217.29</c:v>
                </c:pt>
                <c:pt idx="832">
                  <c:v>217.98</c:v>
                </c:pt>
                <c:pt idx="833">
                  <c:v>226.14</c:v>
                </c:pt>
                <c:pt idx="834">
                  <c:v>224.15</c:v>
                </c:pt>
                <c:pt idx="835">
                  <c:v>224.15</c:v>
                </c:pt>
                <c:pt idx="836">
                  <c:v>224.15</c:v>
                </c:pt>
                <c:pt idx="837">
                  <c:v>224.15</c:v>
                </c:pt>
                <c:pt idx="838">
                  <c:v>225.08</c:v>
                </c:pt>
                <c:pt idx="839">
                  <c:v>223.55</c:v>
                </c:pt>
                <c:pt idx="840">
                  <c:v>226.64</c:v>
                </c:pt>
                <c:pt idx="841">
                  <c:v>228.68</c:v>
                </c:pt>
                <c:pt idx="842">
                  <c:v>229.08</c:v>
                </c:pt>
                <c:pt idx="843">
                  <c:v>229.08</c:v>
                </c:pt>
                <c:pt idx="844">
                  <c:v>229.08</c:v>
                </c:pt>
                <c:pt idx="845">
                  <c:v>230.43</c:v>
                </c:pt>
                <c:pt idx="846">
                  <c:v>225.89</c:v>
                </c:pt>
                <c:pt idx="847">
                  <c:v>221.27</c:v>
                </c:pt>
                <c:pt idx="848">
                  <c:v>222.42</c:v>
                </c:pt>
                <c:pt idx="849">
                  <c:v>222.93</c:v>
                </c:pt>
                <c:pt idx="850">
                  <c:v>222.93</c:v>
                </c:pt>
                <c:pt idx="851">
                  <c:v>222.93</c:v>
                </c:pt>
                <c:pt idx="852">
                  <c:v>224.84</c:v>
                </c:pt>
                <c:pt idx="853">
                  <c:v>226.33</c:v>
                </c:pt>
                <c:pt idx="854">
                  <c:v>228.63</c:v>
                </c:pt>
                <c:pt idx="855">
                  <c:v>230.73</c:v>
                </c:pt>
                <c:pt idx="856">
                  <c:v>229.3</c:v>
                </c:pt>
                <c:pt idx="857">
                  <c:v>229.3</c:v>
                </c:pt>
                <c:pt idx="858">
                  <c:v>229.3</c:v>
                </c:pt>
                <c:pt idx="859">
                  <c:v>226.37</c:v>
                </c:pt>
                <c:pt idx="860">
                  <c:v>228.52</c:v>
                </c:pt>
                <c:pt idx="861">
                  <c:v>228.4</c:v>
                </c:pt>
                <c:pt idx="862">
                  <c:v>230.58</c:v>
                </c:pt>
                <c:pt idx="863">
                  <c:v>227.78</c:v>
                </c:pt>
                <c:pt idx="864">
                  <c:v>227.78</c:v>
                </c:pt>
                <c:pt idx="865">
                  <c:v>227.78</c:v>
                </c:pt>
                <c:pt idx="866">
                  <c:v>225.94</c:v>
                </c:pt>
                <c:pt idx="867">
                  <c:v>222.77</c:v>
                </c:pt>
                <c:pt idx="868">
                  <c:v>225.47</c:v>
                </c:pt>
                <c:pt idx="869">
                  <c:v>232.16</c:v>
                </c:pt>
                <c:pt idx="870">
                  <c:v>230.44</c:v>
                </c:pt>
                <c:pt idx="871">
                  <c:v>230.44</c:v>
                </c:pt>
                <c:pt idx="872">
                  <c:v>230.44</c:v>
                </c:pt>
                <c:pt idx="873">
                  <c:v>229.38</c:v>
                </c:pt>
                <c:pt idx="874">
                  <c:v>229.49</c:v>
                </c:pt>
                <c:pt idx="875">
                  <c:v>229.21</c:v>
                </c:pt>
                <c:pt idx="876">
                  <c:v>229.31</c:v>
                </c:pt>
                <c:pt idx="877">
                  <c:v>230.69</c:v>
                </c:pt>
                <c:pt idx="878">
                  <c:v>230.69</c:v>
                </c:pt>
                <c:pt idx="879">
                  <c:v>230.69</c:v>
                </c:pt>
                <c:pt idx="880">
                  <c:v>231.07</c:v>
                </c:pt>
                <c:pt idx="881">
                  <c:v>229.47</c:v>
                </c:pt>
                <c:pt idx="882">
                  <c:v>231.53</c:v>
                </c:pt>
                <c:pt idx="883">
                  <c:v>231.6</c:v>
                </c:pt>
                <c:pt idx="884">
                  <c:v>232.1</c:v>
                </c:pt>
                <c:pt idx="885">
                  <c:v>232.1</c:v>
                </c:pt>
                <c:pt idx="886">
                  <c:v>232.1</c:v>
                </c:pt>
                <c:pt idx="887">
                  <c:v>232.1</c:v>
                </c:pt>
                <c:pt idx="888">
                  <c:v>229.93</c:v>
                </c:pt>
                <c:pt idx="889">
                  <c:v>226.49</c:v>
                </c:pt>
                <c:pt idx="890">
                  <c:v>228.84</c:v>
                </c:pt>
                <c:pt idx="891">
                  <c:v>228.49</c:v>
                </c:pt>
                <c:pt idx="892">
                  <c:v>228.49</c:v>
                </c:pt>
                <c:pt idx="893">
                  <c:v>228.49</c:v>
                </c:pt>
                <c:pt idx="894">
                  <c:v>224.4</c:v>
                </c:pt>
                <c:pt idx="895">
                  <c:v>223.65</c:v>
                </c:pt>
                <c:pt idx="896">
                  <c:v>220.44</c:v>
                </c:pt>
                <c:pt idx="897">
                  <c:v>219.82</c:v>
                </c:pt>
                <c:pt idx="898">
                  <c:v>217.6</c:v>
                </c:pt>
                <c:pt idx="899">
                  <c:v>217.6</c:v>
                </c:pt>
                <c:pt idx="900">
                  <c:v>217.6</c:v>
                </c:pt>
                <c:pt idx="901">
                  <c:v>216.92</c:v>
                </c:pt>
                <c:pt idx="902">
                  <c:v>217.06</c:v>
                </c:pt>
                <c:pt idx="903">
                  <c:v>219.83</c:v>
                </c:pt>
                <c:pt idx="904">
                  <c:v>216.24</c:v>
                </c:pt>
                <c:pt idx="905">
                  <c:v>220.31</c:v>
                </c:pt>
                <c:pt idx="906">
                  <c:v>220.31</c:v>
                </c:pt>
                <c:pt idx="907">
                  <c:v>220.31</c:v>
                </c:pt>
                <c:pt idx="908">
                  <c:v>204.05</c:v>
                </c:pt>
                <c:pt idx="909">
                  <c:v>195.3</c:v>
                </c:pt>
                <c:pt idx="910">
                  <c:v>197.89</c:v>
                </c:pt>
                <c:pt idx="911">
                  <c:v>197.39</c:v>
                </c:pt>
                <c:pt idx="912">
                  <c:v>201.19</c:v>
                </c:pt>
                <c:pt idx="913">
                  <c:v>201.19</c:v>
                </c:pt>
                <c:pt idx="914">
                  <c:v>201.19</c:v>
                </c:pt>
                <c:pt idx="915">
                  <c:v>207.83</c:v>
                </c:pt>
                <c:pt idx="916">
                  <c:v>209.54</c:v>
                </c:pt>
                <c:pt idx="917">
                  <c:v>206.32</c:v>
                </c:pt>
                <c:pt idx="918">
                  <c:v>210.13</c:v>
                </c:pt>
                <c:pt idx="919">
                  <c:v>209.08</c:v>
                </c:pt>
                <c:pt idx="920">
                  <c:v>209.08</c:v>
                </c:pt>
                <c:pt idx="921">
                  <c:v>209.08</c:v>
                </c:pt>
                <c:pt idx="922">
                  <c:v>206.93</c:v>
                </c:pt>
                <c:pt idx="923">
                  <c:v>204.33</c:v>
                </c:pt>
                <c:pt idx="924">
                  <c:v>203.22</c:v>
                </c:pt>
                <c:pt idx="925">
                  <c:v>204.06</c:v>
                </c:pt>
                <c:pt idx="926">
                  <c:v>203.28</c:v>
                </c:pt>
                <c:pt idx="927">
                  <c:v>203.28</c:v>
                </c:pt>
                <c:pt idx="928">
                  <c:v>203.28</c:v>
                </c:pt>
                <c:pt idx="929">
                  <c:v>205.18</c:v>
                </c:pt>
                <c:pt idx="930">
                  <c:v>202.83</c:v>
                </c:pt>
                <c:pt idx="931">
                  <c:v>205.65</c:v>
                </c:pt>
                <c:pt idx="932">
                  <c:v>210.3</c:v>
                </c:pt>
                <c:pt idx="933">
                  <c:v>210.3</c:v>
                </c:pt>
                <c:pt idx="934">
                  <c:v>210.3</c:v>
                </c:pt>
                <c:pt idx="935">
                  <c:v>210.3</c:v>
                </c:pt>
                <c:pt idx="936">
                  <c:v>211.67</c:v>
                </c:pt>
                <c:pt idx="937">
                  <c:v>213.04</c:v>
                </c:pt>
                <c:pt idx="938">
                  <c:v>212.67</c:v>
                </c:pt>
                <c:pt idx="939">
                  <c:v>211.66</c:v>
                </c:pt>
                <c:pt idx="940">
                  <c:v>209.37</c:v>
                </c:pt>
                <c:pt idx="941">
                  <c:v>209.37</c:v>
                </c:pt>
                <c:pt idx="942">
                  <c:v>209.37</c:v>
                </c:pt>
                <c:pt idx="943">
                  <c:v>208.62</c:v>
                </c:pt>
                <c:pt idx="944">
                  <c:v>209.48</c:v>
                </c:pt>
                <c:pt idx="945">
                  <c:v>209.91</c:v>
                </c:pt>
                <c:pt idx="946">
                  <c:v>210.59</c:v>
                </c:pt>
                <c:pt idx="947">
                  <c:v>214.67</c:v>
                </c:pt>
                <c:pt idx="948">
                  <c:v>214.67</c:v>
                </c:pt>
                <c:pt idx="949">
                  <c:v>214.67</c:v>
                </c:pt>
                <c:pt idx="950">
                  <c:v>214.5</c:v>
                </c:pt>
                <c:pt idx="951">
                  <c:v>202.11</c:v>
                </c:pt>
                <c:pt idx="952">
                  <c:v>193.86</c:v>
                </c:pt>
                <c:pt idx="953">
                  <c:v>184.08</c:v>
                </c:pt>
                <c:pt idx="954">
                  <c:v>190.56</c:v>
                </c:pt>
                <c:pt idx="955">
                  <c:v>190.56</c:v>
                </c:pt>
                <c:pt idx="956">
                  <c:v>190.56</c:v>
                </c:pt>
                <c:pt idx="957">
                  <c:v>190.14</c:v>
                </c:pt>
                <c:pt idx="958">
                  <c:v>187.81</c:v>
                </c:pt>
                <c:pt idx="959">
                  <c:v>189.25</c:v>
                </c:pt>
                <c:pt idx="960">
                  <c:v>191.15</c:v>
                </c:pt>
                <c:pt idx="961">
                  <c:v>186.88</c:v>
                </c:pt>
                <c:pt idx="962">
                  <c:v>186.88</c:v>
                </c:pt>
                <c:pt idx="963">
                  <c:v>186.88</c:v>
                </c:pt>
                <c:pt idx="964">
                  <c:v>184.23</c:v>
                </c:pt>
                <c:pt idx="965">
                  <c:v>187.67</c:v>
                </c:pt>
                <c:pt idx="966">
                  <c:v>188.13</c:v>
                </c:pt>
                <c:pt idx="967">
                  <c:v>188.63</c:v>
                </c:pt>
                <c:pt idx="968">
                  <c:v>188.63</c:v>
                </c:pt>
                <c:pt idx="969">
                  <c:v>188.63</c:v>
                </c:pt>
                <c:pt idx="970">
                  <c:v>188.63</c:v>
                </c:pt>
                <c:pt idx="971">
                  <c:v>191.89</c:v>
                </c:pt>
                <c:pt idx="972">
                  <c:v>192.2</c:v>
                </c:pt>
                <c:pt idx="973">
                  <c:v>188.74</c:v>
                </c:pt>
                <c:pt idx="974">
                  <c:v>189.74</c:v>
                </c:pt>
                <c:pt idx="975">
                  <c:v>185.77</c:v>
                </c:pt>
                <c:pt idx="976">
                  <c:v>185.77</c:v>
                </c:pt>
                <c:pt idx="977">
                  <c:v>185.77</c:v>
                </c:pt>
                <c:pt idx="978">
                  <c:v>181.28</c:v>
                </c:pt>
                <c:pt idx="979">
                  <c:v>181.45</c:v>
                </c:pt>
                <c:pt idx="980">
                  <c:v>177.27</c:v>
                </c:pt>
                <c:pt idx="981">
                  <c:v>173.2</c:v>
                </c:pt>
                <c:pt idx="982">
                  <c:v>173.2</c:v>
                </c:pt>
                <c:pt idx="983">
                  <c:v>173.2</c:v>
                </c:pt>
                <c:pt idx="984">
                  <c:v>173.2</c:v>
                </c:pt>
                <c:pt idx="985">
                  <c:v>175.55</c:v>
                </c:pt>
                <c:pt idx="986">
                  <c:v>173.05</c:v>
                </c:pt>
                <c:pt idx="987">
                  <c:v>177.05</c:v>
                </c:pt>
                <c:pt idx="988">
                  <c:v>175.93</c:v>
                </c:pt>
                <c:pt idx="989">
                  <c:v>175.93</c:v>
                </c:pt>
                <c:pt idx="990">
                  <c:v>175.93</c:v>
                </c:pt>
                <c:pt idx="991">
                  <c:v>175.93</c:v>
                </c:pt>
                <c:pt idx="992">
                  <c:v>175.69</c:v>
                </c:pt>
                <c:pt idx="993">
                  <c:v>169.99</c:v>
                </c:pt>
                <c:pt idx="994">
                  <c:v>164.35</c:v>
                </c:pt>
                <c:pt idx="995">
                  <c:v>168.78</c:v>
                </c:pt>
                <c:pt idx="996">
                  <c:v>171.72</c:v>
                </c:pt>
                <c:pt idx="997">
                  <c:v>171.72</c:v>
                </c:pt>
                <c:pt idx="998">
                  <c:v>171.72</c:v>
                </c:pt>
                <c:pt idx="999">
                  <c:v>173.17</c:v>
                </c:pt>
                <c:pt idx="1000">
                  <c:v>178.07</c:v>
                </c:pt>
                <c:pt idx="1001">
                  <c:v>176.88</c:v>
                </c:pt>
                <c:pt idx="1002">
                  <c:v>177.37</c:v>
                </c:pt>
                <c:pt idx="1003">
                  <c:v>172.33</c:v>
                </c:pt>
                <c:pt idx="1004">
                  <c:v>172.33</c:v>
                </c:pt>
                <c:pt idx="1005">
                  <c:v>172.33</c:v>
                </c:pt>
                <c:pt idx="1006">
                  <c:v>171.91</c:v>
                </c:pt>
                <c:pt idx="1007">
                  <c:v>172.28</c:v>
                </c:pt>
                <c:pt idx="1008">
                  <c:v>173.05</c:v>
                </c:pt>
                <c:pt idx="1009">
                  <c:v>176.6</c:v>
                </c:pt>
                <c:pt idx="1010">
                  <c:v>181.41</c:v>
                </c:pt>
                <c:pt idx="1011">
                  <c:v>181.41</c:v>
                </c:pt>
                <c:pt idx="1012">
                  <c:v>181.41</c:v>
                </c:pt>
                <c:pt idx="1013">
                  <c:v>180.45</c:v>
                </c:pt>
                <c:pt idx="1014">
                  <c:v>182.22</c:v>
                </c:pt>
                <c:pt idx="1015">
                  <c:v>177.82</c:v>
                </c:pt>
                <c:pt idx="1016">
                  <c:v>173.21</c:v>
                </c:pt>
                <c:pt idx="1017">
                  <c:v>176.7</c:v>
                </c:pt>
                <c:pt idx="1018">
                  <c:v>176.7</c:v>
                </c:pt>
                <c:pt idx="1019">
                  <c:v>176.7</c:v>
                </c:pt>
                <c:pt idx="1020">
                  <c:v>176.36</c:v>
                </c:pt>
                <c:pt idx="1021">
                  <c:v>176.36</c:v>
                </c:pt>
                <c:pt idx="1022">
                  <c:v>175.67</c:v>
                </c:pt>
                <c:pt idx="1023">
                  <c:v>173.64</c:v>
                </c:pt>
                <c:pt idx="1024">
                  <c:v>174.72</c:v>
                </c:pt>
                <c:pt idx="1025">
                  <c:v>174.72</c:v>
                </c:pt>
                <c:pt idx="1026">
                  <c:v>174.72</c:v>
                </c:pt>
                <c:pt idx="1027">
                  <c:v>171.54</c:v>
                </c:pt>
                <c:pt idx="1028">
                  <c:v>170.77</c:v>
                </c:pt>
                <c:pt idx="1029">
                  <c:v>176.26</c:v>
                </c:pt>
                <c:pt idx="1030">
                  <c:v>174.76</c:v>
                </c:pt>
                <c:pt idx="1031">
                  <c:v>175.61</c:v>
                </c:pt>
                <c:pt idx="1032">
                  <c:v>175.61</c:v>
                </c:pt>
                <c:pt idx="1033">
                  <c:v>175.61</c:v>
                </c:pt>
                <c:pt idx="1034">
                  <c:v>166</c:v>
                </c:pt>
                <c:pt idx="1035">
                  <c:v>158.04</c:v>
                </c:pt>
                <c:pt idx="1036">
                  <c:v>159.54</c:v>
                </c:pt>
                <c:pt idx="1037">
                  <c:v>159.24</c:v>
                </c:pt>
                <c:pt idx="1038">
                  <c:v>156.66</c:v>
                </c:pt>
                <c:pt idx="1039">
                  <c:v>156.66</c:v>
                </c:pt>
                <c:pt idx="1040">
                  <c:v>156.66</c:v>
                </c:pt>
                <c:pt idx="1041">
                  <c:v>154.91999999999999</c:v>
                </c:pt>
                <c:pt idx="1042">
                  <c:v>154.56</c:v>
                </c:pt>
                <c:pt idx="1043">
                  <c:v>158.19</c:v>
                </c:pt>
                <c:pt idx="1044">
                  <c:v>160.28</c:v>
                </c:pt>
              </c:numCache>
            </c:numRef>
          </c:val>
          <c:smooth val="0"/>
          <c:extLst>
            <c:ext xmlns:c16="http://schemas.microsoft.com/office/drawing/2014/chart" uri="{C3380CC4-5D6E-409C-BE32-E72D297353CC}">
              <c16:uniqueId val="{00000001-D1DC-4E4A-A246-46D1BC992423}"/>
            </c:ext>
          </c:extLst>
        </c:ser>
        <c:dLbls>
          <c:showLegendKey val="0"/>
          <c:showVal val="0"/>
          <c:showCatName val="0"/>
          <c:showSerName val="0"/>
          <c:showPercent val="0"/>
          <c:showBubbleSize val="0"/>
        </c:dLbls>
        <c:marker val="1"/>
        <c:smooth val="0"/>
        <c:axId val="33539583"/>
        <c:axId val="33533343"/>
      </c:lineChart>
      <c:dateAx>
        <c:axId val="33469023"/>
        <c:scaling>
          <c:orientation val="minMax"/>
        </c:scaling>
        <c:delete val="0"/>
        <c:axPos val="b"/>
        <c:numFmt formatCode="[$-409]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crossAx val="33476223"/>
        <c:crosses val="autoZero"/>
        <c:auto val="1"/>
        <c:lblOffset val="100"/>
        <c:baseTimeUnit val="days"/>
      </c:dateAx>
      <c:valAx>
        <c:axId val="334762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crossAx val="33469023"/>
        <c:crosses val="autoZero"/>
        <c:crossBetween val="between"/>
      </c:valAx>
      <c:valAx>
        <c:axId val="33533343"/>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crossAx val="33539583"/>
        <c:crosses val="max"/>
        <c:crossBetween val="between"/>
      </c:valAx>
      <c:dateAx>
        <c:axId val="33539583"/>
        <c:scaling>
          <c:orientation val="minMax"/>
        </c:scaling>
        <c:delete val="1"/>
        <c:axPos val="b"/>
        <c:numFmt formatCode="m/d/yy;@" sourceLinked="1"/>
        <c:majorTickMark val="out"/>
        <c:minorTickMark val="none"/>
        <c:tickLblPos val="nextTo"/>
        <c:crossAx val="33533343"/>
        <c:crosses val="autoZero"/>
        <c:auto val="1"/>
        <c:lblOffset val="100"/>
        <c:baseTimeUnit val="days"/>
        <c:majorUnit val="1"/>
        <c:minorUnit val="1"/>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49352580927384"/>
          <c:y val="0.14155876348789734"/>
          <c:w val="0.46233792650918637"/>
          <c:h val="0.7863269174686498"/>
        </c:manualLayout>
      </c:layout>
      <c:radarChart>
        <c:radarStyle val="filled"/>
        <c:varyColors val="0"/>
        <c:ser>
          <c:idx val="0"/>
          <c:order val="0"/>
          <c:spPr>
            <a:solidFill>
              <a:schemeClr val="accent1"/>
            </a:solidFill>
            <a:ln>
              <a:noFill/>
            </a:ln>
            <a:effectLst/>
          </c:spPr>
          <c:cat>
            <c:strRef>
              <c:f>Industry!$O$36:$O$40</c:f>
              <c:strCache>
                <c:ptCount val="5"/>
                <c:pt idx="0">
                  <c:v>Rivalry Among Existing Competitors</c:v>
                </c:pt>
                <c:pt idx="1">
                  <c:v>Threat of New Entrants</c:v>
                </c:pt>
                <c:pt idx="2">
                  <c:v>Threat of Substitutes</c:v>
                </c:pt>
                <c:pt idx="3">
                  <c:v>Bargaining Power of Customers</c:v>
                </c:pt>
                <c:pt idx="4">
                  <c:v>Bargaining Power of Suppliers</c:v>
                </c:pt>
              </c:strCache>
            </c:strRef>
          </c:cat>
          <c:val>
            <c:numRef>
              <c:f>Industry!$R$36:$R$40</c:f>
              <c:numCache>
                <c:formatCode>General</c:formatCode>
                <c:ptCount val="5"/>
                <c:pt idx="0">
                  <c:v>5</c:v>
                </c:pt>
                <c:pt idx="1">
                  <c:v>2</c:v>
                </c:pt>
                <c:pt idx="2">
                  <c:v>3</c:v>
                </c:pt>
                <c:pt idx="3">
                  <c:v>4</c:v>
                </c:pt>
                <c:pt idx="4">
                  <c:v>3</c:v>
                </c:pt>
              </c:numCache>
            </c:numRef>
          </c:val>
          <c:extLst>
            <c:ext xmlns:c16="http://schemas.microsoft.com/office/drawing/2014/chart" uri="{C3380CC4-5D6E-409C-BE32-E72D297353CC}">
              <c16:uniqueId val="{00000000-9C6F-43F2-8467-1824FEFC1A17}"/>
            </c:ext>
          </c:extLst>
        </c:ser>
        <c:dLbls>
          <c:showLegendKey val="0"/>
          <c:showVal val="0"/>
          <c:showCatName val="0"/>
          <c:showSerName val="0"/>
          <c:showPercent val="0"/>
          <c:showBubbleSize val="0"/>
        </c:dLbls>
        <c:axId val="936468056"/>
        <c:axId val="936462480"/>
      </c:radarChart>
      <c:catAx>
        <c:axId val="936468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US"/>
          </a:p>
        </c:txPr>
        <c:crossAx val="936462480"/>
        <c:crosses val="autoZero"/>
        <c:auto val="1"/>
        <c:lblAlgn val="ctr"/>
        <c:lblOffset val="100"/>
        <c:noMultiLvlLbl val="0"/>
      </c:catAx>
      <c:valAx>
        <c:axId val="93646248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364680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11471037341324E-2"/>
          <c:y val="9.4264761848210116E-2"/>
          <c:w val="0.90807390123367093"/>
          <c:h val="0.65465561310556841"/>
        </c:manualLayout>
      </c:layout>
      <c:lineChart>
        <c:grouping val="standard"/>
        <c:varyColors val="0"/>
        <c:ser>
          <c:idx val="0"/>
          <c:order val="0"/>
          <c:tx>
            <c:strRef>
              <c:f>'Stock Data'!$U$4</c:f>
              <c:strCache>
                <c:ptCount val="1"/>
                <c:pt idx="0">
                  <c:v>FDX US Equity</c:v>
                </c:pt>
              </c:strCache>
            </c:strRef>
          </c:tx>
          <c:spPr>
            <a:ln w="28575" cap="rnd">
              <a:solidFill>
                <a:schemeClr val="accent1"/>
              </a:solidFill>
              <a:round/>
            </a:ln>
            <a:effectLst/>
          </c:spPr>
          <c:marker>
            <c:symbol val="none"/>
          </c:marker>
          <c:cat>
            <c:numRef>
              <c:f>'Stock Data'!$Q$5:$Q$159</c:f>
              <c:numCache>
                <c:formatCode>m/d/yyyy</c:formatCode>
                <c:ptCount val="155"/>
                <c:pt idx="0">
                  <c:v>45938</c:v>
                </c:pt>
                <c:pt idx="1">
                  <c:v>45931</c:v>
                </c:pt>
                <c:pt idx="2">
                  <c:v>45924</c:v>
                </c:pt>
                <c:pt idx="3">
                  <c:v>45917</c:v>
                </c:pt>
                <c:pt idx="4">
                  <c:v>45910</c:v>
                </c:pt>
                <c:pt idx="5">
                  <c:v>45903</c:v>
                </c:pt>
                <c:pt idx="6">
                  <c:v>45896</c:v>
                </c:pt>
                <c:pt idx="7">
                  <c:v>45889</c:v>
                </c:pt>
                <c:pt idx="8">
                  <c:v>45882</c:v>
                </c:pt>
                <c:pt idx="9">
                  <c:v>45875</c:v>
                </c:pt>
                <c:pt idx="10">
                  <c:v>45868</c:v>
                </c:pt>
                <c:pt idx="11">
                  <c:v>45861</c:v>
                </c:pt>
                <c:pt idx="12">
                  <c:v>45854</c:v>
                </c:pt>
                <c:pt idx="13">
                  <c:v>45847</c:v>
                </c:pt>
                <c:pt idx="14">
                  <c:v>45840</c:v>
                </c:pt>
                <c:pt idx="15">
                  <c:v>45833</c:v>
                </c:pt>
                <c:pt idx="16">
                  <c:v>45826</c:v>
                </c:pt>
                <c:pt idx="17">
                  <c:v>45819</c:v>
                </c:pt>
                <c:pt idx="18">
                  <c:v>45812</c:v>
                </c:pt>
                <c:pt idx="19">
                  <c:v>45805</c:v>
                </c:pt>
                <c:pt idx="20">
                  <c:v>45798</c:v>
                </c:pt>
                <c:pt idx="21">
                  <c:v>45791</c:v>
                </c:pt>
                <c:pt idx="22">
                  <c:v>45784</c:v>
                </c:pt>
                <c:pt idx="23">
                  <c:v>45777</c:v>
                </c:pt>
                <c:pt idx="24">
                  <c:v>45770</c:v>
                </c:pt>
                <c:pt idx="25">
                  <c:v>45763</c:v>
                </c:pt>
                <c:pt idx="26">
                  <c:v>45756</c:v>
                </c:pt>
                <c:pt idx="27">
                  <c:v>45749</c:v>
                </c:pt>
                <c:pt idx="28">
                  <c:v>45742</c:v>
                </c:pt>
                <c:pt idx="29">
                  <c:v>45735</c:v>
                </c:pt>
                <c:pt idx="30">
                  <c:v>45728</c:v>
                </c:pt>
                <c:pt idx="31">
                  <c:v>45721</c:v>
                </c:pt>
                <c:pt idx="32">
                  <c:v>45714</c:v>
                </c:pt>
                <c:pt idx="33">
                  <c:v>45707</c:v>
                </c:pt>
                <c:pt idx="34">
                  <c:v>45700</c:v>
                </c:pt>
                <c:pt idx="35">
                  <c:v>45693</c:v>
                </c:pt>
                <c:pt idx="36">
                  <c:v>45686</c:v>
                </c:pt>
                <c:pt idx="37">
                  <c:v>45679</c:v>
                </c:pt>
                <c:pt idx="38">
                  <c:v>45672</c:v>
                </c:pt>
                <c:pt idx="39">
                  <c:v>45665</c:v>
                </c:pt>
                <c:pt idx="40">
                  <c:v>45658</c:v>
                </c:pt>
                <c:pt idx="41">
                  <c:v>45651</c:v>
                </c:pt>
                <c:pt idx="42">
                  <c:v>45644</c:v>
                </c:pt>
                <c:pt idx="43">
                  <c:v>45637</c:v>
                </c:pt>
                <c:pt idx="44">
                  <c:v>45630</c:v>
                </c:pt>
                <c:pt idx="45">
                  <c:v>45623</c:v>
                </c:pt>
                <c:pt idx="46">
                  <c:v>45616</c:v>
                </c:pt>
                <c:pt idx="47">
                  <c:v>45609</c:v>
                </c:pt>
                <c:pt idx="48">
                  <c:v>45602</c:v>
                </c:pt>
                <c:pt idx="49">
                  <c:v>45595</c:v>
                </c:pt>
                <c:pt idx="50">
                  <c:v>45588</c:v>
                </c:pt>
                <c:pt idx="51">
                  <c:v>45581</c:v>
                </c:pt>
                <c:pt idx="52">
                  <c:v>45574</c:v>
                </c:pt>
                <c:pt idx="53">
                  <c:v>45567</c:v>
                </c:pt>
                <c:pt idx="54">
                  <c:v>45560</c:v>
                </c:pt>
                <c:pt idx="55">
                  <c:v>45553</c:v>
                </c:pt>
                <c:pt idx="56">
                  <c:v>45546</c:v>
                </c:pt>
                <c:pt idx="57">
                  <c:v>45539</c:v>
                </c:pt>
                <c:pt idx="58">
                  <c:v>45532</c:v>
                </c:pt>
                <c:pt idx="59">
                  <c:v>45525</c:v>
                </c:pt>
                <c:pt idx="60">
                  <c:v>45518</c:v>
                </c:pt>
                <c:pt idx="61">
                  <c:v>45511</c:v>
                </c:pt>
                <c:pt idx="62">
                  <c:v>45504</c:v>
                </c:pt>
                <c:pt idx="63">
                  <c:v>45497</c:v>
                </c:pt>
                <c:pt idx="64">
                  <c:v>45490</c:v>
                </c:pt>
                <c:pt idx="65">
                  <c:v>45483</c:v>
                </c:pt>
                <c:pt idx="66">
                  <c:v>45476</c:v>
                </c:pt>
                <c:pt idx="67">
                  <c:v>45469</c:v>
                </c:pt>
                <c:pt idx="68">
                  <c:v>45462</c:v>
                </c:pt>
                <c:pt idx="69">
                  <c:v>45455</c:v>
                </c:pt>
                <c:pt idx="70">
                  <c:v>45448</c:v>
                </c:pt>
                <c:pt idx="71">
                  <c:v>45441</c:v>
                </c:pt>
                <c:pt idx="72">
                  <c:v>45434</c:v>
                </c:pt>
                <c:pt idx="73">
                  <c:v>45427</c:v>
                </c:pt>
                <c:pt idx="74">
                  <c:v>45420</c:v>
                </c:pt>
                <c:pt idx="75">
                  <c:v>45413</c:v>
                </c:pt>
                <c:pt idx="76">
                  <c:v>45406</c:v>
                </c:pt>
                <c:pt idx="77">
                  <c:v>45399</c:v>
                </c:pt>
                <c:pt idx="78">
                  <c:v>45392</c:v>
                </c:pt>
                <c:pt idx="79">
                  <c:v>45385</c:v>
                </c:pt>
                <c:pt idx="80">
                  <c:v>45378</c:v>
                </c:pt>
                <c:pt idx="81">
                  <c:v>45371</c:v>
                </c:pt>
                <c:pt idx="82">
                  <c:v>45364</c:v>
                </c:pt>
                <c:pt idx="83">
                  <c:v>45357</c:v>
                </c:pt>
                <c:pt idx="84">
                  <c:v>45350</c:v>
                </c:pt>
                <c:pt idx="85">
                  <c:v>45343</c:v>
                </c:pt>
                <c:pt idx="86">
                  <c:v>45336</c:v>
                </c:pt>
                <c:pt idx="87">
                  <c:v>45329</c:v>
                </c:pt>
                <c:pt idx="88">
                  <c:v>45322</c:v>
                </c:pt>
                <c:pt idx="89">
                  <c:v>45315</c:v>
                </c:pt>
                <c:pt idx="90">
                  <c:v>45308</c:v>
                </c:pt>
                <c:pt idx="91">
                  <c:v>45301</c:v>
                </c:pt>
                <c:pt idx="92">
                  <c:v>45294</c:v>
                </c:pt>
                <c:pt idx="93">
                  <c:v>45287</c:v>
                </c:pt>
                <c:pt idx="94">
                  <c:v>45280</c:v>
                </c:pt>
                <c:pt idx="95">
                  <c:v>45273</c:v>
                </c:pt>
                <c:pt idx="96">
                  <c:v>45266</c:v>
                </c:pt>
                <c:pt idx="97">
                  <c:v>45259</c:v>
                </c:pt>
                <c:pt idx="98">
                  <c:v>45252</c:v>
                </c:pt>
                <c:pt idx="99">
                  <c:v>45245</c:v>
                </c:pt>
                <c:pt idx="100">
                  <c:v>45238</c:v>
                </c:pt>
                <c:pt idx="101">
                  <c:v>45231</c:v>
                </c:pt>
                <c:pt idx="102">
                  <c:v>45224</c:v>
                </c:pt>
                <c:pt idx="103">
                  <c:v>45217</c:v>
                </c:pt>
                <c:pt idx="104">
                  <c:v>45210</c:v>
                </c:pt>
                <c:pt idx="105">
                  <c:v>45203</c:v>
                </c:pt>
                <c:pt idx="106">
                  <c:v>45196</c:v>
                </c:pt>
                <c:pt idx="107">
                  <c:v>45189</c:v>
                </c:pt>
                <c:pt idx="108">
                  <c:v>45182</c:v>
                </c:pt>
                <c:pt idx="109">
                  <c:v>45175</c:v>
                </c:pt>
                <c:pt idx="110">
                  <c:v>45168</c:v>
                </c:pt>
                <c:pt idx="111">
                  <c:v>45161</c:v>
                </c:pt>
                <c:pt idx="112">
                  <c:v>45154</c:v>
                </c:pt>
                <c:pt idx="113">
                  <c:v>45147</c:v>
                </c:pt>
                <c:pt idx="114">
                  <c:v>45140</c:v>
                </c:pt>
                <c:pt idx="115">
                  <c:v>45133</c:v>
                </c:pt>
                <c:pt idx="116">
                  <c:v>45126</c:v>
                </c:pt>
                <c:pt idx="117">
                  <c:v>45119</c:v>
                </c:pt>
                <c:pt idx="118">
                  <c:v>45112</c:v>
                </c:pt>
                <c:pt idx="119">
                  <c:v>45105</c:v>
                </c:pt>
                <c:pt idx="120">
                  <c:v>45098</c:v>
                </c:pt>
                <c:pt idx="121">
                  <c:v>45091</c:v>
                </c:pt>
                <c:pt idx="122">
                  <c:v>45084</c:v>
                </c:pt>
                <c:pt idx="123">
                  <c:v>45077</c:v>
                </c:pt>
                <c:pt idx="124">
                  <c:v>45070</c:v>
                </c:pt>
                <c:pt idx="125">
                  <c:v>45063</c:v>
                </c:pt>
                <c:pt idx="126">
                  <c:v>45056</c:v>
                </c:pt>
                <c:pt idx="127">
                  <c:v>45049</c:v>
                </c:pt>
                <c:pt idx="128">
                  <c:v>45042</c:v>
                </c:pt>
                <c:pt idx="129">
                  <c:v>45035</c:v>
                </c:pt>
                <c:pt idx="130">
                  <c:v>45028</c:v>
                </c:pt>
                <c:pt idx="131">
                  <c:v>45021</c:v>
                </c:pt>
                <c:pt idx="132">
                  <c:v>45014</c:v>
                </c:pt>
                <c:pt idx="133">
                  <c:v>45007</c:v>
                </c:pt>
                <c:pt idx="134">
                  <c:v>45000</c:v>
                </c:pt>
                <c:pt idx="135">
                  <c:v>44993</c:v>
                </c:pt>
                <c:pt idx="136">
                  <c:v>44986</c:v>
                </c:pt>
                <c:pt idx="137">
                  <c:v>44979</c:v>
                </c:pt>
                <c:pt idx="138">
                  <c:v>44972</c:v>
                </c:pt>
                <c:pt idx="139">
                  <c:v>44965</c:v>
                </c:pt>
                <c:pt idx="140">
                  <c:v>44958</c:v>
                </c:pt>
                <c:pt idx="141">
                  <c:v>44951</c:v>
                </c:pt>
                <c:pt idx="142">
                  <c:v>44944</c:v>
                </c:pt>
                <c:pt idx="143">
                  <c:v>44937</c:v>
                </c:pt>
                <c:pt idx="144">
                  <c:v>44930</c:v>
                </c:pt>
                <c:pt idx="145">
                  <c:v>44923</c:v>
                </c:pt>
                <c:pt idx="146">
                  <c:v>44916</c:v>
                </c:pt>
                <c:pt idx="147">
                  <c:v>44909</c:v>
                </c:pt>
                <c:pt idx="148">
                  <c:v>44902</c:v>
                </c:pt>
                <c:pt idx="149">
                  <c:v>44895</c:v>
                </c:pt>
                <c:pt idx="150">
                  <c:v>44888</c:v>
                </c:pt>
                <c:pt idx="151">
                  <c:v>44881</c:v>
                </c:pt>
                <c:pt idx="152">
                  <c:v>44874</c:v>
                </c:pt>
                <c:pt idx="153">
                  <c:v>44867</c:v>
                </c:pt>
                <c:pt idx="154">
                  <c:v>44860</c:v>
                </c:pt>
              </c:numCache>
            </c:numRef>
          </c:cat>
          <c:val>
            <c:numRef>
              <c:f>'Stock Data'!$U$5:$U$159</c:f>
              <c:numCache>
                <c:formatCode>General</c:formatCode>
                <c:ptCount val="155"/>
                <c:pt idx="0">
                  <c:v>1.5466022766471199</c:v>
                </c:pt>
                <c:pt idx="1">
                  <c:v>1.5466022766471199</c:v>
                </c:pt>
                <c:pt idx="2">
                  <c:v>1.5943428768540877</c:v>
                </c:pt>
                <c:pt idx="3">
                  <c:v>1.6083477061055538</c:v>
                </c:pt>
                <c:pt idx="4">
                  <c:v>1.5896516040013797</c:v>
                </c:pt>
                <c:pt idx="5">
                  <c:v>1.534391169368748</c:v>
                </c:pt>
                <c:pt idx="6">
                  <c:v>1.6180751983442567</c:v>
                </c:pt>
                <c:pt idx="7">
                  <c:v>1.5984822352535357</c:v>
                </c:pt>
                <c:pt idx="8">
                  <c:v>1.5913073473611592</c:v>
                </c:pt>
                <c:pt idx="9">
                  <c:v>1.6468437392204209</c:v>
                </c:pt>
                <c:pt idx="10">
                  <c:v>1.61662642290445</c:v>
                </c:pt>
                <c:pt idx="11">
                  <c:v>1.5833735770955502</c:v>
                </c:pt>
                <c:pt idx="12">
                  <c:v>1.5352190410486375</c:v>
                </c:pt>
                <c:pt idx="13">
                  <c:v>1.5726802345636428</c:v>
                </c:pt>
                <c:pt idx="14">
                  <c:v>1.5162469817178339</c:v>
                </c:pt>
                <c:pt idx="15">
                  <c:v>1.5161090031045188</c:v>
                </c:pt>
                <c:pt idx="16">
                  <c:v>1.5256295274232494</c:v>
                </c:pt>
                <c:pt idx="17">
                  <c:v>1.5946878233873751</c:v>
                </c:pt>
                <c:pt idx="18">
                  <c:v>1.4723007933770267</c:v>
                </c:pt>
                <c:pt idx="19">
                  <c:v>1.4477406002069679</c:v>
                </c:pt>
                <c:pt idx="20">
                  <c:v>1.4251121076233184</c:v>
                </c:pt>
                <c:pt idx="21">
                  <c:v>1.430493273542601</c:v>
                </c:pt>
                <c:pt idx="22">
                  <c:v>1.3664711969644705</c:v>
                </c:pt>
                <c:pt idx="23">
                  <c:v>1.669403242497413</c:v>
                </c:pt>
                <c:pt idx="24">
                  <c:v>1.6631252155915834</c:v>
                </c:pt>
                <c:pt idx="25">
                  <c:v>1.6957571576405659</c:v>
                </c:pt>
                <c:pt idx="26">
                  <c:v>1.6761641945498449</c:v>
                </c:pt>
                <c:pt idx="27">
                  <c:v>1.7091410831321148</c:v>
                </c:pt>
                <c:pt idx="28">
                  <c:v>1.7694377371507419</c:v>
                </c:pt>
                <c:pt idx="29">
                  <c:v>1.8451190065539842</c:v>
                </c:pt>
                <c:pt idx="30">
                  <c:v>1.8024146257330114</c:v>
                </c:pt>
                <c:pt idx="31">
                  <c:v>1.7312866505691618</c:v>
                </c:pt>
                <c:pt idx="32">
                  <c:v>1.9223870300103485</c:v>
                </c:pt>
                <c:pt idx="33">
                  <c:v>1.9011383235598482</c:v>
                </c:pt>
                <c:pt idx="34">
                  <c:v>1.9152811314246294</c:v>
                </c:pt>
                <c:pt idx="35">
                  <c:v>1.8972059330803728</c:v>
                </c:pt>
                <c:pt idx="36">
                  <c:v>1.9408761641945498</c:v>
                </c:pt>
                <c:pt idx="37">
                  <c:v>1.8754053121766125</c:v>
                </c:pt>
                <c:pt idx="38">
                  <c:v>1.9139703345981376</c:v>
                </c:pt>
                <c:pt idx="39">
                  <c:v>1.9270093135563988</c:v>
                </c:pt>
                <c:pt idx="40">
                  <c:v>1.9513625388064852</c:v>
                </c:pt>
                <c:pt idx="41">
                  <c:v>2.0902380131079688</c:v>
                </c:pt>
                <c:pt idx="42">
                  <c:v>2.0218006209037602</c:v>
                </c:pt>
                <c:pt idx="43">
                  <c:v>1.9818558123490859</c:v>
                </c:pt>
                <c:pt idx="44">
                  <c:v>1.9001034839599864</c:v>
                </c:pt>
                <c:pt idx="45">
                  <c:v>1.8974818903070028</c:v>
                </c:pt>
                <c:pt idx="46">
                  <c:v>1.861262504311832</c:v>
                </c:pt>
                <c:pt idx="47">
                  <c:v>1.8345636426353917</c:v>
                </c:pt>
                <c:pt idx="48">
                  <c:v>1.803380476026216</c:v>
                </c:pt>
                <c:pt idx="49">
                  <c:v>1.85967575025871</c:v>
                </c:pt>
                <c:pt idx="50">
                  <c:v>1.8429113487409452</c:v>
                </c:pt>
                <c:pt idx="51">
                  <c:v>2.0513280441531561</c:v>
                </c:pt>
                <c:pt idx="52">
                  <c:v>1.958261469472232</c:v>
                </c:pt>
                <c:pt idx="53">
                  <c:v>2.0246981717833741</c:v>
                </c:pt>
                <c:pt idx="54">
                  <c:v>2.0344946533287342</c:v>
                </c:pt>
                <c:pt idx="55">
                  <c:v>1.9899275612280098</c:v>
                </c:pt>
                <c:pt idx="56">
                  <c:v>1.9530872714729219</c:v>
                </c:pt>
                <c:pt idx="57">
                  <c:v>1.971231459123836</c:v>
                </c:pt>
                <c:pt idx="58">
                  <c:v>2.0757502587098999</c:v>
                </c:pt>
                <c:pt idx="59">
                  <c:v>2.0751983442566404</c:v>
                </c:pt>
                <c:pt idx="60">
                  <c:v>2.1629527423249395</c:v>
                </c:pt>
                <c:pt idx="61">
                  <c:v>2.0195239737840636</c:v>
                </c:pt>
                <c:pt idx="62">
                  <c:v>2.057399103139014</c:v>
                </c:pt>
                <c:pt idx="63">
                  <c:v>1.7687478440841671</c:v>
                </c:pt>
                <c:pt idx="64">
                  <c:v>1.7115557088651261</c:v>
                </c:pt>
                <c:pt idx="65">
                  <c:v>1.7414970679544672</c:v>
                </c:pt>
                <c:pt idx="66">
                  <c:v>1.6967919972404277</c:v>
                </c:pt>
                <c:pt idx="67">
                  <c:v>1.7112107623318387</c:v>
                </c:pt>
                <c:pt idx="68">
                  <c:v>1.7408071748878926</c:v>
                </c:pt>
                <c:pt idx="69">
                  <c:v>1.7870989996550537</c:v>
                </c:pt>
                <c:pt idx="70">
                  <c:v>1.790065539841325</c:v>
                </c:pt>
                <c:pt idx="71">
                  <c:v>1.8060020696791996</c:v>
                </c:pt>
                <c:pt idx="72">
                  <c:v>1.8747844084166956</c:v>
                </c:pt>
                <c:pt idx="73">
                  <c:v>1.8278026905829599</c:v>
                </c:pt>
                <c:pt idx="74">
                  <c:v>1.906657468092446</c:v>
                </c:pt>
                <c:pt idx="75">
                  <c:v>1.8992066229734395</c:v>
                </c:pt>
                <c:pt idx="76">
                  <c:v>1.9937219730941707</c:v>
                </c:pt>
                <c:pt idx="77">
                  <c:v>1.7704035874439463</c:v>
                </c:pt>
                <c:pt idx="78">
                  <c:v>1.7538461538461541</c:v>
                </c:pt>
                <c:pt idx="79">
                  <c:v>1.7159020351845464</c:v>
                </c:pt>
                <c:pt idx="80">
                  <c:v>1.6654018627112799</c:v>
                </c:pt>
                <c:pt idx="81">
                  <c:v>1.6525698516729908</c:v>
                </c:pt>
                <c:pt idx="82">
                  <c:v>1.6308382200758882</c:v>
                </c:pt>
                <c:pt idx="83">
                  <c:v>1.6648499482580201</c:v>
                </c:pt>
                <c:pt idx="84">
                  <c:v>1.6817523283890998</c:v>
                </c:pt>
                <c:pt idx="85">
                  <c:v>1.7305967575025871</c:v>
                </c:pt>
                <c:pt idx="86">
                  <c:v>1.6905139703345982</c:v>
                </c:pt>
                <c:pt idx="87">
                  <c:v>1.7057606071058988</c:v>
                </c:pt>
                <c:pt idx="88">
                  <c:v>1.7401862711279754</c:v>
                </c:pt>
                <c:pt idx="89">
                  <c:v>1.7384615384615387</c:v>
                </c:pt>
                <c:pt idx="90">
                  <c:v>1.9317005864091068</c:v>
                </c:pt>
                <c:pt idx="91">
                  <c:v>1.8834770610555365</c:v>
                </c:pt>
                <c:pt idx="92">
                  <c:v>1.835667471541911</c:v>
                </c:pt>
                <c:pt idx="93">
                  <c:v>1.7482580200068991</c:v>
                </c:pt>
                <c:pt idx="94">
                  <c:v>1.7651604001379788</c:v>
                </c:pt>
                <c:pt idx="95">
                  <c:v>1.7535701966195241</c:v>
                </c:pt>
                <c:pt idx="96">
                  <c:v>1.6847188685753709</c:v>
                </c:pt>
                <c:pt idx="97">
                  <c:v>1.656433252845809</c:v>
                </c:pt>
                <c:pt idx="98">
                  <c:v>1.6673335632976891</c:v>
                </c:pt>
                <c:pt idx="99">
                  <c:v>1.7111417730251812</c:v>
                </c:pt>
                <c:pt idx="100">
                  <c:v>1.7715764056571235</c:v>
                </c:pt>
                <c:pt idx="101">
                  <c:v>1.7950327699206625</c:v>
                </c:pt>
                <c:pt idx="102">
                  <c:v>1.8033114867195585</c:v>
                </c:pt>
                <c:pt idx="103">
                  <c:v>1.724663677130045</c:v>
                </c:pt>
                <c:pt idx="104">
                  <c:v>1.7348740945153502</c:v>
                </c:pt>
                <c:pt idx="105">
                  <c:v>1.7704035874439463</c:v>
                </c:pt>
                <c:pt idx="106">
                  <c:v>1.7977233528803036</c:v>
                </c:pt>
                <c:pt idx="107">
                  <c:v>1.7866850638151088</c:v>
                </c:pt>
                <c:pt idx="108">
                  <c:v>1.8320110382890653</c:v>
                </c:pt>
                <c:pt idx="109">
                  <c:v>1.8507071403932391</c:v>
                </c:pt>
                <c:pt idx="110">
                  <c:v>1.8500172473266647</c:v>
                </c:pt>
                <c:pt idx="111">
                  <c:v>1.7913763366678168</c:v>
                </c:pt>
                <c:pt idx="112">
                  <c:v>1.8073128665056919</c:v>
                </c:pt>
                <c:pt idx="113">
                  <c:v>1.7826836840289755</c:v>
                </c:pt>
                <c:pt idx="114">
                  <c:v>1.7023801310796827</c:v>
                </c:pt>
                <c:pt idx="115">
                  <c:v>1.7023801310796827</c:v>
                </c:pt>
                <c:pt idx="116">
                  <c:v>1.5981372887202485</c:v>
                </c:pt>
                <c:pt idx="117">
                  <c:v>1.5789582614694724</c:v>
                </c:pt>
                <c:pt idx="118">
                  <c:v>1.5143152811314247</c:v>
                </c:pt>
                <c:pt idx="119">
                  <c:v>1.5601241807519834</c:v>
                </c:pt>
                <c:pt idx="120">
                  <c:v>1.5635736460848568</c:v>
                </c:pt>
                <c:pt idx="121">
                  <c:v>1.5265263884097966</c:v>
                </c:pt>
                <c:pt idx="122">
                  <c:v>1.5773025181096931</c:v>
                </c:pt>
                <c:pt idx="123">
                  <c:v>1.5757157640565713</c:v>
                </c:pt>
                <c:pt idx="124">
                  <c:v>1.5555018972059331</c:v>
                </c:pt>
                <c:pt idx="125">
                  <c:v>1.5813038978958263</c:v>
                </c:pt>
                <c:pt idx="126">
                  <c:v>1.5973094170403588</c:v>
                </c:pt>
                <c:pt idx="127">
                  <c:v>1.562538806484995</c:v>
                </c:pt>
                <c:pt idx="128">
                  <c:v>1.5208002759572268</c:v>
                </c:pt>
                <c:pt idx="129">
                  <c:v>1.5165919282511213</c:v>
                </c:pt>
                <c:pt idx="130">
                  <c:v>1.3652293894446361</c:v>
                </c:pt>
                <c:pt idx="131">
                  <c:v>1.4233873749568817</c:v>
                </c:pt>
                <c:pt idx="132">
                  <c:v>1.4020006898930666</c:v>
                </c:pt>
                <c:pt idx="133">
                  <c:v>1.4187650914108314</c:v>
                </c:pt>
                <c:pt idx="134">
                  <c:v>1.4671955846843741</c:v>
                </c:pt>
                <c:pt idx="135">
                  <c:v>1.4481545360469128</c:v>
                </c:pt>
                <c:pt idx="136">
                  <c:v>1.3374266988616765</c:v>
                </c:pt>
                <c:pt idx="137">
                  <c:v>1.3056226284925838</c:v>
                </c:pt>
                <c:pt idx="138">
                  <c:v>1.2978958261469473</c:v>
                </c:pt>
                <c:pt idx="139">
                  <c:v>1.302104173853053</c:v>
                </c:pt>
                <c:pt idx="140">
                  <c:v>1.2229734391169371</c:v>
                </c:pt>
                <c:pt idx="141">
                  <c:v>1.2214556743704728</c:v>
                </c:pt>
                <c:pt idx="142">
                  <c:v>1.1338392549154881</c:v>
                </c:pt>
                <c:pt idx="143">
                  <c:v>1.2202828561572956</c:v>
                </c:pt>
                <c:pt idx="144">
                  <c:v>1.1938599517074855</c:v>
                </c:pt>
                <c:pt idx="145">
                  <c:v>1.2267678509830977</c:v>
                </c:pt>
                <c:pt idx="146">
                  <c:v>1.2119351500517419</c:v>
                </c:pt>
                <c:pt idx="147">
                  <c:v>1.2160055191445327</c:v>
                </c:pt>
                <c:pt idx="148">
                  <c:v>1.1006553984132459</c:v>
                </c:pt>
                <c:pt idx="149">
                  <c:v>1.0913418420144878</c:v>
                </c:pt>
                <c:pt idx="150">
                  <c:v>1.074853397723353</c:v>
                </c:pt>
                <c:pt idx="151">
                  <c:v>1.0783028630562264</c:v>
                </c:pt>
                <c:pt idx="152">
                  <c:v>1.0491893756467749</c:v>
                </c:pt>
                <c:pt idx="153">
                  <c:v>1.0977578475336325</c:v>
                </c:pt>
                <c:pt idx="154">
                  <c:v>1</c:v>
                </c:pt>
              </c:numCache>
            </c:numRef>
          </c:val>
          <c:smooth val="0"/>
          <c:extLst>
            <c:ext xmlns:c16="http://schemas.microsoft.com/office/drawing/2014/chart" uri="{C3380CC4-5D6E-409C-BE32-E72D297353CC}">
              <c16:uniqueId val="{00000000-FDC8-481D-BAD7-1015841AA028}"/>
            </c:ext>
          </c:extLst>
        </c:ser>
        <c:ser>
          <c:idx val="1"/>
          <c:order val="1"/>
          <c:tx>
            <c:strRef>
              <c:f>'Stock Data'!$V$4</c:f>
              <c:strCache>
                <c:ptCount val="1"/>
                <c:pt idx="0">
                  <c:v>NDX Index</c:v>
                </c:pt>
              </c:strCache>
            </c:strRef>
          </c:tx>
          <c:spPr>
            <a:ln w="19050" cap="rnd">
              <a:solidFill>
                <a:schemeClr val="accent3"/>
              </a:solidFill>
              <a:round/>
            </a:ln>
            <a:effectLst/>
          </c:spPr>
          <c:marker>
            <c:symbol val="none"/>
          </c:marker>
          <c:cat>
            <c:numRef>
              <c:f>'Stock Data'!$Q$5:$Q$159</c:f>
              <c:numCache>
                <c:formatCode>m/d/yyyy</c:formatCode>
                <c:ptCount val="155"/>
                <c:pt idx="0">
                  <c:v>45938</c:v>
                </c:pt>
                <c:pt idx="1">
                  <c:v>45931</c:v>
                </c:pt>
                <c:pt idx="2">
                  <c:v>45924</c:v>
                </c:pt>
                <c:pt idx="3">
                  <c:v>45917</c:v>
                </c:pt>
                <c:pt idx="4">
                  <c:v>45910</c:v>
                </c:pt>
                <c:pt idx="5">
                  <c:v>45903</c:v>
                </c:pt>
                <c:pt idx="6">
                  <c:v>45896</c:v>
                </c:pt>
                <c:pt idx="7">
                  <c:v>45889</c:v>
                </c:pt>
                <c:pt idx="8">
                  <c:v>45882</c:v>
                </c:pt>
                <c:pt idx="9">
                  <c:v>45875</c:v>
                </c:pt>
                <c:pt idx="10">
                  <c:v>45868</c:v>
                </c:pt>
                <c:pt idx="11">
                  <c:v>45861</c:v>
                </c:pt>
                <c:pt idx="12">
                  <c:v>45854</c:v>
                </c:pt>
                <c:pt idx="13">
                  <c:v>45847</c:v>
                </c:pt>
                <c:pt idx="14">
                  <c:v>45840</c:v>
                </c:pt>
                <c:pt idx="15">
                  <c:v>45833</c:v>
                </c:pt>
                <c:pt idx="16">
                  <c:v>45826</c:v>
                </c:pt>
                <c:pt idx="17">
                  <c:v>45819</c:v>
                </c:pt>
                <c:pt idx="18">
                  <c:v>45812</c:v>
                </c:pt>
                <c:pt idx="19">
                  <c:v>45805</c:v>
                </c:pt>
                <c:pt idx="20">
                  <c:v>45798</c:v>
                </c:pt>
                <c:pt idx="21">
                  <c:v>45791</c:v>
                </c:pt>
                <c:pt idx="22">
                  <c:v>45784</c:v>
                </c:pt>
                <c:pt idx="23">
                  <c:v>45777</c:v>
                </c:pt>
                <c:pt idx="24">
                  <c:v>45770</c:v>
                </c:pt>
                <c:pt idx="25">
                  <c:v>45763</c:v>
                </c:pt>
                <c:pt idx="26">
                  <c:v>45756</c:v>
                </c:pt>
                <c:pt idx="27">
                  <c:v>45749</c:v>
                </c:pt>
                <c:pt idx="28">
                  <c:v>45742</c:v>
                </c:pt>
                <c:pt idx="29">
                  <c:v>45735</c:v>
                </c:pt>
                <c:pt idx="30">
                  <c:v>45728</c:v>
                </c:pt>
                <c:pt idx="31">
                  <c:v>45721</c:v>
                </c:pt>
                <c:pt idx="32">
                  <c:v>45714</c:v>
                </c:pt>
                <c:pt idx="33">
                  <c:v>45707</c:v>
                </c:pt>
                <c:pt idx="34">
                  <c:v>45700</c:v>
                </c:pt>
                <c:pt idx="35">
                  <c:v>45693</c:v>
                </c:pt>
                <c:pt idx="36">
                  <c:v>45686</c:v>
                </c:pt>
                <c:pt idx="37">
                  <c:v>45679</c:v>
                </c:pt>
                <c:pt idx="38">
                  <c:v>45672</c:v>
                </c:pt>
                <c:pt idx="39">
                  <c:v>45665</c:v>
                </c:pt>
                <c:pt idx="40">
                  <c:v>45658</c:v>
                </c:pt>
                <c:pt idx="41">
                  <c:v>45651</c:v>
                </c:pt>
                <c:pt idx="42">
                  <c:v>45644</c:v>
                </c:pt>
                <c:pt idx="43">
                  <c:v>45637</c:v>
                </c:pt>
                <c:pt idx="44">
                  <c:v>45630</c:v>
                </c:pt>
                <c:pt idx="45">
                  <c:v>45623</c:v>
                </c:pt>
                <c:pt idx="46">
                  <c:v>45616</c:v>
                </c:pt>
                <c:pt idx="47">
                  <c:v>45609</c:v>
                </c:pt>
                <c:pt idx="48">
                  <c:v>45602</c:v>
                </c:pt>
                <c:pt idx="49">
                  <c:v>45595</c:v>
                </c:pt>
                <c:pt idx="50">
                  <c:v>45588</c:v>
                </c:pt>
                <c:pt idx="51">
                  <c:v>45581</c:v>
                </c:pt>
                <c:pt idx="52">
                  <c:v>45574</c:v>
                </c:pt>
                <c:pt idx="53">
                  <c:v>45567</c:v>
                </c:pt>
                <c:pt idx="54">
                  <c:v>45560</c:v>
                </c:pt>
                <c:pt idx="55">
                  <c:v>45553</c:v>
                </c:pt>
                <c:pt idx="56">
                  <c:v>45546</c:v>
                </c:pt>
                <c:pt idx="57">
                  <c:v>45539</c:v>
                </c:pt>
                <c:pt idx="58">
                  <c:v>45532</c:v>
                </c:pt>
                <c:pt idx="59">
                  <c:v>45525</c:v>
                </c:pt>
                <c:pt idx="60">
                  <c:v>45518</c:v>
                </c:pt>
                <c:pt idx="61">
                  <c:v>45511</c:v>
                </c:pt>
                <c:pt idx="62">
                  <c:v>45504</c:v>
                </c:pt>
                <c:pt idx="63">
                  <c:v>45497</c:v>
                </c:pt>
                <c:pt idx="64">
                  <c:v>45490</c:v>
                </c:pt>
                <c:pt idx="65">
                  <c:v>45483</c:v>
                </c:pt>
                <c:pt idx="66">
                  <c:v>45476</c:v>
                </c:pt>
                <c:pt idx="67">
                  <c:v>45469</c:v>
                </c:pt>
                <c:pt idx="68">
                  <c:v>45462</c:v>
                </c:pt>
                <c:pt idx="69">
                  <c:v>45455</c:v>
                </c:pt>
                <c:pt idx="70">
                  <c:v>45448</c:v>
                </c:pt>
                <c:pt idx="71">
                  <c:v>45441</c:v>
                </c:pt>
                <c:pt idx="72">
                  <c:v>45434</c:v>
                </c:pt>
                <c:pt idx="73">
                  <c:v>45427</c:v>
                </c:pt>
                <c:pt idx="74">
                  <c:v>45420</c:v>
                </c:pt>
                <c:pt idx="75">
                  <c:v>45413</c:v>
                </c:pt>
                <c:pt idx="76">
                  <c:v>45406</c:v>
                </c:pt>
                <c:pt idx="77">
                  <c:v>45399</c:v>
                </c:pt>
                <c:pt idx="78">
                  <c:v>45392</c:v>
                </c:pt>
                <c:pt idx="79">
                  <c:v>45385</c:v>
                </c:pt>
                <c:pt idx="80">
                  <c:v>45378</c:v>
                </c:pt>
                <c:pt idx="81">
                  <c:v>45371</c:v>
                </c:pt>
                <c:pt idx="82">
                  <c:v>45364</c:v>
                </c:pt>
                <c:pt idx="83">
                  <c:v>45357</c:v>
                </c:pt>
                <c:pt idx="84">
                  <c:v>45350</c:v>
                </c:pt>
                <c:pt idx="85">
                  <c:v>45343</c:v>
                </c:pt>
                <c:pt idx="86">
                  <c:v>45336</c:v>
                </c:pt>
                <c:pt idx="87">
                  <c:v>45329</c:v>
                </c:pt>
                <c:pt idx="88">
                  <c:v>45322</c:v>
                </c:pt>
                <c:pt idx="89">
                  <c:v>45315</c:v>
                </c:pt>
                <c:pt idx="90">
                  <c:v>45308</c:v>
                </c:pt>
                <c:pt idx="91">
                  <c:v>45301</c:v>
                </c:pt>
                <c:pt idx="92">
                  <c:v>45294</c:v>
                </c:pt>
                <c:pt idx="93">
                  <c:v>45287</c:v>
                </c:pt>
                <c:pt idx="94">
                  <c:v>45280</c:v>
                </c:pt>
                <c:pt idx="95">
                  <c:v>45273</c:v>
                </c:pt>
                <c:pt idx="96">
                  <c:v>45266</c:v>
                </c:pt>
                <c:pt idx="97">
                  <c:v>45259</c:v>
                </c:pt>
                <c:pt idx="98">
                  <c:v>45252</c:v>
                </c:pt>
                <c:pt idx="99">
                  <c:v>45245</c:v>
                </c:pt>
                <c:pt idx="100">
                  <c:v>45238</c:v>
                </c:pt>
                <c:pt idx="101">
                  <c:v>45231</c:v>
                </c:pt>
                <c:pt idx="102">
                  <c:v>45224</c:v>
                </c:pt>
                <c:pt idx="103">
                  <c:v>45217</c:v>
                </c:pt>
                <c:pt idx="104">
                  <c:v>45210</c:v>
                </c:pt>
                <c:pt idx="105">
                  <c:v>45203</c:v>
                </c:pt>
                <c:pt idx="106">
                  <c:v>45196</c:v>
                </c:pt>
                <c:pt idx="107">
                  <c:v>45189</c:v>
                </c:pt>
                <c:pt idx="108">
                  <c:v>45182</c:v>
                </c:pt>
                <c:pt idx="109">
                  <c:v>45175</c:v>
                </c:pt>
                <c:pt idx="110">
                  <c:v>45168</c:v>
                </c:pt>
                <c:pt idx="111">
                  <c:v>45161</c:v>
                </c:pt>
                <c:pt idx="112">
                  <c:v>45154</c:v>
                </c:pt>
                <c:pt idx="113">
                  <c:v>45147</c:v>
                </c:pt>
                <c:pt idx="114">
                  <c:v>45140</c:v>
                </c:pt>
                <c:pt idx="115">
                  <c:v>45133</c:v>
                </c:pt>
                <c:pt idx="116">
                  <c:v>45126</c:v>
                </c:pt>
                <c:pt idx="117">
                  <c:v>45119</c:v>
                </c:pt>
                <c:pt idx="118">
                  <c:v>45112</c:v>
                </c:pt>
                <c:pt idx="119">
                  <c:v>45105</c:v>
                </c:pt>
                <c:pt idx="120">
                  <c:v>45098</c:v>
                </c:pt>
                <c:pt idx="121">
                  <c:v>45091</c:v>
                </c:pt>
                <c:pt idx="122">
                  <c:v>45084</c:v>
                </c:pt>
                <c:pt idx="123">
                  <c:v>45077</c:v>
                </c:pt>
                <c:pt idx="124">
                  <c:v>45070</c:v>
                </c:pt>
                <c:pt idx="125">
                  <c:v>45063</c:v>
                </c:pt>
                <c:pt idx="126">
                  <c:v>45056</c:v>
                </c:pt>
                <c:pt idx="127">
                  <c:v>45049</c:v>
                </c:pt>
                <c:pt idx="128">
                  <c:v>45042</c:v>
                </c:pt>
                <c:pt idx="129">
                  <c:v>45035</c:v>
                </c:pt>
                <c:pt idx="130">
                  <c:v>45028</c:v>
                </c:pt>
                <c:pt idx="131">
                  <c:v>45021</c:v>
                </c:pt>
                <c:pt idx="132">
                  <c:v>45014</c:v>
                </c:pt>
                <c:pt idx="133">
                  <c:v>45007</c:v>
                </c:pt>
                <c:pt idx="134">
                  <c:v>45000</c:v>
                </c:pt>
                <c:pt idx="135">
                  <c:v>44993</c:v>
                </c:pt>
                <c:pt idx="136">
                  <c:v>44986</c:v>
                </c:pt>
                <c:pt idx="137">
                  <c:v>44979</c:v>
                </c:pt>
                <c:pt idx="138">
                  <c:v>44972</c:v>
                </c:pt>
                <c:pt idx="139">
                  <c:v>44965</c:v>
                </c:pt>
                <c:pt idx="140">
                  <c:v>44958</c:v>
                </c:pt>
                <c:pt idx="141">
                  <c:v>44951</c:v>
                </c:pt>
                <c:pt idx="142">
                  <c:v>44944</c:v>
                </c:pt>
                <c:pt idx="143">
                  <c:v>44937</c:v>
                </c:pt>
                <c:pt idx="144">
                  <c:v>44930</c:v>
                </c:pt>
                <c:pt idx="145">
                  <c:v>44923</c:v>
                </c:pt>
                <c:pt idx="146">
                  <c:v>44916</c:v>
                </c:pt>
                <c:pt idx="147">
                  <c:v>44909</c:v>
                </c:pt>
                <c:pt idx="148">
                  <c:v>44902</c:v>
                </c:pt>
                <c:pt idx="149">
                  <c:v>44895</c:v>
                </c:pt>
                <c:pt idx="150">
                  <c:v>44888</c:v>
                </c:pt>
                <c:pt idx="151">
                  <c:v>44881</c:v>
                </c:pt>
                <c:pt idx="152">
                  <c:v>44874</c:v>
                </c:pt>
                <c:pt idx="153">
                  <c:v>44867</c:v>
                </c:pt>
                <c:pt idx="154">
                  <c:v>44860</c:v>
                </c:pt>
              </c:numCache>
            </c:numRef>
          </c:cat>
          <c:val>
            <c:numRef>
              <c:f>'Stock Data'!$V$5:$V$159</c:f>
              <c:numCache>
                <c:formatCode>General</c:formatCode>
                <c:ptCount val="155"/>
                <c:pt idx="0">
                  <c:v>2.0610029498525075</c:v>
                </c:pt>
                <c:pt idx="1">
                  <c:v>2.0610029498525075</c:v>
                </c:pt>
                <c:pt idx="2">
                  <c:v>2.0871018253598601</c:v>
                </c:pt>
                <c:pt idx="3">
                  <c:v>2.0746352607181673</c:v>
                </c:pt>
                <c:pt idx="4">
                  <c:v>2.1149510945505359</c:v>
                </c:pt>
                <c:pt idx="5">
                  <c:v>2.0421460731474705</c:v>
                </c:pt>
                <c:pt idx="6">
                  <c:v>2.0678510435380484</c:v>
                </c:pt>
                <c:pt idx="7">
                  <c:v>2.0461401290837715</c:v>
                </c:pt>
                <c:pt idx="8">
                  <c:v>2.0302606072703884</c:v>
                </c:pt>
                <c:pt idx="9">
                  <c:v>2.0140838822720517</c:v>
                </c:pt>
                <c:pt idx="10">
                  <c:v>1.9942014327855035</c:v>
                </c:pt>
                <c:pt idx="11">
                  <c:v>1.9686845432164481</c:v>
                </c:pt>
                <c:pt idx="12">
                  <c:v>1.926859626943465</c:v>
                </c:pt>
                <c:pt idx="13">
                  <c:v>1.9466294053718365</c:v>
                </c:pt>
                <c:pt idx="14">
                  <c:v>1.9218470956151441</c:v>
                </c:pt>
                <c:pt idx="15">
                  <c:v>1.899881562312862</c:v>
                </c:pt>
                <c:pt idx="16">
                  <c:v>1.8956568412180894</c:v>
                </c:pt>
                <c:pt idx="17">
                  <c:v>1.8806041652804579</c:v>
                </c:pt>
                <c:pt idx="18">
                  <c:v>1.7558364938895912</c:v>
                </c:pt>
                <c:pt idx="19">
                  <c:v>1.7339765342559941</c:v>
                </c:pt>
                <c:pt idx="20">
                  <c:v>1.621435003437798</c:v>
                </c:pt>
                <c:pt idx="21">
                  <c:v>1.6705684565395791</c:v>
                </c:pt>
                <c:pt idx="22">
                  <c:v>1.5162153170536963</c:v>
                </c:pt>
                <c:pt idx="23">
                  <c:v>1.7243480382371856</c:v>
                </c:pt>
                <c:pt idx="24">
                  <c:v>1.7998828930733917</c:v>
                </c:pt>
                <c:pt idx="25">
                  <c:v>1.7285124315212812</c:v>
                </c:pt>
                <c:pt idx="26">
                  <c:v>1.7190729034976822</c:v>
                </c:pt>
                <c:pt idx="27">
                  <c:v>1.8056229068245835</c:v>
                </c:pt>
                <c:pt idx="28">
                  <c:v>1.8708053319138553</c:v>
                </c:pt>
                <c:pt idx="29">
                  <c:v>1.966385876194912</c:v>
                </c:pt>
                <c:pt idx="30">
                  <c:v>1.9245920110009538</c:v>
                </c:pt>
                <c:pt idx="31">
                  <c:v>1.9133603921307691</c:v>
                </c:pt>
                <c:pt idx="32">
                  <c:v>1.9041444318761507</c:v>
                </c:pt>
                <c:pt idx="33">
                  <c:v>1.9133240180096256</c:v>
                </c:pt>
                <c:pt idx="34">
                  <c:v>1.8415427950406991</c:v>
                </c:pt>
                <c:pt idx="35">
                  <c:v>1.8784163949697252</c:v>
                </c:pt>
                <c:pt idx="36">
                  <c:v>1.8641444318761504</c:v>
                </c:pt>
                <c:pt idx="37">
                  <c:v>1.9338301505977333</c:v>
                </c:pt>
                <c:pt idx="38">
                  <c:v>1.9518779249007476</c:v>
                </c:pt>
                <c:pt idx="39">
                  <c:v>1.8957287022866902</c:v>
                </c:pt>
                <c:pt idx="40">
                  <c:v>1.8834094084769446</c:v>
                </c:pt>
                <c:pt idx="41">
                  <c:v>1.8562246323774039</c:v>
                </c:pt>
                <c:pt idx="42">
                  <c:v>1.8350823962561271</c:v>
                </c:pt>
                <c:pt idx="43">
                  <c:v>1.8693450440259942</c:v>
                </c:pt>
                <c:pt idx="44">
                  <c:v>1.7945270255284227</c:v>
                </c:pt>
                <c:pt idx="45">
                  <c:v>1.8231995919001043</c:v>
                </c:pt>
                <c:pt idx="46">
                  <c:v>1.8083837913367491</c:v>
                </c:pt>
                <c:pt idx="47">
                  <c:v>1.7885270698871074</c:v>
                </c:pt>
                <c:pt idx="48">
                  <c:v>1.7839093308492469</c:v>
                </c:pt>
                <c:pt idx="49">
                  <c:v>1.7542351453855878</c:v>
                </c:pt>
                <c:pt idx="50">
                  <c:v>1.7694537228025817</c:v>
                </c:pt>
                <c:pt idx="51">
                  <c:v>1.7239913944152419</c:v>
                </c:pt>
                <c:pt idx="52">
                  <c:v>1.6704717546077583</c:v>
                </c:pt>
                <c:pt idx="53">
                  <c:v>1.6819686384101846</c:v>
                </c:pt>
                <c:pt idx="54">
                  <c:v>1.7372209284272628</c:v>
                </c:pt>
                <c:pt idx="55">
                  <c:v>1.7494905405105685</c:v>
                </c:pt>
                <c:pt idx="56">
                  <c:v>1.6862004568944486</c:v>
                </c:pt>
                <c:pt idx="57">
                  <c:v>1.6038254929358793</c:v>
                </c:pt>
                <c:pt idx="58">
                  <c:v>1.667555614700468</c:v>
                </c:pt>
                <c:pt idx="59">
                  <c:v>1.7525530640761195</c:v>
                </c:pt>
                <c:pt idx="60">
                  <c:v>1.8097127775190189</c:v>
                </c:pt>
                <c:pt idx="61">
                  <c:v>1.8145381151995033</c:v>
                </c:pt>
                <c:pt idx="62">
                  <c:v>1.7754022223700845</c:v>
                </c:pt>
                <c:pt idx="63">
                  <c:v>1.7478324128906337</c:v>
                </c:pt>
                <c:pt idx="64">
                  <c:v>1.7662616718788122</c:v>
                </c:pt>
                <c:pt idx="65">
                  <c:v>1.7042766207554285</c:v>
                </c:pt>
                <c:pt idx="66">
                  <c:v>1.6550083172533103</c:v>
                </c:pt>
                <c:pt idx="67">
                  <c:v>1.6740470645640648</c:v>
                </c:pt>
                <c:pt idx="68">
                  <c:v>1.6602390933084925</c:v>
                </c:pt>
                <c:pt idx="69">
                  <c:v>1.6255479406480804</c:v>
                </c:pt>
                <c:pt idx="70">
                  <c:v>1.6050258389336174</c:v>
                </c:pt>
                <c:pt idx="71">
                  <c:v>1.5472921241155986</c:v>
                </c:pt>
                <c:pt idx="72">
                  <c:v>1.5500228447224256</c:v>
                </c:pt>
                <c:pt idx="73">
                  <c:v>1.5715093042340365</c:v>
                </c:pt>
                <c:pt idx="74">
                  <c:v>1.6119857165036486</c:v>
                </c:pt>
                <c:pt idx="75">
                  <c:v>1.6077166367245546</c:v>
                </c:pt>
                <c:pt idx="76">
                  <c:v>1.6155911903652938</c:v>
                </c:pt>
                <c:pt idx="77">
                  <c:v>1.599770222015215</c:v>
                </c:pt>
                <c:pt idx="78">
                  <c:v>1.6163523853882493</c:v>
                </c:pt>
                <c:pt idx="79">
                  <c:v>1.5878519307117349</c:v>
                </c:pt>
                <c:pt idx="80">
                  <c:v>1.5943442677490185</c:v>
                </c:pt>
                <c:pt idx="81">
                  <c:v>1.5566438219442411</c:v>
                </c:pt>
                <c:pt idx="82">
                  <c:v>1.5614629494089203</c:v>
                </c:pt>
                <c:pt idx="83">
                  <c:v>1.5590063654712001</c:v>
                </c:pt>
                <c:pt idx="84">
                  <c:v>1.5504877237341139</c:v>
                </c:pt>
                <c:pt idx="85">
                  <c:v>1.5440557145075076</c:v>
                </c:pt>
                <c:pt idx="86">
                  <c:v>1.4931763035908354</c:v>
                </c:pt>
                <c:pt idx="87">
                  <c:v>1.4796912635571229</c:v>
                </c:pt>
                <c:pt idx="88">
                  <c:v>1.4677348237851264</c:v>
                </c:pt>
                <c:pt idx="89">
                  <c:v>1.4974125579435313</c:v>
                </c:pt>
                <c:pt idx="90">
                  <c:v>1.4915030940182312</c:v>
                </c:pt>
                <c:pt idx="91">
                  <c:v>1.450906026127265</c:v>
                </c:pt>
                <c:pt idx="92">
                  <c:v>1.4086286512742032</c:v>
                </c:pt>
                <c:pt idx="93">
                  <c:v>1.4204032204404817</c:v>
                </c:pt>
                <c:pt idx="94">
                  <c:v>1.4135888393550249</c:v>
                </c:pt>
                <c:pt idx="95">
                  <c:v>1.4028407301439438</c:v>
                </c:pt>
                <c:pt idx="96">
                  <c:v>1.357022645108346</c:v>
                </c:pt>
                <c:pt idx="97">
                  <c:v>1.2783977643223103</c:v>
                </c:pt>
                <c:pt idx="98">
                  <c:v>1.3082130104021115</c:v>
                </c:pt>
                <c:pt idx="99">
                  <c:v>1.3415849357908045</c:v>
                </c:pt>
                <c:pt idx="100">
                  <c:v>1.3424286379665979</c:v>
                </c:pt>
                <c:pt idx="101">
                  <c:v>1.2922234790516114</c:v>
                </c:pt>
                <c:pt idx="102">
                  <c:v>1.2904677623261693</c:v>
                </c:pt>
                <c:pt idx="103">
                  <c:v>1.3477259520482623</c:v>
                </c:pt>
                <c:pt idx="104">
                  <c:v>1.356465500033269</c:v>
                </c:pt>
                <c:pt idx="105">
                  <c:v>1.3758502450817309</c:v>
                </c:pt>
                <c:pt idx="106">
                  <c:v>1.3641670548051543</c:v>
                </c:pt>
                <c:pt idx="107">
                  <c:v>1.322683700401446</c:v>
                </c:pt>
                <c:pt idx="108">
                  <c:v>1.334100738572094</c:v>
                </c:pt>
                <c:pt idx="109">
                  <c:v>1.3549848071506199</c:v>
                </c:pt>
                <c:pt idx="110">
                  <c:v>1.3944604875019406</c:v>
                </c:pt>
                <c:pt idx="111">
                  <c:v>1.3805682347461574</c:v>
                </c:pt>
                <c:pt idx="112">
                  <c:v>1.4054028877503493</c:v>
                </c:pt>
                <c:pt idx="113">
                  <c:v>1.341323219553308</c:v>
                </c:pt>
                <c:pt idx="114">
                  <c:v>1.3259618071727992</c:v>
                </c:pt>
                <c:pt idx="115">
                  <c:v>1.3259618071727992</c:v>
                </c:pt>
                <c:pt idx="116">
                  <c:v>1.3369840530529864</c:v>
                </c:pt>
                <c:pt idx="117">
                  <c:v>1.3219642025417526</c:v>
                </c:pt>
                <c:pt idx="118">
                  <c:v>1.2915554372657307</c:v>
                </c:pt>
                <c:pt idx="119">
                  <c:v>1.2735369396943685</c:v>
                </c:pt>
                <c:pt idx="120">
                  <c:v>1.2129917714640583</c:v>
                </c:pt>
                <c:pt idx="121">
                  <c:v>1.1911202785725377</c:v>
                </c:pt>
                <c:pt idx="122">
                  <c:v>1.1711677423647615</c:v>
                </c:pt>
                <c:pt idx="123">
                  <c:v>1.1634094084769446</c:v>
                </c:pt>
                <c:pt idx="124">
                  <c:v>1.1289382748907668</c:v>
                </c:pt>
                <c:pt idx="125">
                  <c:v>1.1614691596247255</c:v>
                </c:pt>
                <c:pt idx="126">
                  <c:v>1.150146161864839</c:v>
                </c:pt>
                <c:pt idx="127">
                  <c:v>1.1622037394370883</c:v>
                </c:pt>
                <c:pt idx="128">
                  <c:v>1.1187765874864151</c:v>
                </c:pt>
                <c:pt idx="129">
                  <c:v>1.1303870295207044</c:v>
                </c:pt>
                <c:pt idx="130">
                  <c:v>1.0823332667953069</c:v>
                </c:pt>
                <c:pt idx="131">
                  <c:v>1.0781085457005346</c:v>
                </c:pt>
                <c:pt idx="132">
                  <c:v>1.0683451992813895</c:v>
                </c:pt>
                <c:pt idx="133">
                  <c:v>1.0699580810433162</c:v>
                </c:pt>
                <c:pt idx="134">
                  <c:v>1.117030629671524</c:v>
                </c:pt>
                <c:pt idx="135">
                  <c:v>1.1292186217756781</c:v>
                </c:pt>
                <c:pt idx="136">
                  <c:v>1.0736513850999179</c:v>
                </c:pt>
                <c:pt idx="137">
                  <c:v>1.0510027280590857</c:v>
                </c:pt>
                <c:pt idx="138">
                  <c:v>1.0253234857054141</c:v>
                </c:pt>
                <c:pt idx="139">
                  <c:v>0.99414731519063149</c:v>
                </c:pt>
                <c:pt idx="140">
                  <c:v>0.96370483731452516</c:v>
                </c:pt>
                <c:pt idx="141">
                  <c:v>0.96014460931088785</c:v>
                </c:pt>
                <c:pt idx="142">
                  <c:v>0.98231596690842149</c:v>
                </c:pt>
                <c:pt idx="143">
                  <c:v>1.0498999711668551</c:v>
                </c:pt>
                <c:pt idx="144">
                  <c:v>1.0246581054405928</c:v>
                </c:pt>
                <c:pt idx="145">
                  <c:v>1.0205558143145474</c:v>
                </c:pt>
                <c:pt idx="146">
                  <c:v>1.0401969525583872</c:v>
                </c:pt>
                <c:pt idx="147">
                  <c:v>1.053177190764522</c:v>
                </c:pt>
                <c:pt idx="148">
                  <c:v>0.98116973850555589</c:v>
                </c:pt>
                <c:pt idx="149">
                  <c:v>1.001525938740657</c:v>
                </c:pt>
                <c:pt idx="150">
                  <c:v>1.035330804888327</c:v>
                </c:pt>
                <c:pt idx="151">
                  <c:v>0.98899815911460065</c:v>
                </c:pt>
                <c:pt idx="152">
                  <c:v>0.95738017610397674</c:v>
                </c:pt>
                <c:pt idx="153">
                  <c:v>1.0275724710005103</c:v>
                </c:pt>
                <c:pt idx="154">
                  <c:v>1</c:v>
                </c:pt>
              </c:numCache>
            </c:numRef>
          </c:val>
          <c:smooth val="0"/>
          <c:extLst>
            <c:ext xmlns:c16="http://schemas.microsoft.com/office/drawing/2014/chart" uri="{C3380CC4-5D6E-409C-BE32-E72D297353CC}">
              <c16:uniqueId val="{00000001-FDC8-481D-BAD7-1015841AA028}"/>
            </c:ext>
          </c:extLst>
        </c:ser>
        <c:ser>
          <c:idx val="2"/>
          <c:order val="2"/>
          <c:tx>
            <c:strRef>
              <c:f>'Stock Data'!$W$4</c:f>
              <c:strCache>
                <c:ptCount val="1"/>
                <c:pt idx="0">
                  <c:v>S5AIRFX Index</c:v>
                </c:pt>
              </c:strCache>
            </c:strRef>
          </c:tx>
          <c:spPr>
            <a:ln w="19050" cap="rnd">
              <a:solidFill>
                <a:schemeClr val="accent1">
                  <a:lumMod val="60000"/>
                  <a:lumOff val="40000"/>
                </a:schemeClr>
              </a:solidFill>
              <a:round/>
            </a:ln>
            <a:effectLst/>
          </c:spPr>
          <c:marker>
            <c:symbol val="none"/>
          </c:marker>
          <c:cat>
            <c:numRef>
              <c:f>'Stock Data'!$Q$5:$Q$159</c:f>
              <c:numCache>
                <c:formatCode>m/d/yyyy</c:formatCode>
                <c:ptCount val="155"/>
                <c:pt idx="0">
                  <c:v>45938</c:v>
                </c:pt>
                <c:pt idx="1">
                  <c:v>45931</c:v>
                </c:pt>
                <c:pt idx="2">
                  <c:v>45924</c:v>
                </c:pt>
                <c:pt idx="3">
                  <c:v>45917</c:v>
                </c:pt>
                <c:pt idx="4">
                  <c:v>45910</c:v>
                </c:pt>
                <c:pt idx="5">
                  <c:v>45903</c:v>
                </c:pt>
                <c:pt idx="6">
                  <c:v>45896</c:v>
                </c:pt>
                <c:pt idx="7">
                  <c:v>45889</c:v>
                </c:pt>
                <c:pt idx="8">
                  <c:v>45882</c:v>
                </c:pt>
                <c:pt idx="9">
                  <c:v>45875</c:v>
                </c:pt>
                <c:pt idx="10">
                  <c:v>45868</c:v>
                </c:pt>
                <c:pt idx="11">
                  <c:v>45861</c:v>
                </c:pt>
                <c:pt idx="12">
                  <c:v>45854</c:v>
                </c:pt>
                <c:pt idx="13">
                  <c:v>45847</c:v>
                </c:pt>
                <c:pt idx="14">
                  <c:v>45840</c:v>
                </c:pt>
                <c:pt idx="15">
                  <c:v>45833</c:v>
                </c:pt>
                <c:pt idx="16">
                  <c:v>45826</c:v>
                </c:pt>
                <c:pt idx="17">
                  <c:v>45819</c:v>
                </c:pt>
                <c:pt idx="18">
                  <c:v>45812</c:v>
                </c:pt>
                <c:pt idx="19">
                  <c:v>45805</c:v>
                </c:pt>
                <c:pt idx="20">
                  <c:v>45798</c:v>
                </c:pt>
                <c:pt idx="21">
                  <c:v>45791</c:v>
                </c:pt>
                <c:pt idx="22">
                  <c:v>45784</c:v>
                </c:pt>
                <c:pt idx="23">
                  <c:v>45777</c:v>
                </c:pt>
                <c:pt idx="24">
                  <c:v>45770</c:v>
                </c:pt>
                <c:pt idx="25">
                  <c:v>45763</c:v>
                </c:pt>
                <c:pt idx="26">
                  <c:v>45756</c:v>
                </c:pt>
                <c:pt idx="27">
                  <c:v>45749</c:v>
                </c:pt>
                <c:pt idx="28">
                  <c:v>45742</c:v>
                </c:pt>
                <c:pt idx="29">
                  <c:v>45735</c:v>
                </c:pt>
                <c:pt idx="30">
                  <c:v>45728</c:v>
                </c:pt>
                <c:pt idx="31">
                  <c:v>45721</c:v>
                </c:pt>
                <c:pt idx="32">
                  <c:v>45714</c:v>
                </c:pt>
                <c:pt idx="33">
                  <c:v>45707</c:v>
                </c:pt>
                <c:pt idx="34">
                  <c:v>45700</c:v>
                </c:pt>
                <c:pt idx="35">
                  <c:v>45693</c:v>
                </c:pt>
                <c:pt idx="36">
                  <c:v>45686</c:v>
                </c:pt>
                <c:pt idx="37">
                  <c:v>45679</c:v>
                </c:pt>
                <c:pt idx="38">
                  <c:v>45672</c:v>
                </c:pt>
                <c:pt idx="39">
                  <c:v>45665</c:v>
                </c:pt>
                <c:pt idx="40">
                  <c:v>45658</c:v>
                </c:pt>
                <c:pt idx="41">
                  <c:v>45651</c:v>
                </c:pt>
                <c:pt idx="42">
                  <c:v>45644</c:v>
                </c:pt>
                <c:pt idx="43">
                  <c:v>45637</c:v>
                </c:pt>
                <c:pt idx="44">
                  <c:v>45630</c:v>
                </c:pt>
                <c:pt idx="45">
                  <c:v>45623</c:v>
                </c:pt>
                <c:pt idx="46">
                  <c:v>45616</c:v>
                </c:pt>
                <c:pt idx="47">
                  <c:v>45609</c:v>
                </c:pt>
                <c:pt idx="48">
                  <c:v>45602</c:v>
                </c:pt>
                <c:pt idx="49">
                  <c:v>45595</c:v>
                </c:pt>
                <c:pt idx="50">
                  <c:v>45588</c:v>
                </c:pt>
                <c:pt idx="51">
                  <c:v>45581</c:v>
                </c:pt>
                <c:pt idx="52">
                  <c:v>45574</c:v>
                </c:pt>
                <c:pt idx="53">
                  <c:v>45567</c:v>
                </c:pt>
                <c:pt idx="54">
                  <c:v>45560</c:v>
                </c:pt>
                <c:pt idx="55">
                  <c:v>45553</c:v>
                </c:pt>
                <c:pt idx="56">
                  <c:v>45546</c:v>
                </c:pt>
                <c:pt idx="57">
                  <c:v>45539</c:v>
                </c:pt>
                <c:pt idx="58">
                  <c:v>45532</c:v>
                </c:pt>
                <c:pt idx="59">
                  <c:v>45525</c:v>
                </c:pt>
                <c:pt idx="60">
                  <c:v>45518</c:v>
                </c:pt>
                <c:pt idx="61">
                  <c:v>45511</c:v>
                </c:pt>
                <c:pt idx="62">
                  <c:v>45504</c:v>
                </c:pt>
                <c:pt idx="63">
                  <c:v>45497</c:v>
                </c:pt>
                <c:pt idx="64">
                  <c:v>45490</c:v>
                </c:pt>
                <c:pt idx="65">
                  <c:v>45483</c:v>
                </c:pt>
                <c:pt idx="66">
                  <c:v>45476</c:v>
                </c:pt>
                <c:pt idx="67">
                  <c:v>45469</c:v>
                </c:pt>
                <c:pt idx="68">
                  <c:v>45462</c:v>
                </c:pt>
                <c:pt idx="69">
                  <c:v>45455</c:v>
                </c:pt>
                <c:pt idx="70">
                  <c:v>45448</c:v>
                </c:pt>
                <c:pt idx="71">
                  <c:v>45441</c:v>
                </c:pt>
                <c:pt idx="72">
                  <c:v>45434</c:v>
                </c:pt>
                <c:pt idx="73">
                  <c:v>45427</c:v>
                </c:pt>
                <c:pt idx="74">
                  <c:v>45420</c:v>
                </c:pt>
                <c:pt idx="75">
                  <c:v>45413</c:v>
                </c:pt>
                <c:pt idx="76">
                  <c:v>45406</c:v>
                </c:pt>
                <c:pt idx="77">
                  <c:v>45399</c:v>
                </c:pt>
                <c:pt idx="78">
                  <c:v>45392</c:v>
                </c:pt>
                <c:pt idx="79">
                  <c:v>45385</c:v>
                </c:pt>
                <c:pt idx="80">
                  <c:v>45378</c:v>
                </c:pt>
                <c:pt idx="81">
                  <c:v>45371</c:v>
                </c:pt>
                <c:pt idx="82">
                  <c:v>45364</c:v>
                </c:pt>
                <c:pt idx="83">
                  <c:v>45357</c:v>
                </c:pt>
                <c:pt idx="84">
                  <c:v>45350</c:v>
                </c:pt>
                <c:pt idx="85">
                  <c:v>45343</c:v>
                </c:pt>
                <c:pt idx="86">
                  <c:v>45336</c:v>
                </c:pt>
                <c:pt idx="87">
                  <c:v>45329</c:v>
                </c:pt>
                <c:pt idx="88">
                  <c:v>45322</c:v>
                </c:pt>
                <c:pt idx="89">
                  <c:v>45315</c:v>
                </c:pt>
                <c:pt idx="90">
                  <c:v>45308</c:v>
                </c:pt>
                <c:pt idx="91">
                  <c:v>45301</c:v>
                </c:pt>
                <c:pt idx="92">
                  <c:v>45294</c:v>
                </c:pt>
                <c:pt idx="93">
                  <c:v>45287</c:v>
                </c:pt>
                <c:pt idx="94">
                  <c:v>45280</c:v>
                </c:pt>
                <c:pt idx="95">
                  <c:v>45273</c:v>
                </c:pt>
                <c:pt idx="96">
                  <c:v>45266</c:v>
                </c:pt>
                <c:pt idx="97">
                  <c:v>45259</c:v>
                </c:pt>
                <c:pt idx="98">
                  <c:v>45252</c:v>
                </c:pt>
                <c:pt idx="99">
                  <c:v>45245</c:v>
                </c:pt>
                <c:pt idx="100">
                  <c:v>45238</c:v>
                </c:pt>
                <c:pt idx="101">
                  <c:v>45231</c:v>
                </c:pt>
                <c:pt idx="102">
                  <c:v>45224</c:v>
                </c:pt>
                <c:pt idx="103">
                  <c:v>45217</c:v>
                </c:pt>
                <c:pt idx="104">
                  <c:v>45210</c:v>
                </c:pt>
                <c:pt idx="105">
                  <c:v>45203</c:v>
                </c:pt>
                <c:pt idx="106">
                  <c:v>45196</c:v>
                </c:pt>
                <c:pt idx="107">
                  <c:v>45189</c:v>
                </c:pt>
                <c:pt idx="108">
                  <c:v>45182</c:v>
                </c:pt>
                <c:pt idx="109">
                  <c:v>45175</c:v>
                </c:pt>
                <c:pt idx="110">
                  <c:v>45168</c:v>
                </c:pt>
                <c:pt idx="111">
                  <c:v>45161</c:v>
                </c:pt>
                <c:pt idx="112">
                  <c:v>45154</c:v>
                </c:pt>
                <c:pt idx="113">
                  <c:v>45147</c:v>
                </c:pt>
                <c:pt idx="114">
                  <c:v>45140</c:v>
                </c:pt>
                <c:pt idx="115">
                  <c:v>45133</c:v>
                </c:pt>
                <c:pt idx="116">
                  <c:v>45126</c:v>
                </c:pt>
                <c:pt idx="117">
                  <c:v>45119</c:v>
                </c:pt>
                <c:pt idx="118">
                  <c:v>45112</c:v>
                </c:pt>
                <c:pt idx="119">
                  <c:v>45105</c:v>
                </c:pt>
                <c:pt idx="120">
                  <c:v>45098</c:v>
                </c:pt>
                <c:pt idx="121">
                  <c:v>45091</c:v>
                </c:pt>
                <c:pt idx="122">
                  <c:v>45084</c:v>
                </c:pt>
                <c:pt idx="123">
                  <c:v>45077</c:v>
                </c:pt>
                <c:pt idx="124">
                  <c:v>45070</c:v>
                </c:pt>
                <c:pt idx="125">
                  <c:v>45063</c:v>
                </c:pt>
                <c:pt idx="126">
                  <c:v>45056</c:v>
                </c:pt>
                <c:pt idx="127">
                  <c:v>45049</c:v>
                </c:pt>
                <c:pt idx="128">
                  <c:v>45042</c:v>
                </c:pt>
                <c:pt idx="129">
                  <c:v>45035</c:v>
                </c:pt>
                <c:pt idx="130">
                  <c:v>45028</c:v>
                </c:pt>
                <c:pt idx="131">
                  <c:v>45021</c:v>
                </c:pt>
                <c:pt idx="132">
                  <c:v>45014</c:v>
                </c:pt>
                <c:pt idx="133">
                  <c:v>45007</c:v>
                </c:pt>
                <c:pt idx="134">
                  <c:v>45000</c:v>
                </c:pt>
                <c:pt idx="135">
                  <c:v>44993</c:v>
                </c:pt>
                <c:pt idx="136">
                  <c:v>44986</c:v>
                </c:pt>
                <c:pt idx="137">
                  <c:v>44979</c:v>
                </c:pt>
                <c:pt idx="138">
                  <c:v>44972</c:v>
                </c:pt>
                <c:pt idx="139">
                  <c:v>44965</c:v>
                </c:pt>
                <c:pt idx="140">
                  <c:v>44958</c:v>
                </c:pt>
                <c:pt idx="141">
                  <c:v>44951</c:v>
                </c:pt>
                <c:pt idx="142">
                  <c:v>44944</c:v>
                </c:pt>
                <c:pt idx="143">
                  <c:v>44937</c:v>
                </c:pt>
                <c:pt idx="144">
                  <c:v>44930</c:v>
                </c:pt>
                <c:pt idx="145">
                  <c:v>44923</c:v>
                </c:pt>
                <c:pt idx="146">
                  <c:v>44916</c:v>
                </c:pt>
                <c:pt idx="147">
                  <c:v>44909</c:v>
                </c:pt>
                <c:pt idx="148">
                  <c:v>44902</c:v>
                </c:pt>
                <c:pt idx="149">
                  <c:v>44895</c:v>
                </c:pt>
                <c:pt idx="150">
                  <c:v>44888</c:v>
                </c:pt>
                <c:pt idx="151">
                  <c:v>44881</c:v>
                </c:pt>
                <c:pt idx="152">
                  <c:v>44874</c:v>
                </c:pt>
                <c:pt idx="153">
                  <c:v>44867</c:v>
                </c:pt>
                <c:pt idx="154">
                  <c:v>44860</c:v>
                </c:pt>
              </c:numCache>
            </c:numRef>
          </c:cat>
          <c:val>
            <c:numRef>
              <c:f>'Stock Data'!$W$5:$W$159</c:f>
              <c:numCache>
                <c:formatCode>General</c:formatCode>
                <c:ptCount val="155"/>
                <c:pt idx="0">
                  <c:v>0.82367727149510828</c:v>
                </c:pt>
                <c:pt idx="1">
                  <c:v>0.82367727149510828</c:v>
                </c:pt>
                <c:pt idx="2">
                  <c:v>0.84102614652899277</c:v>
                </c:pt>
                <c:pt idx="3">
                  <c:v>0.84276349836122133</c:v>
                </c:pt>
                <c:pt idx="4">
                  <c:v>0.83381798467187462</c:v>
                </c:pt>
                <c:pt idx="5">
                  <c:v>0.81585302742797994</c:v>
                </c:pt>
                <c:pt idx="6">
                  <c:v>0.83553069321570272</c:v>
                </c:pt>
                <c:pt idx="7">
                  <c:v>0.87455334039774257</c:v>
                </c:pt>
                <c:pt idx="8">
                  <c:v>0.86441262722097623</c:v>
                </c:pt>
                <c:pt idx="9">
                  <c:v>0.89054683456960493</c:v>
                </c:pt>
                <c:pt idx="10">
                  <c:v>0.89430493605066652</c:v>
                </c:pt>
                <c:pt idx="11">
                  <c:v>0.86629783878360733</c:v>
                </c:pt>
                <c:pt idx="12">
                  <c:v>0.85273170851918467</c:v>
                </c:pt>
                <c:pt idx="13">
                  <c:v>0.87391261489933214</c:v>
                </c:pt>
                <c:pt idx="14">
                  <c:v>0.84280046329382186</c:v>
                </c:pt>
                <c:pt idx="15">
                  <c:v>0.84325636412922933</c:v>
                </c:pt>
                <c:pt idx="16">
                  <c:v>0.8485793144237167</c:v>
                </c:pt>
                <c:pt idx="17">
                  <c:v>0.86725892703122298</c:v>
                </c:pt>
                <c:pt idx="18">
                  <c:v>0.80701840853643514</c:v>
                </c:pt>
                <c:pt idx="19">
                  <c:v>0.81646910963799002</c:v>
                </c:pt>
                <c:pt idx="20">
                  <c:v>0.81309297912713463</c:v>
                </c:pt>
                <c:pt idx="21">
                  <c:v>0.81586534907218011</c:v>
                </c:pt>
                <c:pt idx="22">
                  <c:v>0.77611572488232827</c:v>
                </c:pt>
                <c:pt idx="23">
                  <c:v>0.9303950319130585</c:v>
                </c:pt>
                <c:pt idx="24">
                  <c:v>0.92711747455580462</c:v>
                </c:pt>
                <c:pt idx="25">
                  <c:v>0.96961482540230159</c:v>
                </c:pt>
                <c:pt idx="26">
                  <c:v>0.9544222381034525</c:v>
                </c:pt>
                <c:pt idx="27">
                  <c:v>0.96307203233199434</c:v>
                </c:pt>
                <c:pt idx="28">
                  <c:v>0.98029769092387686</c:v>
                </c:pt>
                <c:pt idx="29">
                  <c:v>0.98355060499273017</c:v>
                </c:pt>
                <c:pt idx="30">
                  <c:v>0.96732299958106394</c:v>
                </c:pt>
                <c:pt idx="31">
                  <c:v>0.94208827225905023</c:v>
                </c:pt>
                <c:pt idx="32">
                  <c:v>1.0846989822321891</c:v>
                </c:pt>
                <c:pt idx="33">
                  <c:v>1.0660193696246827</c:v>
                </c:pt>
                <c:pt idx="34">
                  <c:v>1.036472066832598</c:v>
                </c:pt>
                <c:pt idx="35">
                  <c:v>1.0304837477513</c:v>
                </c:pt>
                <c:pt idx="36">
                  <c:v>1.0422509179624928</c:v>
                </c:pt>
                <c:pt idx="37">
                  <c:v>1.0317651987481209</c:v>
                </c:pt>
                <c:pt idx="38">
                  <c:v>1.0501737351832228</c:v>
                </c:pt>
                <c:pt idx="39">
                  <c:v>1.0690258508095321</c:v>
                </c:pt>
                <c:pt idx="40">
                  <c:v>1.0703442667389536</c:v>
                </c:pt>
                <c:pt idx="41">
                  <c:v>1.1175731289583282</c:v>
                </c:pt>
                <c:pt idx="42">
                  <c:v>1.0964661524433821</c:v>
                </c:pt>
                <c:pt idx="43">
                  <c:v>1.0769117030976614</c:v>
                </c:pt>
                <c:pt idx="44">
                  <c:v>1.0769856329628624</c:v>
                </c:pt>
                <c:pt idx="45">
                  <c:v>1.0785751250646887</c:v>
                </c:pt>
                <c:pt idx="46">
                  <c:v>1.0599817639665836</c:v>
                </c:pt>
                <c:pt idx="47">
                  <c:v>1.066894206362897</c:v>
                </c:pt>
                <c:pt idx="48">
                  <c:v>1.0485719214371965</c:v>
                </c:pt>
                <c:pt idx="49">
                  <c:v>1.0753591759284358</c:v>
                </c:pt>
                <c:pt idx="50">
                  <c:v>1.0559032997363169</c:v>
                </c:pt>
                <c:pt idx="51">
                  <c:v>1.0902683654106804</c:v>
                </c:pt>
                <c:pt idx="52">
                  <c:v>1.0684960201089233</c:v>
                </c:pt>
                <c:pt idx="53">
                  <c:v>1.0742009413736169</c:v>
                </c:pt>
                <c:pt idx="54">
                  <c:v>1.0768254515882598</c:v>
                </c:pt>
                <c:pt idx="55">
                  <c:v>1.067744399812711</c:v>
                </c:pt>
                <c:pt idx="56">
                  <c:v>1.0498287291456172</c:v>
                </c:pt>
                <c:pt idx="57">
                  <c:v>1.0430148599029054</c:v>
                </c:pt>
                <c:pt idx="58">
                  <c:v>1.0818526824219423</c:v>
                </c:pt>
                <c:pt idx="59">
                  <c:v>1.0761354395130485</c:v>
                </c:pt>
                <c:pt idx="60">
                  <c:v>1.1702235146257915</c:v>
                </c:pt>
                <c:pt idx="61">
                  <c:v>1.0862145444688138</c:v>
                </c:pt>
                <c:pt idx="62">
                  <c:v>1.097685995219202</c:v>
                </c:pt>
                <c:pt idx="63">
                  <c:v>1.048116020601789</c:v>
                </c:pt>
                <c:pt idx="64">
                  <c:v>1.0325537839769339</c:v>
                </c:pt>
                <c:pt idx="65">
                  <c:v>1.0502230217600237</c:v>
                </c:pt>
                <c:pt idx="66">
                  <c:v>1.0340447029251583</c:v>
                </c:pt>
                <c:pt idx="67">
                  <c:v>1.0421030582320905</c:v>
                </c:pt>
                <c:pt idx="68">
                  <c:v>1.0764311589738533</c:v>
                </c:pt>
                <c:pt idx="69">
                  <c:v>1.0961827546267773</c:v>
                </c:pt>
                <c:pt idx="70">
                  <c:v>1.0882229724734467</c:v>
                </c:pt>
                <c:pt idx="71">
                  <c:v>1.0842430813967816</c:v>
                </c:pt>
                <c:pt idx="72">
                  <c:v>1.1039453904729046</c:v>
                </c:pt>
                <c:pt idx="73">
                  <c:v>1.0710835653909656</c:v>
                </c:pt>
                <c:pt idx="74">
                  <c:v>1.1251755834298527</c:v>
                </c:pt>
                <c:pt idx="75">
                  <c:v>1.1146775425712807</c:v>
                </c:pt>
                <c:pt idx="76">
                  <c:v>1.1128909041622514</c:v>
                </c:pt>
                <c:pt idx="77">
                  <c:v>1.1082333226545749</c:v>
                </c:pt>
                <c:pt idx="78">
                  <c:v>1.1264447127824737</c:v>
                </c:pt>
                <c:pt idx="79">
                  <c:v>1.0817294659799404</c:v>
                </c:pt>
                <c:pt idx="80">
                  <c:v>1.069136745607334</c:v>
                </c:pt>
                <c:pt idx="81">
                  <c:v>1.0639123684664482</c:v>
                </c:pt>
                <c:pt idx="82">
                  <c:v>1.0540796963946868</c:v>
                </c:pt>
                <c:pt idx="83">
                  <c:v>1.0656004337218759</c:v>
                </c:pt>
                <c:pt idx="84">
                  <c:v>1.0748539885162276</c:v>
                </c:pt>
                <c:pt idx="85">
                  <c:v>1.146405776386801</c:v>
                </c:pt>
                <c:pt idx="86">
                  <c:v>1.1173883042953252</c:v>
                </c:pt>
                <c:pt idx="87">
                  <c:v>1.1361172034796323</c:v>
                </c:pt>
                <c:pt idx="88">
                  <c:v>1.1399122698932944</c:v>
                </c:pt>
                <c:pt idx="89">
                  <c:v>1.1394070824810862</c:v>
                </c:pt>
                <c:pt idx="90">
                  <c:v>1.18780650089948</c:v>
                </c:pt>
                <c:pt idx="91">
                  <c:v>1.1472190049040143</c:v>
                </c:pt>
                <c:pt idx="92">
                  <c:v>1.1346262845314079</c:v>
                </c:pt>
                <c:pt idx="93">
                  <c:v>1.1010990906626579</c:v>
                </c:pt>
                <c:pt idx="94">
                  <c:v>1.0988688730624214</c:v>
                </c:pt>
                <c:pt idx="95">
                  <c:v>1.0707632026417604</c:v>
                </c:pt>
                <c:pt idx="96">
                  <c:v>1.0453313290125434</c:v>
                </c:pt>
                <c:pt idx="97">
                  <c:v>1.0359422361319894</c:v>
                </c:pt>
                <c:pt idx="98">
                  <c:v>1.074693807141625</c:v>
                </c:pt>
                <c:pt idx="99">
                  <c:v>1.123598412972227</c:v>
                </c:pt>
                <c:pt idx="100">
                  <c:v>1.1263214963404717</c:v>
                </c:pt>
                <c:pt idx="101">
                  <c:v>1.1197170950491633</c:v>
                </c:pt>
                <c:pt idx="102">
                  <c:v>1.113297518420858</c:v>
                </c:pt>
                <c:pt idx="103">
                  <c:v>1.1285147490081076</c:v>
                </c:pt>
                <c:pt idx="104">
                  <c:v>1.1227851844550136</c:v>
                </c:pt>
                <c:pt idx="105">
                  <c:v>1.1600088715838242</c:v>
                </c:pt>
                <c:pt idx="106">
                  <c:v>1.2019271051529117</c:v>
                </c:pt>
                <c:pt idx="107">
                  <c:v>1.1767293427634984</c:v>
                </c:pt>
                <c:pt idx="108">
                  <c:v>1.213053549865694</c:v>
                </c:pt>
                <c:pt idx="109">
                  <c:v>1.2520761970477339</c:v>
                </c:pt>
                <c:pt idx="110">
                  <c:v>1.2783829074151654</c:v>
                </c:pt>
                <c:pt idx="111">
                  <c:v>1.2630424603859138</c:v>
                </c:pt>
                <c:pt idx="112">
                  <c:v>1.2621799452918996</c:v>
                </c:pt>
                <c:pt idx="113">
                  <c:v>1.2616870795238917</c:v>
                </c:pt>
                <c:pt idx="114">
                  <c:v>1.1970354124054314</c:v>
                </c:pt>
                <c:pt idx="115">
                  <c:v>1.1970354124054314</c:v>
                </c:pt>
                <c:pt idx="116">
                  <c:v>1.1845782301190271</c:v>
                </c:pt>
                <c:pt idx="117">
                  <c:v>1.1633603588062791</c:v>
                </c:pt>
                <c:pt idx="118">
                  <c:v>1.1280095615958994</c:v>
                </c:pt>
                <c:pt idx="119">
                  <c:v>1.1494369008600507</c:v>
                </c:pt>
                <c:pt idx="120">
                  <c:v>1.1522832006702974</c:v>
                </c:pt>
                <c:pt idx="121">
                  <c:v>1.1272332980112867</c:v>
                </c:pt>
                <c:pt idx="122">
                  <c:v>1.16890509869637</c:v>
                </c:pt>
                <c:pt idx="123">
                  <c:v>1.1880775770718845</c:v>
                </c:pt>
                <c:pt idx="124">
                  <c:v>1.1692008181571749</c:v>
                </c:pt>
                <c:pt idx="125">
                  <c:v>1.2483180955666724</c:v>
                </c:pt>
                <c:pt idx="126">
                  <c:v>1.2421449518223711</c:v>
                </c:pt>
                <c:pt idx="127">
                  <c:v>1.2251534044702923</c:v>
                </c:pt>
                <c:pt idx="128">
                  <c:v>1.2054264521057689</c:v>
                </c:pt>
                <c:pt idx="129">
                  <c:v>1.2017792454225091</c:v>
                </c:pt>
                <c:pt idx="130">
                  <c:v>1.1666748810961334</c:v>
                </c:pt>
                <c:pt idx="131">
                  <c:v>1.1758052194484832</c:v>
                </c:pt>
                <c:pt idx="132">
                  <c:v>1.1633850020946794</c:v>
                </c:pt>
                <c:pt idx="133">
                  <c:v>1.1507799600778728</c:v>
                </c:pt>
                <c:pt idx="134">
                  <c:v>1.2039848197343452</c:v>
                </c:pt>
                <c:pt idx="135">
                  <c:v>1.2073855935336011</c:v>
                </c:pt>
                <c:pt idx="136">
                  <c:v>1.1653564651667117</c:v>
                </c:pt>
                <c:pt idx="137">
                  <c:v>1.137558835851056</c:v>
                </c:pt>
                <c:pt idx="138">
                  <c:v>1.1276029473372926</c:v>
                </c:pt>
                <c:pt idx="139">
                  <c:v>1.1280218832400994</c:v>
                </c:pt>
                <c:pt idx="140">
                  <c:v>1.0939525370265408</c:v>
                </c:pt>
                <c:pt idx="141">
                  <c:v>1.1034648463490968</c:v>
                </c:pt>
                <c:pt idx="142">
                  <c:v>1.073239853126001</c:v>
                </c:pt>
                <c:pt idx="143">
                  <c:v>1.1380270583306635</c:v>
                </c:pt>
                <c:pt idx="144">
                  <c:v>1.0956652455703688</c:v>
                </c:pt>
                <c:pt idx="145">
                  <c:v>1.1458389807535918</c:v>
                </c:pt>
                <c:pt idx="146">
                  <c:v>1.1349096823480125</c:v>
                </c:pt>
                <c:pt idx="147">
                  <c:v>1.1319771310283644</c:v>
                </c:pt>
                <c:pt idx="148">
                  <c:v>1.0453559723009438</c:v>
                </c:pt>
                <c:pt idx="149">
                  <c:v>1.0366322482072006</c:v>
                </c:pt>
                <c:pt idx="150">
                  <c:v>1.0272801202592474</c:v>
                </c:pt>
                <c:pt idx="151">
                  <c:v>1.025912417753025</c:v>
                </c:pt>
                <c:pt idx="152">
                  <c:v>0.98507848887355531</c:v>
                </c:pt>
                <c:pt idx="153">
                  <c:v>1.0389980038936395</c:v>
                </c:pt>
                <c:pt idx="154">
                  <c:v>1</c:v>
                </c:pt>
              </c:numCache>
            </c:numRef>
          </c:val>
          <c:smooth val="0"/>
          <c:extLst>
            <c:ext xmlns:c16="http://schemas.microsoft.com/office/drawing/2014/chart" uri="{C3380CC4-5D6E-409C-BE32-E72D297353CC}">
              <c16:uniqueId val="{00000002-FDC8-481D-BAD7-1015841AA028}"/>
            </c:ext>
          </c:extLst>
        </c:ser>
        <c:dLbls>
          <c:showLegendKey val="0"/>
          <c:showVal val="0"/>
          <c:showCatName val="0"/>
          <c:showSerName val="0"/>
          <c:showPercent val="0"/>
          <c:showBubbleSize val="0"/>
        </c:dLbls>
        <c:smooth val="0"/>
        <c:axId val="1007329848"/>
        <c:axId val="1007330176"/>
      </c:lineChart>
      <c:dateAx>
        <c:axId val="1007329848"/>
        <c:scaling>
          <c:orientation val="minMax"/>
        </c:scaling>
        <c:delete val="0"/>
        <c:axPos val="b"/>
        <c:numFmt formatCode="[$-409]mmmmm\-yy;@" sourceLinked="0"/>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crossAx val="1007330176"/>
        <c:crosses val="autoZero"/>
        <c:auto val="1"/>
        <c:lblOffset val="100"/>
        <c:baseTimeUnit val="days"/>
      </c:dateAx>
      <c:valAx>
        <c:axId val="1007330176"/>
        <c:scaling>
          <c:orientation val="minMax"/>
          <c:min val="0.8"/>
        </c:scaling>
        <c:delete val="0"/>
        <c:axPos val="l"/>
        <c:majorGridlines>
          <c:spPr>
            <a:ln w="381" cap="flat" cmpd="sng" algn="ctr">
              <a:solidFill>
                <a:schemeClr val="bg1">
                  <a:lumMod val="95000"/>
                </a:schemeClr>
              </a:solidFill>
              <a:round/>
            </a:ln>
            <a:effectLst/>
          </c:spPr>
        </c:majorGridlines>
        <c:numFmt formatCode="0.0\x" sourceLinked="0"/>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crossAx val="1007329848"/>
        <c:crosses val="autoZero"/>
        <c:crossBetween val="between"/>
      </c:valAx>
      <c:spPr>
        <a:noFill/>
        <a:ln>
          <a:noFill/>
        </a:ln>
        <a:effectLst/>
      </c:spPr>
    </c:plotArea>
    <c:legend>
      <c:legendPos val="b"/>
      <c:layout>
        <c:manualLayout>
          <c:xMode val="edge"/>
          <c:yMode val="edge"/>
          <c:x val="0.1907301633466815"/>
          <c:y val="0.87846323471858223"/>
          <c:w val="0.61853944889233592"/>
          <c:h val="0.11296724147703503"/>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600">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797071418704242E-2"/>
          <c:y val="4.9986635641795125E-2"/>
          <c:w val="0.97440585716259154"/>
          <c:h val="0.72233157419973981"/>
        </c:manualLayout>
      </c:layout>
      <c:lineChart>
        <c:grouping val="standard"/>
        <c:varyColors val="0"/>
        <c:ser>
          <c:idx val="0"/>
          <c:order val="0"/>
          <c:tx>
            <c:strRef>
              <c:f>Inputs!$B$135</c:f>
              <c:strCache>
                <c:ptCount val="1"/>
                <c:pt idx="0">
                  <c:v>FEDEX CORP</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Inputs!$P$135:$W$135</c:f>
              <c:numCache>
                <c:formatCode>General</c:formatCode>
                <c:ptCount val="8"/>
                <c:pt idx="0">
                  <c:v>0.23257514216084485</c:v>
                </c:pt>
                <c:pt idx="1">
                  <c:v>0.23151107715813599</c:v>
                </c:pt>
                <c:pt idx="2">
                  <c:v>0.22105806895957988</c:v>
                </c:pt>
                <c:pt idx="3">
                  <c:v>0.22010922172298711</c:v>
                </c:pt>
                <c:pt idx="4">
                  <c:v>0.19842781595778891</c:v>
                </c:pt>
                <c:pt idx="5">
                  <c:v>0.1830096672084866</c:v>
                </c:pt>
                <c:pt idx="6">
                  <c:v>0.17530475292551717</c:v>
                </c:pt>
                <c:pt idx="7">
                  <c:v>0.16925068135427002</c:v>
                </c:pt>
              </c:numCache>
            </c:numRef>
          </c:val>
          <c:smooth val="0"/>
          <c:extLst>
            <c:ext xmlns:c16="http://schemas.microsoft.com/office/drawing/2014/chart" uri="{C3380CC4-5D6E-409C-BE32-E72D297353CC}">
              <c16:uniqueId val="{00000000-1963-4974-94B4-575120D8A498}"/>
            </c:ext>
          </c:extLst>
        </c:ser>
        <c:ser>
          <c:idx val="1"/>
          <c:order val="1"/>
          <c:tx>
            <c:strRef>
              <c:f>Inputs!$B$136</c:f>
              <c:strCache>
                <c:ptCount val="1"/>
                <c:pt idx="0">
                  <c:v>UNITED PARCEL-B</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Inputs!$P$136:$W$136</c:f>
              <c:numCache>
                <c:formatCode>General</c:formatCode>
                <c:ptCount val="8"/>
                <c:pt idx="0">
                  <c:v>0.19594503266501465</c:v>
                </c:pt>
                <c:pt idx="1">
                  <c:v>0.19274710900210129</c:v>
                </c:pt>
                <c:pt idx="2">
                  <c:v>0.19195886306583529</c:v>
                </c:pt>
                <c:pt idx="3">
                  <c:v>0.17828614642907784</c:v>
                </c:pt>
                <c:pt idx="4">
                  <c:v>0.1610492666029377</c:v>
                </c:pt>
                <c:pt idx="5">
                  <c:v>0.15791624309832766</c:v>
                </c:pt>
                <c:pt idx="6">
                  <c:v>0.15940324105631171</c:v>
                </c:pt>
                <c:pt idx="7">
                  <c:v>0.15820797188975513</c:v>
                </c:pt>
              </c:numCache>
            </c:numRef>
          </c:val>
          <c:smooth val="0"/>
          <c:extLst>
            <c:ext xmlns:c16="http://schemas.microsoft.com/office/drawing/2014/chart" uri="{C3380CC4-5D6E-409C-BE32-E72D297353CC}">
              <c16:uniqueId val="{00000001-1963-4974-94B4-575120D8A498}"/>
            </c:ext>
          </c:extLst>
        </c:ser>
        <c:ser>
          <c:idx val="2"/>
          <c:order val="2"/>
          <c:tx>
            <c:strRef>
              <c:f>Inputs!$B$137</c:f>
              <c:strCache>
                <c:ptCount val="1"/>
                <c:pt idx="0">
                  <c:v>DHL GROUP</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Inputs!$P$137:$W$137</c:f>
              <c:numCache>
                <c:formatCode>General</c:formatCode>
                <c:ptCount val="8"/>
                <c:pt idx="0">
                  <c:v>8.6402737369934882E-2</c:v>
                </c:pt>
                <c:pt idx="1">
                  <c:v>8.6659641238328963E-2</c:v>
                </c:pt>
                <c:pt idx="2">
                  <c:v>8.9973868697520359E-2</c:v>
                </c:pt>
                <c:pt idx="3">
                  <c:v>8.6514972539117149E-2</c:v>
                </c:pt>
                <c:pt idx="4">
                  <c:v>7.5583616286827138E-2</c:v>
                </c:pt>
                <c:pt idx="5">
                  <c:v>8.3444433145040506E-2</c:v>
                </c:pt>
                <c:pt idx="6">
                  <c:v>9.3413880586557474E-2</c:v>
                </c:pt>
                <c:pt idx="7">
                  <c:v>8.4110622360804119E-2</c:v>
                </c:pt>
              </c:numCache>
            </c:numRef>
          </c:val>
          <c:smooth val="0"/>
          <c:extLst>
            <c:ext xmlns:c16="http://schemas.microsoft.com/office/drawing/2014/chart" uri="{C3380CC4-5D6E-409C-BE32-E72D297353CC}">
              <c16:uniqueId val="{00000002-1963-4974-94B4-575120D8A498}"/>
            </c:ext>
          </c:extLst>
        </c:ser>
        <c:ser>
          <c:idx val="3"/>
          <c:order val="3"/>
          <c:tx>
            <c:strRef>
              <c:f>Inputs!$B$138</c:f>
              <c:strCache>
                <c:ptCount val="1"/>
                <c:pt idx="0">
                  <c:v>OLD DOMINION FRT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Inputs!$P$138:$W$138</c:f>
              <c:numCache>
                <c:formatCode>General</c:formatCode>
                <c:ptCount val="8"/>
                <c:pt idx="0">
                  <c:v>0</c:v>
                </c:pt>
                <c:pt idx="1">
                  <c:v>0.31306515451833039</c:v>
                </c:pt>
                <c:pt idx="2">
                  <c:v>0.29492754028791146</c:v>
                </c:pt>
                <c:pt idx="3">
                  <c:v>0.27746306532118892</c:v>
                </c:pt>
                <c:pt idx="4">
                  <c:v>0.24128060501551651</c:v>
                </c:pt>
                <c:pt idx="5">
                  <c:v>0.21066673780530173</c:v>
                </c:pt>
                <c:pt idx="6">
                  <c:v>0.20432303833927248</c:v>
                </c:pt>
                <c:pt idx="7">
                  <c:v>0</c:v>
                </c:pt>
              </c:numCache>
            </c:numRef>
          </c:val>
          <c:smooth val="0"/>
          <c:extLst>
            <c:ext xmlns:c16="http://schemas.microsoft.com/office/drawing/2014/chart" uri="{C3380CC4-5D6E-409C-BE32-E72D297353CC}">
              <c16:uniqueId val="{00000003-1963-4974-94B4-575120D8A498}"/>
            </c:ext>
          </c:extLst>
        </c:ser>
        <c:ser>
          <c:idx val="4"/>
          <c:order val="4"/>
          <c:tx>
            <c:strRef>
              <c:f>Inputs!$B$139</c:f>
              <c:strCache>
                <c:ptCount val="1"/>
                <c:pt idx="0">
                  <c:v>XPO INC</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Inputs!$P$139:$W$139</c:f>
              <c:numCache>
                <c:formatCode>General</c:formatCode>
                <c:ptCount val="8"/>
                <c:pt idx="0">
                  <c:v>0.12102854170730121</c:v>
                </c:pt>
                <c:pt idx="1">
                  <c:v>8.9586781642456162E-2</c:v>
                </c:pt>
                <c:pt idx="2">
                  <c:v>9.2603916386352722E-2</c:v>
                </c:pt>
                <c:pt idx="3">
                  <c:v>0.2400940337224384</c:v>
                </c:pt>
                <c:pt idx="4">
                  <c:v>0.19453068592057762</c:v>
                </c:pt>
                <c:pt idx="5">
                  <c:v>0</c:v>
                </c:pt>
                <c:pt idx="6">
                  <c:v>0.16094783057851242</c:v>
                </c:pt>
                <c:pt idx="7">
                  <c:v>0.16424801783944498</c:v>
                </c:pt>
              </c:numCache>
            </c:numRef>
          </c:val>
          <c:smooth val="0"/>
          <c:extLst>
            <c:ext xmlns:c16="http://schemas.microsoft.com/office/drawing/2014/chart" uri="{C3380CC4-5D6E-409C-BE32-E72D297353CC}">
              <c16:uniqueId val="{00000004-1963-4974-94B4-575120D8A498}"/>
            </c:ext>
          </c:extLst>
        </c:ser>
        <c:ser>
          <c:idx val="5"/>
          <c:order val="5"/>
          <c:tx>
            <c:strRef>
              <c:f>Inputs!$B$140</c:f>
              <c:strCache>
                <c:ptCount val="1"/>
                <c:pt idx="0">
                  <c:v>HUNT (JB) TRANS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Inputs!$P$140:$W$140</c:f>
              <c:numCache>
                <c:formatCode>General</c:formatCode>
                <c:ptCount val="8"/>
                <c:pt idx="0">
                  <c:v>0</c:v>
                </c:pt>
                <c:pt idx="1">
                  <c:v>0.18980544579061751</c:v>
                </c:pt>
                <c:pt idx="2">
                  <c:v>0.18882610833213861</c:v>
                </c:pt>
                <c:pt idx="3">
                  <c:v>0.1962087559550475</c:v>
                </c:pt>
                <c:pt idx="4">
                  <c:v>0.15719941862060952</c:v>
                </c:pt>
                <c:pt idx="5">
                  <c:v>0.13111111996159849</c:v>
                </c:pt>
                <c:pt idx="6">
                  <c:v>0.13560525547627314</c:v>
                </c:pt>
                <c:pt idx="7">
                  <c:v>0.15065601606459195</c:v>
                </c:pt>
              </c:numCache>
            </c:numRef>
          </c:val>
          <c:smooth val="0"/>
          <c:extLst>
            <c:ext xmlns:c16="http://schemas.microsoft.com/office/drawing/2014/chart" uri="{C3380CC4-5D6E-409C-BE32-E72D297353CC}">
              <c16:uniqueId val="{00000005-1963-4974-94B4-575120D8A498}"/>
            </c:ext>
          </c:extLst>
        </c:ser>
        <c:dLbls>
          <c:showLegendKey val="0"/>
          <c:showVal val="0"/>
          <c:showCatName val="0"/>
          <c:showSerName val="0"/>
          <c:showPercent val="0"/>
          <c:showBubbleSize val="0"/>
        </c:dLbls>
        <c:marker val="1"/>
        <c:smooth val="0"/>
        <c:axId val="645154768"/>
        <c:axId val="645152800"/>
      </c:lineChart>
      <c:catAx>
        <c:axId val="64515476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US"/>
          </a:p>
        </c:txPr>
        <c:crossAx val="645152800"/>
        <c:crosses val="autoZero"/>
        <c:auto val="1"/>
        <c:lblAlgn val="ctr"/>
        <c:lblOffset val="100"/>
        <c:noMultiLvlLbl val="0"/>
      </c:catAx>
      <c:valAx>
        <c:axId val="645152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45154768"/>
        <c:crosses val="autoZero"/>
        <c:crossBetween val="between"/>
      </c:valAx>
      <c:spPr>
        <a:noFill/>
        <a:ln>
          <a:noFill/>
        </a:ln>
        <a:effectLst/>
      </c:spPr>
    </c:plotArea>
    <c:legend>
      <c:legendPos val="b"/>
      <c:layout>
        <c:manualLayout>
          <c:xMode val="edge"/>
          <c:yMode val="edge"/>
          <c:x val="0"/>
          <c:y val="0.87616839735403595"/>
          <c:w val="1"/>
          <c:h val="9.6566165023166672E-2"/>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797071418704242E-2"/>
          <c:y val="4.9986635641795125E-2"/>
          <c:w val="0.97440585716259154"/>
          <c:h val="0.72233157419973981"/>
        </c:manualLayout>
      </c:layout>
      <c:lineChart>
        <c:grouping val="standard"/>
        <c:varyColors val="0"/>
        <c:ser>
          <c:idx val="0"/>
          <c:order val="0"/>
          <c:tx>
            <c:strRef>
              <c:f>Inputs!$B$144</c:f>
              <c:strCache>
                <c:ptCount val="1"/>
                <c:pt idx="0">
                  <c:v>FEDEX CORP</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Inputs!$P$144:$W$144</c:f>
              <c:numCache>
                <c:formatCode>General</c:formatCode>
                <c:ptCount val="8"/>
                <c:pt idx="0">
                  <c:v>0.99090667948739208</c:v>
                </c:pt>
                <c:pt idx="1">
                  <c:v>0.98415740259740259</c:v>
                </c:pt>
                <c:pt idx="2">
                  <c:v>1.108477207180061</c:v>
                </c:pt>
                <c:pt idx="3">
                  <c:v>1.1214528511781787</c:v>
                </c:pt>
                <c:pt idx="4">
                  <c:v>1.0196142998368252</c:v>
                </c:pt>
                <c:pt idx="5">
                  <c:v>0.93638358713320213</c:v>
                </c:pt>
                <c:pt idx="6">
                  <c:v>0.93721039321169086</c:v>
                </c:pt>
                <c:pt idx="7">
                  <c:v>0.88495544684296357</c:v>
                </c:pt>
              </c:numCache>
            </c:numRef>
          </c:val>
          <c:smooth val="0"/>
          <c:extLst>
            <c:ext xmlns:c16="http://schemas.microsoft.com/office/drawing/2014/chart" uri="{C3380CC4-5D6E-409C-BE32-E72D297353CC}">
              <c16:uniqueId val="{00000000-6538-4B8D-A781-ADEA5CE732E8}"/>
            </c:ext>
          </c:extLst>
        </c:ser>
        <c:ser>
          <c:idx val="1"/>
          <c:order val="1"/>
          <c:tx>
            <c:strRef>
              <c:f>Inputs!$B$145</c:f>
              <c:strCache>
                <c:ptCount val="1"/>
                <c:pt idx="0">
                  <c:v>UNITED PARCEL-B</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Inputs!$P$145:$W$145</c:f>
              <c:numCache>
                <c:formatCode>General</c:formatCode>
                <c:ptCount val="8"/>
                <c:pt idx="0">
                  <c:v>0.77883754599384247</c:v>
                </c:pt>
                <c:pt idx="1">
                  <c:v>0.76699042596123068</c:v>
                </c:pt>
                <c:pt idx="2">
                  <c:v>0.76452746511188496</c:v>
                </c:pt>
                <c:pt idx="3">
                  <c:v>0.7103700784610294</c:v>
                </c:pt>
                <c:pt idx="4">
                  <c:v>0.64398121023363863</c:v>
                </c:pt>
                <c:pt idx="5">
                  <c:v>0.63578106001714207</c:v>
                </c:pt>
                <c:pt idx="6">
                  <c:v>0.65180632819543083</c:v>
                </c:pt>
                <c:pt idx="7">
                  <c:v>0.65459973646645442</c:v>
                </c:pt>
              </c:numCache>
            </c:numRef>
          </c:val>
          <c:smooth val="0"/>
          <c:extLst>
            <c:ext xmlns:c16="http://schemas.microsoft.com/office/drawing/2014/chart" uri="{C3380CC4-5D6E-409C-BE32-E72D297353CC}">
              <c16:uniqueId val="{00000001-6538-4B8D-A781-ADEA5CE732E8}"/>
            </c:ext>
          </c:extLst>
        </c:ser>
        <c:ser>
          <c:idx val="2"/>
          <c:order val="2"/>
          <c:tx>
            <c:strRef>
              <c:f>Inputs!$B$146</c:f>
              <c:strCache>
                <c:ptCount val="1"/>
                <c:pt idx="0">
                  <c:v>DHL GROUP</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Inputs!$P$146:$W$146</c:f>
              <c:numCache>
                <c:formatCode>General</c:formatCode>
                <c:ptCount val="8"/>
                <c:pt idx="0">
                  <c:v>0.36504424312209605</c:v>
                </c:pt>
                <c:pt idx="1">
                  <c:v>0.36365411673296871</c:v>
                </c:pt>
                <c:pt idx="2">
                  <c:v>0.36947106363735671</c:v>
                </c:pt>
                <c:pt idx="3">
                  <c:v>0.36006770133996446</c:v>
                </c:pt>
                <c:pt idx="4">
                  <c:v>0.31530406761360319</c:v>
                </c:pt>
                <c:pt idx="5">
                  <c:v>0.3467799938850914</c:v>
                </c:pt>
                <c:pt idx="6">
                  <c:v>0.39645484235379647</c:v>
                </c:pt>
                <c:pt idx="7">
                  <c:v>0.35656974411519482</c:v>
                </c:pt>
              </c:numCache>
            </c:numRef>
          </c:val>
          <c:smooth val="0"/>
          <c:extLst>
            <c:ext xmlns:c16="http://schemas.microsoft.com/office/drawing/2014/chart" uri="{C3380CC4-5D6E-409C-BE32-E72D297353CC}">
              <c16:uniqueId val="{00000002-6538-4B8D-A781-ADEA5CE732E8}"/>
            </c:ext>
          </c:extLst>
        </c:ser>
        <c:ser>
          <c:idx val="3"/>
          <c:order val="3"/>
          <c:tx>
            <c:strRef>
              <c:f>Inputs!$B$147</c:f>
              <c:strCache>
                <c:ptCount val="1"/>
                <c:pt idx="0">
                  <c:v>OLD DOMINION FRT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Inputs!$P$147:$W$147</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3-6538-4B8D-A781-ADEA5CE732E8}"/>
            </c:ext>
          </c:extLst>
        </c:ser>
        <c:ser>
          <c:idx val="4"/>
          <c:order val="4"/>
          <c:tx>
            <c:strRef>
              <c:f>Inputs!$B$148</c:f>
              <c:strCache>
                <c:ptCount val="1"/>
                <c:pt idx="0">
                  <c:v>XPO INC</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Inputs!$P$148:$W$148</c:f>
              <c:numCache>
                <c:formatCode>General</c:formatCode>
                <c:ptCount val="8"/>
                <c:pt idx="0">
                  <c:v>0.39333528379169108</c:v>
                </c:pt>
                <c:pt idx="1">
                  <c:v>0.34969269054922159</c:v>
                </c:pt>
                <c:pt idx="2">
                  <c:v>0.26253063431042767</c:v>
                </c:pt>
                <c:pt idx="3">
                  <c:v>0.97729571984435804</c:v>
                </c:pt>
                <c:pt idx="4">
                  <c:v>2.4642184115523467</c:v>
                </c:pt>
                <c:pt idx="5">
                  <c:v>0</c:v>
                </c:pt>
                <c:pt idx="6">
                  <c:v>0</c:v>
                </c:pt>
                <c:pt idx="7">
                  <c:v>2.543322596630327E-2</c:v>
                </c:pt>
              </c:numCache>
            </c:numRef>
          </c:val>
          <c:smooth val="0"/>
          <c:extLst>
            <c:ext xmlns:c16="http://schemas.microsoft.com/office/drawing/2014/chart" uri="{C3380CC4-5D6E-409C-BE32-E72D297353CC}">
              <c16:uniqueId val="{00000004-6538-4B8D-A781-ADEA5CE732E8}"/>
            </c:ext>
          </c:extLst>
        </c:ser>
        <c:ser>
          <c:idx val="5"/>
          <c:order val="5"/>
          <c:tx>
            <c:strRef>
              <c:f>Inputs!$B$149</c:f>
              <c:strCache>
                <c:ptCount val="1"/>
                <c:pt idx="0">
                  <c:v>HUNT (JB) TRANS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Inputs!$P$149:$W$149</c:f>
              <c:numCache>
                <c:formatCode>General</c:formatCode>
                <c:ptCount val="8"/>
                <c:pt idx="0">
                  <c:v>0</c:v>
                </c:pt>
                <c:pt idx="1">
                  <c:v>0.8140954818375753</c:v>
                </c:pt>
                <c:pt idx="2">
                  <c:v>0.82613713656505905</c:v>
                </c:pt>
                <c:pt idx="3">
                  <c:v>0.77298122475697528</c:v>
                </c:pt>
                <c:pt idx="4">
                  <c:v>0.63795096472786428</c:v>
                </c:pt>
                <c:pt idx="5">
                  <c:v>0.59258880738415065</c:v>
                </c:pt>
                <c:pt idx="6">
                  <c:v>0.77881534708817413</c:v>
                </c:pt>
                <c:pt idx="7">
                  <c:v>0.81754059913276889</c:v>
                </c:pt>
              </c:numCache>
            </c:numRef>
          </c:val>
          <c:smooth val="0"/>
          <c:extLst>
            <c:ext xmlns:c16="http://schemas.microsoft.com/office/drawing/2014/chart" uri="{C3380CC4-5D6E-409C-BE32-E72D297353CC}">
              <c16:uniqueId val="{00000005-6538-4B8D-A781-ADEA5CE732E8}"/>
            </c:ext>
          </c:extLst>
        </c:ser>
        <c:dLbls>
          <c:showLegendKey val="0"/>
          <c:showVal val="0"/>
          <c:showCatName val="0"/>
          <c:showSerName val="0"/>
          <c:showPercent val="0"/>
          <c:showBubbleSize val="0"/>
        </c:dLbls>
        <c:marker val="1"/>
        <c:smooth val="0"/>
        <c:axId val="645154768"/>
        <c:axId val="645152800"/>
      </c:lineChart>
      <c:catAx>
        <c:axId val="64515476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US"/>
          </a:p>
        </c:txPr>
        <c:crossAx val="645152800"/>
        <c:crosses val="autoZero"/>
        <c:auto val="1"/>
        <c:lblAlgn val="ctr"/>
        <c:lblOffset val="100"/>
        <c:noMultiLvlLbl val="0"/>
      </c:catAx>
      <c:valAx>
        <c:axId val="645152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45154768"/>
        <c:crosses val="autoZero"/>
        <c:crossBetween val="between"/>
      </c:valAx>
      <c:spPr>
        <a:noFill/>
        <a:ln>
          <a:noFill/>
        </a:ln>
        <a:effectLst/>
      </c:spPr>
    </c:plotArea>
    <c:legend>
      <c:legendPos val="b"/>
      <c:layout>
        <c:manualLayout>
          <c:xMode val="edge"/>
          <c:yMode val="edge"/>
          <c:x val="0"/>
          <c:y val="0.87616839735403595"/>
          <c:w val="1"/>
          <c:h val="9.6566165023166672E-2"/>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797071418704242E-2"/>
          <c:y val="4.9986635641795125E-2"/>
          <c:w val="0.97440585716259154"/>
          <c:h val="0.72233157419973981"/>
        </c:manualLayout>
      </c:layout>
      <c:lineChart>
        <c:grouping val="standard"/>
        <c:varyColors val="0"/>
        <c:ser>
          <c:idx val="0"/>
          <c:order val="0"/>
          <c:tx>
            <c:strRef>
              <c:f>Inputs!$B$153</c:f>
              <c:strCache>
                <c:ptCount val="1"/>
                <c:pt idx="0">
                  <c:v>FEDEX CORP</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Inputs!$P$153:$W$153</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0-CA57-4752-9501-BC58D601A18E}"/>
            </c:ext>
          </c:extLst>
        </c:ser>
        <c:ser>
          <c:idx val="1"/>
          <c:order val="1"/>
          <c:tx>
            <c:strRef>
              <c:f>Inputs!$B$154</c:f>
              <c:strCache>
                <c:ptCount val="1"/>
                <c:pt idx="0">
                  <c:v>UNITED PARCEL-B</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Inputs!$P$154:$W$154</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1-CA57-4752-9501-BC58D601A18E}"/>
            </c:ext>
          </c:extLst>
        </c:ser>
        <c:ser>
          <c:idx val="2"/>
          <c:order val="2"/>
          <c:tx>
            <c:strRef>
              <c:f>Inputs!$B$155</c:f>
              <c:strCache>
                <c:ptCount val="1"/>
                <c:pt idx="0">
                  <c:v>DHL GROUP</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Inputs!$P$155:$W$155</c:f>
              <c:numCache>
                <c:formatCode>General</c:formatCode>
                <c:ptCount val="8"/>
                <c:pt idx="0">
                  <c:v>1.6387231036772393E-2</c:v>
                </c:pt>
                <c:pt idx="1">
                  <c:v>1.5076026475747387E-2</c:v>
                </c:pt>
                <c:pt idx="2">
                  <c:v>1.637298770498764E-2</c:v>
                </c:pt>
                <c:pt idx="3">
                  <c:v>1.5425658988385833E-2</c:v>
                </c:pt>
                <c:pt idx="4">
                  <c:v>1.0321900527401956E-2</c:v>
                </c:pt>
                <c:pt idx="5">
                  <c:v>9.5508688539504196E-3</c:v>
                </c:pt>
                <c:pt idx="6">
                  <c:v>1.5832861116365674E-2</c:v>
                </c:pt>
                <c:pt idx="7">
                  <c:v>0</c:v>
                </c:pt>
              </c:numCache>
            </c:numRef>
          </c:val>
          <c:smooth val="0"/>
          <c:extLst>
            <c:ext xmlns:c16="http://schemas.microsoft.com/office/drawing/2014/chart" uri="{C3380CC4-5D6E-409C-BE32-E72D297353CC}">
              <c16:uniqueId val="{00000002-CA57-4752-9501-BC58D601A18E}"/>
            </c:ext>
          </c:extLst>
        </c:ser>
        <c:ser>
          <c:idx val="3"/>
          <c:order val="3"/>
          <c:tx>
            <c:strRef>
              <c:f>Inputs!$B$156</c:f>
              <c:strCache>
                <c:ptCount val="1"/>
                <c:pt idx="0">
                  <c:v>OLD DOMINION FRT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Inputs!$P$156:$W$156</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3-CA57-4752-9501-BC58D601A18E}"/>
            </c:ext>
          </c:extLst>
        </c:ser>
        <c:ser>
          <c:idx val="4"/>
          <c:order val="4"/>
          <c:tx>
            <c:strRef>
              <c:f>Inputs!$B$157</c:f>
              <c:strCache>
                <c:ptCount val="1"/>
                <c:pt idx="0">
                  <c:v>XPO INC</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Inputs!$P$157:$W$157</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4-CA57-4752-9501-BC58D601A18E}"/>
            </c:ext>
          </c:extLst>
        </c:ser>
        <c:ser>
          <c:idx val="5"/>
          <c:order val="5"/>
          <c:tx>
            <c:strRef>
              <c:f>Inputs!$B$158</c:f>
              <c:strCache>
                <c:ptCount val="1"/>
                <c:pt idx="0">
                  <c:v>HUNT (JB) TRANS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Inputs!$P$158:$W$158</c:f>
              <c:numCache>
                <c:formatCode>General</c:formatCode>
                <c:ptCount val="8"/>
                <c:pt idx="0">
                  <c:v>0</c:v>
                </c:pt>
                <c:pt idx="1">
                  <c:v>0</c:v>
                </c:pt>
                <c:pt idx="2">
                  <c:v>0</c:v>
                </c:pt>
                <c:pt idx="3">
                  <c:v>0</c:v>
                </c:pt>
                <c:pt idx="4">
                  <c:v>5.7865016828149075E-2</c:v>
                </c:pt>
                <c:pt idx="5">
                  <c:v>5.954104627656584E-2</c:v>
                </c:pt>
                <c:pt idx="6">
                  <c:v>6.8455099957793128E-2</c:v>
                </c:pt>
                <c:pt idx="7">
                  <c:v>7.1094026376985114E-2</c:v>
                </c:pt>
              </c:numCache>
            </c:numRef>
          </c:val>
          <c:smooth val="0"/>
          <c:extLst>
            <c:ext xmlns:c16="http://schemas.microsoft.com/office/drawing/2014/chart" uri="{C3380CC4-5D6E-409C-BE32-E72D297353CC}">
              <c16:uniqueId val="{00000005-CA57-4752-9501-BC58D601A18E}"/>
            </c:ext>
          </c:extLst>
        </c:ser>
        <c:dLbls>
          <c:showLegendKey val="0"/>
          <c:showVal val="0"/>
          <c:showCatName val="0"/>
          <c:showSerName val="0"/>
          <c:showPercent val="0"/>
          <c:showBubbleSize val="0"/>
        </c:dLbls>
        <c:marker val="1"/>
        <c:smooth val="0"/>
        <c:axId val="645154768"/>
        <c:axId val="645152800"/>
      </c:lineChart>
      <c:catAx>
        <c:axId val="64515476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US"/>
          </a:p>
        </c:txPr>
        <c:crossAx val="645152800"/>
        <c:crosses val="autoZero"/>
        <c:auto val="1"/>
        <c:lblAlgn val="ctr"/>
        <c:lblOffset val="100"/>
        <c:noMultiLvlLbl val="0"/>
      </c:catAx>
      <c:valAx>
        <c:axId val="645152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45154768"/>
        <c:crosses val="autoZero"/>
        <c:crossBetween val="between"/>
      </c:valAx>
      <c:spPr>
        <a:noFill/>
        <a:ln>
          <a:noFill/>
        </a:ln>
        <a:effectLst/>
      </c:spPr>
    </c:plotArea>
    <c:legend>
      <c:legendPos val="b"/>
      <c:layout>
        <c:manualLayout>
          <c:xMode val="edge"/>
          <c:yMode val="edge"/>
          <c:x val="0"/>
          <c:y val="0.87616839735403595"/>
          <c:w val="1"/>
          <c:h val="9.6566165023166672E-2"/>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797071418704242E-2"/>
          <c:y val="4.9986635641795125E-2"/>
          <c:w val="0.97440585716259154"/>
          <c:h val="0.72233157419973981"/>
        </c:manualLayout>
      </c:layout>
      <c:lineChart>
        <c:grouping val="standard"/>
        <c:varyColors val="0"/>
        <c:ser>
          <c:idx val="0"/>
          <c:order val="0"/>
          <c:tx>
            <c:strRef>
              <c:f>Inputs!$B$162</c:f>
              <c:strCache>
                <c:ptCount val="1"/>
                <c:pt idx="0">
                  <c:v>FEDEX CORP</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Inputs!$P$162:$W$162</c:f>
              <c:numCache>
                <c:formatCode>General</c:formatCode>
                <c:ptCount val="8"/>
                <c:pt idx="0">
                  <c:v>4.7616671363915185E-3</c:v>
                </c:pt>
                <c:pt idx="1">
                  <c:v>0</c:v>
                </c:pt>
                <c:pt idx="2">
                  <c:v>6.2251302139382722E-3</c:v>
                </c:pt>
                <c:pt idx="3">
                  <c:v>5.229235592412269E-3</c:v>
                </c:pt>
                <c:pt idx="4">
                  <c:v>6.1918198168153509E-3</c:v>
                </c:pt>
                <c:pt idx="5">
                  <c:v>6.6029172726494991E-3</c:v>
                </c:pt>
                <c:pt idx="6">
                  <c:v>6.2688480949475902E-3</c:v>
                </c:pt>
                <c:pt idx="7">
                  <c:v>7.4774497394318818E-3</c:v>
                </c:pt>
              </c:numCache>
            </c:numRef>
          </c:val>
          <c:smooth val="0"/>
          <c:extLst>
            <c:ext xmlns:c16="http://schemas.microsoft.com/office/drawing/2014/chart" uri="{C3380CC4-5D6E-409C-BE32-E72D297353CC}">
              <c16:uniqueId val="{00000000-9609-4658-84FF-6EC47A5047A6}"/>
            </c:ext>
          </c:extLst>
        </c:ser>
        <c:ser>
          <c:idx val="1"/>
          <c:order val="1"/>
          <c:tx>
            <c:strRef>
              <c:f>Inputs!$B$163</c:f>
              <c:strCache>
                <c:ptCount val="1"/>
                <c:pt idx="0">
                  <c:v>UNITED PARCEL-B</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Inputs!$P$163:$W$163</c:f>
              <c:numCache>
                <c:formatCode>General</c:formatCode>
                <c:ptCount val="8"/>
                <c:pt idx="0">
                  <c:v>5.6977247127731464E-3</c:v>
                </c:pt>
                <c:pt idx="1">
                  <c:v>6.0005983774230809E-3</c:v>
                </c:pt>
                <c:pt idx="2">
                  <c:v>7.4580532836666935E-3</c:v>
                </c:pt>
                <c:pt idx="3">
                  <c:v>9.2576924894833858E-3</c:v>
                </c:pt>
                <c:pt idx="4">
                  <c:v>6.2543608087411466E-3</c:v>
                </c:pt>
                <c:pt idx="5">
                  <c:v>0</c:v>
                </c:pt>
                <c:pt idx="6">
                  <c:v>0</c:v>
                </c:pt>
                <c:pt idx="7">
                  <c:v>0</c:v>
                </c:pt>
              </c:numCache>
            </c:numRef>
          </c:val>
          <c:smooth val="0"/>
          <c:extLst>
            <c:ext xmlns:c16="http://schemas.microsoft.com/office/drawing/2014/chart" uri="{C3380CC4-5D6E-409C-BE32-E72D297353CC}">
              <c16:uniqueId val="{00000001-9609-4658-84FF-6EC47A5047A6}"/>
            </c:ext>
          </c:extLst>
        </c:ser>
        <c:ser>
          <c:idx val="2"/>
          <c:order val="2"/>
          <c:tx>
            <c:strRef>
              <c:f>Inputs!$B$164</c:f>
              <c:strCache>
                <c:ptCount val="1"/>
                <c:pt idx="0">
                  <c:v>DHL GROUP</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Inputs!$P$164:$W$164</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2-9609-4658-84FF-6EC47A5047A6}"/>
            </c:ext>
          </c:extLst>
        </c:ser>
        <c:ser>
          <c:idx val="3"/>
          <c:order val="3"/>
          <c:tx>
            <c:strRef>
              <c:f>Inputs!$B$165</c:f>
              <c:strCache>
                <c:ptCount val="1"/>
                <c:pt idx="0">
                  <c:v>OLD DOMINION FRT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Inputs!$P$165:$W$165</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3-9609-4658-84FF-6EC47A5047A6}"/>
            </c:ext>
          </c:extLst>
        </c:ser>
        <c:ser>
          <c:idx val="4"/>
          <c:order val="4"/>
          <c:tx>
            <c:strRef>
              <c:f>Inputs!$B$166</c:f>
              <c:strCache>
                <c:ptCount val="1"/>
                <c:pt idx="0">
                  <c:v>XPO INC</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Inputs!$P$166:$W$166</c:f>
              <c:numCache>
                <c:formatCode>General</c:formatCode>
                <c:ptCount val="8"/>
                <c:pt idx="0">
                  <c:v>4.4324816331837982E-3</c:v>
                </c:pt>
                <c:pt idx="1">
                  <c:v>1.0375079576364372E-2</c:v>
                </c:pt>
                <c:pt idx="2">
                  <c:v>9.959995194617972E-3</c:v>
                </c:pt>
                <c:pt idx="3">
                  <c:v>2.9543125810635541E-2</c:v>
                </c:pt>
                <c:pt idx="4">
                  <c:v>1.7750208275479035E-2</c:v>
                </c:pt>
                <c:pt idx="5">
                  <c:v>0</c:v>
                </c:pt>
                <c:pt idx="6">
                  <c:v>0</c:v>
                </c:pt>
                <c:pt idx="7">
                  <c:v>5.2011892963330034E-3</c:v>
                </c:pt>
              </c:numCache>
            </c:numRef>
          </c:val>
          <c:smooth val="0"/>
          <c:extLst>
            <c:ext xmlns:c16="http://schemas.microsoft.com/office/drawing/2014/chart" uri="{C3380CC4-5D6E-409C-BE32-E72D297353CC}">
              <c16:uniqueId val="{00000004-9609-4658-84FF-6EC47A5047A6}"/>
            </c:ext>
          </c:extLst>
        </c:ser>
        <c:ser>
          <c:idx val="5"/>
          <c:order val="5"/>
          <c:tx>
            <c:strRef>
              <c:f>Inputs!$B$167</c:f>
              <c:strCache>
                <c:ptCount val="1"/>
                <c:pt idx="0">
                  <c:v>HUNT (JB) TRANS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Inputs!$P$167:$W$167</c:f>
              <c:numCache>
                <c:formatCode>General</c:formatCode>
                <c:ptCount val="8"/>
                <c:pt idx="0">
                  <c:v>0</c:v>
                </c:pt>
                <c:pt idx="1">
                  <c:v>0</c:v>
                </c:pt>
                <c:pt idx="2">
                  <c:v>0</c:v>
                </c:pt>
                <c:pt idx="3">
                  <c:v>0</c:v>
                </c:pt>
                <c:pt idx="4">
                  <c:v>2.4327962931886471E-3</c:v>
                </c:pt>
                <c:pt idx="5">
                  <c:v>2.3880790055406378E-3</c:v>
                </c:pt>
                <c:pt idx="6">
                  <c:v>3.4799817454313885E-3</c:v>
                </c:pt>
                <c:pt idx="7">
                  <c:v>3.2758609848894745E-3</c:v>
                </c:pt>
              </c:numCache>
            </c:numRef>
          </c:val>
          <c:smooth val="0"/>
          <c:extLst>
            <c:ext xmlns:c16="http://schemas.microsoft.com/office/drawing/2014/chart" uri="{C3380CC4-5D6E-409C-BE32-E72D297353CC}">
              <c16:uniqueId val="{00000005-9609-4658-84FF-6EC47A5047A6}"/>
            </c:ext>
          </c:extLst>
        </c:ser>
        <c:dLbls>
          <c:showLegendKey val="0"/>
          <c:showVal val="0"/>
          <c:showCatName val="0"/>
          <c:showSerName val="0"/>
          <c:showPercent val="0"/>
          <c:showBubbleSize val="0"/>
        </c:dLbls>
        <c:marker val="1"/>
        <c:smooth val="0"/>
        <c:axId val="645154768"/>
        <c:axId val="645152800"/>
      </c:lineChart>
      <c:catAx>
        <c:axId val="64515476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US"/>
          </a:p>
        </c:txPr>
        <c:crossAx val="645152800"/>
        <c:crosses val="autoZero"/>
        <c:auto val="1"/>
        <c:lblAlgn val="ctr"/>
        <c:lblOffset val="100"/>
        <c:noMultiLvlLbl val="0"/>
      </c:catAx>
      <c:valAx>
        <c:axId val="645152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45154768"/>
        <c:crosses val="autoZero"/>
        <c:crossBetween val="between"/>
      </c:valAx>
      <c:spPr>
        <a:noFill/>
        <a:ln>
          <a:noFill/>
        </a:ln>
        <a:effectLst/>
      </c:spPr>
    </c:plotArea>
    <c:legend>
      <c:legendPos val="b"/>
      <c:layout>
        <c:manualLayout>
          <c:xMode val="edge"/>
          <c:yMode val="edge"/>
          <c:x val="0"/>
          <c:y val="0.87616839735403595"/>
          <c:w val="1"/>
          <c:h val="9.6566165023166672E-2"/>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138004640808441E-2"/>
          <c:y val="3.0345668095936522E-2"/>
          <c:w val="0.93523711516124797"/>
          <c:h val="0.62974320566006659"/>
        </c:manualLayout>
      </c:layout>
      <c:lineChart>
        <c:grouping val="standard"/>
        <c:varyColors val="0"/>
        <c:ser>
          <c:idx val="0"/>
          <c:order val="0"/>
          <c:tx>
            <c:strRef>
              <c:f>Inputs!$S$7</c:f>
              <c:strCache>
                <c:ptCount val="1"/>
                <c:pt idx="0">
                  <c:v>#NAME?</c:v>
                </c:pt>
              </c:strCache>
            </c:strRef>
          </c:tx>
          <c:spPr>
            <a:ln w="28575" cap="rnd">
              <a:solidFill>
                <a:schemeClr val="accent1"/>
              </a:solidFill>
              <a:round/>
            </a:ln>
            <a:effectLst/>
          </c:spPr>
          <c:marker>
            <c:symbol val="none"/>
          </c:marker>
          <c:cat>
            <c:numRef>
              <c:f>'Stock Data'!$B$5:$B$159</c:f>
              <c:numCache>
                <c:formatCode>m/d/yyyy</c:formatCode>
                <c:ptCount val="155"/>
                <c:pt idx="0">
                  <c:v>45938</c:v>
                </c:pt>
                <c:pt idx="1">
                  <c:v>45931</c:v>
                </c:pt>
                <c:pt idx="2">
                  <c:v>45924</c:v>
                </c:pt>
                <c:pt idx="3">
                  <c:v>45917</c:v>
                </c:pt>
                <c:pt idx="4">
                  <c:v>45910</c:v>
                </c:pt>
                <c:pt idx="5">
                  <c:v>45903</c:v>
                </c:pt>
                <c:pt idx="6">
                  <c:v>45896</c:v>
                </c:pt>
                <c:pt idx="7">
                  <c:v>45889</c:v>
                </c:pt>
                <c:pt idx="8">
                  <c:v>45882</c:v>
                </c:pt>
                <c:pt idx="9">
                  <c:v>45875</c:v>
                </c:pt>
                <c:pt idx="10">
                  <c:v>45868</c:v>
                </c:pt>
                <c:pt idx="11">
                  <c:v>45861</c:v>
                </c:pt>
                <c:pt idx="12">
                  <c:v>45854</c:v>
                </c:pt>
                <c:pt idx="13">
                  <c:v>45847</c:v>
                </c:pt>
                <c:pt idx="14">
                  <c:v>45840</c:v>
                </c:pt>
                <c:pt idx="15">
                  <c:v>45833</c:v>
                </c:pt>
                <c:pt idx="16">
                  <c:v>45826</c:v>
                </c:pt>
                <c:pt idx="17">
                  <c:v>45819</c:v>
                </c:pt>
                <c:pt idx="18">
                  <c:v>45812</c:v>
                </c:pt>
                <c:pt idx="19">
                  <c:v>45805</c:v>
                </c:pt>
                <c:pt idx="20">
                  <c:v>45798</c:v>
                </c:pt>
                <c:pt idx="21">
                  <c:v>45791</c:v>
                </c:pt>
                <c:pt idx="22">
                  <c:v>45784</c:v>
                </c:pt>
                <c:pt idx="23">
                  <c:v>45777</c:v>
                </c:pt>
                <c:pt idx="24">
                  <c:v>45770</c:v>
                </c:pt>
                <c:pt idx="25">
                  <c:v>45763</c:v>
                </c:pt>
                <c:pt idx="26">
                  <c:v>45756</c:v>
                </c:pt>
                <c:pt idx="27">
                  <c:v>45749</c:v>
                </c:pt>
                <c:pt idx="28">
                  <c:v>45742</c:v>
                </c:pt>
                <c:pt idx="29">
                  <c:v>45735</c:v>
                </c:pt>
                <c:pt idx="30">
                  <c:v>45728</c:v>
                </c:pt>
                <c:pt idx="31">
                  <c:v>45721</c:v>
                </c:pt>
                <c:pt idx="32">
                  <c:v>45714</c:v>
                </c:pt>
                <c:pt idx="33">
                  <c:v>45707</c:v>
                </c:pt>
                <c:pt idx="34">
                  <c:v>45700</c:v>
                </c:pt>
                <c:pt idx="35">
                  <c:v>45693</c:v>
                </c:pt>
                <c:pt idx="36">
                  <c:v>45686</c:v>
                </c:pt>
                <c:pt idx="37">
                  <c:v>45679</c:v>
                </c:pt>
                <c:pt idx="38">
                  <c:v>45672</c:v>
                </c:pt>
                <c:pt idx="39">
                  <c:v>45665</c:v>
                </c:pt>
                <c:pt idx="40">
                  <c:v>45658</c:v>
                </c:pt>
                <c:pt idx="41">
                  <c:v>45651</c:v>
                </c:pt>
                <c:pt idx="42">
                  <c:v>45644</c:v>
                </c:pt>
                <c:pt idx="43">
                  <c:v>45637</c:v>
                </c:pt>
                <c:pt idx="44">
                  <c:v>45630</c:v>
                </c:pt>
                <c:pt idx="45">
                  <c:v>45623</c:v>
                </c:pt>
                <c:pt idx="46">
                  <c:v>45616</c:v>
                </c:pt>
                <c:pt idx="47">
                  <c:v>45609</c:v>
                </c:pt>
                <c:pt idx="48">
                  <c:v>45602</c:v>
                </c:pt>
                <c:pt idx="49">
                  <c:v>45595</c:v>
                </c:pt>
                <c:pt idx="50">
                  <c:v>45588</c:v>
                </c:pt>
                <c:pt idx="51">
                  <c:v>45581</c:v>
                </c:pt>
                <c:pt idx="52">
                  <c:v>45574</c:v>
                </c:pt>
                <c:pt idx="53">
                  <c:v>45567</c:v>
                </c:pt>
                <c:pt idx="54">
                  <c:v>45560</c:v>
                </c:pt>
                <c:pt idx="55">
                  <c:v>45553</c:v>
                </c:pt>
                <c:pt idx="56">
                  <c:v>45546</c:v>
                </c:pt>
                <c:pt idx="57">
                  <c:v>45539</c:v>
                </c:pt>
                <c:pt idx="58">
                  <c:v>45532</c:v>
                </c:pt>
                <c:pt idx="59">
                  <c:v>45525</c:v>
                </c:pt>
                <c:pt idx="60">
                  <c:v>45518</c:v>
                </c:pt>
                <c:pt idx="61">
                  <c:v>45511</c:v>
                </c:pt>
                <c:pt idx="62">
                  <c:v>45504</c:v>
                </c:pt>
                <c:pt idx="63">
                  <c:v>45497</c:v>
                </c:pt>
                <c:pt idx="64">
                  <c:v>45490</c:v>
                </c:pt>
                <c:pt idx="65">
                  <c:v>45483</c:v>
                </c:pt>
                <c:pt idx="66">
                  <c:v>45476</c:v>
                </c:pt>
                <c:pt idx="67">
                  <c:v>45469</c:v>
                </c:pt>
                <c:pt idx="68">
                  <c:v>45462</c:v>
                </c:pt>
                <c:pt idx="69">
                  <c:v>45455</c:v>
                </c:pt>
                <c:pt idx="70">
                  <c:v>45448</c:v>
                </c:pt>
                <c:pt idx="71">
                  <c:v>45441</c:v>
                </c:pt>
                <c:pt idx="72">
                  <c:v>45434</c:v>
                </c:pt>
                <c:pt idx="73">
                  <c:v>45427</c:v>
                </c:pt>
                <c:pt idx="74">
                  <c:v>45420</c:v>
                </c:pt>
                <c:pt idx="75">
                  <c:v>45413</c:v>
                </c:pt>
                <c:pt idx="76">
                  <c:v>45406</c:v>
                </c:pt>
                <c:pt idx="77">
                  <c:v>45399</c:v>
                </c:pt>
                <c:pt idx="78">
                  <c:v>45392</c:v>
                </c:pt>
                <c:pt idx="79">
                  <c:v>45385</c:v>
                </c:pt>
                <c:pt idx="80">
                  <c:v>45378</c:v>
                </c:pt>
                <c:pt idx="81">
                  <c:v>45371</c:v>
                </c:pt>
                <c:pt idx="82">
                  <c:v>45364</c:v>
                </c:pt>
                <c:pt idx="83">
                  <c:v>45357</c:v>
                </c:pt>
                <c:pt idx="84">
                  <c:v>45350</c:v>
                </c:pt>
                <c:pt idx="85">
                  <c:v>45343</c:v>
                </c:pt>
                <c:pt idx="86">
                  <c:v>45336</c:v>
                </c:pt>
                <c:pt idx="87">
                  <c:v>45329</c:v>
                </c:pt>
                <c:pt idx="88">
                  <c:v>45322</c:v>
                </c:pt>
                <c:pt idx="89">
                  <c:v>45315</c:v>
                </c:pt>
                <c:pt idx="90">
                  <c:v>45308</c:v>
                </c:pt>
                <c:pt idx="91">
                  <c:v>45301</c:v>
                </c:pt>
                <c:pt idx="92">
                  <c:v>45294</c:v>
                </c:pt>
                <c:pt idx="93">
                  <c:v>45287</c:v>
                </c:pt>
                <c:pt idx="94">
                  <c:v>45280</c:v>
                </c:pt>
                <c:pt idx="95">
                  <c:v>45273</c:v>
                </c:pt>
                <c:pt idx="96">
                  <c:v>45266</c:v>
                </c:pt>
                <c:pt idx="97">
                  <c:v>45259</c:v>
                </c:pt>
                <c:pt idx="98">
                  <c:v>45252</c:v>
                </c:pt>
                <c:pt idx="99">
                  <c:v>45245</c:v>
                </c:pt>
                <c:pt idx="100">
                  <c:v>45238</c:v>
                </c:pt>
                <c:pt idx="101">
                  <c:v>45231</c:v>
                </c:pt>
                <c:pt idx="102">
                  <c:v>45224</c:v>
                </c:pt>
                <c:pt idx="103">
                  <c:v>45217</c:v>
                </c:pt>
                <c:pt idx="104">
                  <c:v>45210</c:v>
                </c:pt>
                <c:pt idx="105">
                  <c:v>45203</c:v>
                </c:pt>
                <c:pt idx="106">
                  <c:v>45196</c:v>
                </c:pt>
                <c:pt idx="107">
                  <c:v>45189</c:v>
                </c:pt>
                <c:pt idx="108">
                  <c:v>45182</c:v>
                </c:pt>
                <c:pt idx="109">
                  <c:v>45175</c:v>
                </c:pt>
                <c:pt idx="110">
                  <c:v>45168</c:v>
                </c:pt>
                <c:pt idx="111">
                  <c:v>45161</c:v>
                </c:pt>
                <c:pt idx="112">
                  <c:v>45154</c:v>
                </c:pt>
                <c:pt idx="113">
                  <c:v>45147</c:v>
                </c:pt>
                <c:pt idx="114">
                  <c:v>45140</c:v>
                </c:pt>
                <c:pt idx="115">
                  <c:v>45133</c:v>
                </c:pt>
                <c:pt idx="116">
                  <c:v>45126</c:v>
                </c:pt>
                <c:pt idx="117">
                  <c:v>45119</c:v>
                </c:pt>
                <c:pt idx="118">
                  <c:v>45112</c:v>
                </c:pt>
                <c:pt idx="119">
                  <c:v>45105</c:v>
                </c:pt>
                <c:pt idx="120">
                  <c:v>45098</c:v>
                </c:pt>
                <c:pt idx="121">
                  <c:v>45091</c:v>
                </c:pt>
                <c:pt idx="122">
                  <c:v>45084</c:v>
                </c:pt>
                <c:pt idx="123">
                  <c:v>45077</c:v>
                </c:pt>
                <c:pt idx="124">
                  <c:v>45070</c:v>
                </c:pt>
                <c:pt idx="125">
                  <c:v>45063</c:v>
                </c:pt>
                <c:pt idx="126">
                  <c:v>45056</c:v>
                </c:pt>
                <c:pt idx="127">
                  <c:v>45049</c:v>
                </c:pt>
                <c:pt idx="128">
                  <c:v>45042</c:v>
                </c:pt>
                <c:pt idx="129">
                  <c:v>45035</c:v>
                </c:pt>
                <c:pt idx="130">
                  <c:v>45028</c:v>
                </c:pt>
                <c:pt idx="131">
                  <c:v>45021</c:v>
                </c:pt>
                <c:pt idx="132">
                  <c:v>45014</c:v>
                </c:pt>
                <c:pt idx="133">
                  <c:v>45007</c:v>
                </c:pt>
                <c:pt idx="134">
                  <c:v>45000</c:v>
                </c:pt>
                <c:pt idx="135">
                  <c:v>44993</c:v>
                </c:pt>
                <c:pt idx="136">
                  <c:v>44986</c:v>
                </c:pt>
                <c:pt idx="137">
                  <c:v>44979</c:v>
                </c:pt>
                <c:pt idx="138">
                  <c:v>44972</c:v>
                </c:pt>
                <c:pt idx="139">
                  <c:v>44965</c:v>
                </c:pt>
                <c:pt idx="140">
                  <c:v>44958</c:v>
                </c:pt>
                <c:pt idx="141">
                  <c:v>44951</c:v>
                </c:pt>
                <c:pt idx="142">
                  <c:v>44944</c:v>
                </c:pt>
                <c:pt idx="143">
                  <c:v>44937</c:v>
                </c:pt>
                <c:pt idx="144">
                  <c:v>44930</c:v>
                </c:pt>
                <c:pt idx="145">
                  <c:v>44923</c:v>
                </c:pt>
                <c:pt idx="146">
                  <c:v>44916</c:v>
                </c:pt>
                <c:pt idx="147">
                  <c:v>44909</c:v>
                </c:pt>
                <c:pt idx="148">
                  <c:v>44902</c:v>
                </c:pt>
                <c:pt idx="149">
                  <c:v>44895</c:v>
                </c:pt>
                <c:pt idx="150">
                  <c:v>44888</c:v>
                </c:pt>
                <c:pt idx="151">
                  <c:v>44881</c:v>
                </c:pt>
                <c:pt idx="152">
                  <c:v>44874</c:v>
                </c:pt>
                <c:pt idx="153">
                  <c:v>44867</c:v>
                </c:pt>
                <c:pt idx="154">
                  <c:v>44860</c:v>
                </c:pt>
              </c:numCache>
            </c:numRef>
          </c:cat>
          <c:val>
            <c:numRef>
              <c:f>'Stock Data'!$C$5:$C$159</c:f>
              <c:numCache>
                <c:formatCode>0.0</c:formatCode>
                <c:ptCount val="155"/>
                <c:pt idx="0">
                  <c:v>9.2614000000000001</c:v>
                </c:pt>
                <c:pt idx="1">
                  <c:v>9.1930999999999994</c:v>
                </c:pt>
                <c:pt idx="2">
                  <c:v>9.0505999999999993</c:v>
                </c:pt>
                <c:pt idx="3">
                  <c:v>8.8544999999999998</c:v>
                </c:pt>
                <c:pt idx="4">
                  <c:v>8.8522999999999996</c:v>
                </c:pt>
                <c:pt idx="5">
                  <c:v>8.8437000000000001</c:v>
                </c:pt>
                <c:pt idx="6">
                  <c:v>9.1449999999999996</c:v>
                </c:pt>
                <c:pt idx="7">
                  <c:v>9.0205000000000002</c:v>
                </c:pt>
                <c:pt idx="8">
                  <c:v>9.1012000000000004</c:v>
                </c:pt>
                <c:pt idx="9">
                  <c:v>9.0005000000000006</c:v>
                </c:pt>
                <c:pt idx="10">
                  <c:v>8.9359999999999999</c:v>
                </c:pt>
                <c:pt idx="11">
                  <c:v>9.2852999999999994</c:v>
                </c:pt>
                <c:pt idx="12">
                  <c:v>9.1470000000000002</c:v>
                </c:pt>
                <c:pt idx="13">
                  <c:v>9.3430999999999997</c:v>
                </c:pt>
                <c:pt idx="14">
                  <c:v>9.4094999999999995</c:v>
                </c:pt>
                <c:pt idx="15">
                  <c:v>8.9763999999999999</c:v>
                </c:pt>
                <c:pt idx="16">
                  <c:v>9.0091999999999999</c:v>
                </c:pt>
                <c:pt idx="17">
                  <c:v>9.0268999999999995</c:v>
                </c:pt>
                <c:pt idx="18">
                  <c:v>8.8978000000000002</c:v>
                </c:pt>
                <c:pt idx="19">
                  <c:v>9.0338999999999992</c:v>
                </c:pt>
                <c:pt idx="20">
                  <c:v>9.0251000000000001</c:v>
                </c:pt>
                <c:pt idx="21">
                  <c:v>9.4116999999999997</c:v>
                </c:pt>
                <c:pt idx="22">
                  <c:v>8.9929000000000006</c:v>
                </c:pt>
                <c:pt idx="23">
                  <c:v>8.8580000000000005</c:v>
                </c:pt>
                <c:pt idx="24">
                  <c:v>8.8763000000000005</c:v>
                </c:pt>
                <c:pt idx="25">
                  <c:v>8.6834000000000007</c:v>
                </c:pt>
                <c:pt idx="26">
                  <c:v>9.0542999999999996</c:v>
                </c:pt>
                <c:pt idx="27">
                  <c:v>9.7566000000000006</c:v>
                </c:pt>
                <c:pt idx="28">
                  <c:v>9.7179000000000002</c:v>
                </c:pt>
                <c:pt idx="29">
                  <c:v>9.8401999999999994</c:v>
                </c:pt>
                <c:pt idx="30">
                  <c:v>9.7466000000000008</c:v>
                </c:pt>
                <c:pt idx="31">
                  <c:v>9.9253999999999998</c:v>
                </c:pt>
                <c:pt idx="32">
                  <c:v>10.158099999999999</c:v>
                </c:pt>
                <c:pt idx="33">
                  <c:v>10.4381</c:v>
                </c:pt>
                <c:pt idx="34">
                  <c:v>10.328200000000001</c:v>
                </c:pt>
                <c:pt idx="35">
                  <c:v>10.061400000000001</c:v>
                </c:pt>
                <c:pt idx="36">
                  <c:v>10.651400000000001</c:v>
                </c:pt>
                <c:pt idx="37">
                  <c:v>10.530799999999999</c:v>
                </c:pt>
                <c:pt idx="38">
                  <c:v>10.6912</c:v>
                </c:pt>
                <c:pt idx="39">
                  <c:v>10.6472</c:v>
                </c:pt>
                <c:pt idx="40">
                  <c:v>10.6311</c:v>
                </c:pt>
                <c:pt idx="41">
                  <c:v>10.745200000000001</c:v>
                </c:pt>
                <c:pt idx="42">
                  <c:v>10.704499999999999</c:v>
                </c:pt>
                <c:pt idx="43">
                  <c:v>10.915900000000001</c:v>
                </c:pt>
                <c:pt idx="44">
                  <c:v>10.9758</c:v>
                </c:pt>
                <c:pt idx="45">
                  <c:v>11.213699999999999</c:v>
                </c:pt>
                <c:pt idx="46">
                  <c:v>10.8165</c:v>
                </c:pt>
                <c:pt idx="47">
                  <c:v>10.9163</c:v>
                </c:pt>
                <c:pt idx="48">
                  <c:v>10.6104</c:v>
                </c:pt>
                <c:pt idx="49">
                  <c:v>10.4558</c:v>
                </c:pt>
                <c:pt idx="50">
                  <c:v>10.299799999999999</c:v>
                </c:pt>
                <c:pt idx="51">
                  <c:v>10.396800000000001</c:v>
                </c:pt>
                <c:pt idx="52">
                  <c:v>10.2117</c:v>
                </c:pt>
                <c:pt idx="53">
                  <c:v>10.270899999999999</c:v>
                </c:pt>
                <c:pt idx="54">
                  <c:v>10.1892</c:v>
                </c:pt>
                <c:pt idx="55">
                  <c:v>11.0989</c:v>
                </c:pt>
                <c:pt idx="56">
                  <c:v>10.7538</c:v>
                </c:pt>
                <c:pt idx="57">
                  <c:v>10.960699999999999</c:v>
                </c:pt>
                <c:pt idx="58">
                  <c:v>10.5382</c:v>
                </c:pt>
                <c:pt idx="59">
                  <c:v>10.423500000000001</c:v>
                </c:pt>
                <c:pt idx="60">
                  <c:v>10.2197</c:v>
                </c:pt>
                <c:pt idx="61">
                  <c:v>10.0717</c:v>
                </c:pt>
                <c:pt idx="62">
                  <c:v>10.670199999999999</c:v>
                </c:pt>
                <c:pt idx="63">
                  <c:v>10.5717</c:v>
                </c:pt>
                <c:pt idx="64">
                  <c:v>10.873100000000001</c:v>
                </c:pt>
                <c:pt idx="65">
                  <c:v>10.483700000000001</c:v>
                </c:pt>
                <c:pt idx="66">
                  <c:v>10.4947</c:v>
                </c:pt>
                <c:pt idx="67">
                  <c:v>10.5565</c:v>
                </c:pt>
                <c:pt idx="68">
                  <c:v>9.4818999999999996</c:v>
                </c:pt>
                <c:pt idx="69">
                  <c:v>9.3839000000000006</c:v>
                </c:pt>
                <c:pt idx="70">
                  <c:v>9.3701000000000008</c:v>
                </c:pt>
                <c:pt idx="71">
                  <c:v>9.4405000000000001</c:v>
                </c:pt>
                <c:pt idx="72">
                  <c:v>9.6158999999999999</c:v>
                </c:pt>
                <c:pt idx="73">
                  <c:v>9.7986000000000004</c:v>
                </c:pt>
                <c:pt idx="74">
                  <c:v>9.7655999999999992</c:v>
                </c:pt>
                <c:pt idx="75">
                  <c:v>9.8341999999999992</c:v>
                </c:pt>
                <c:pt idx="76">
                  <c:v>9.9687000000000001</c:v>
                </c:pt>
                <c:pt idx="77">
                  <c:v>9.8931000000000004</c:v>
                </c:pt>
                <c:pt idx="78">
                  <c:v>10.0753</c:v>
                </c:pt>
                <c:pt idx="79">
                  <c:v>10.281700000000001</c:v>
                </c:pt>
                <c:pt idx="80">
                  <c:v>10.5184</c:v>
                </c:pt>
                <c:pt idx="81">
                  <c:v>9.9169999999999998</c:v>
                </c:pt>
                <c:pt idx="82">
                  <c:v>9.7949000000000002</c:v>
                </c:pt>
                <c:pt idx="83">
                  <c:v>9.6204000000000001</c:v>
                </c:pt>
                <c:pt idx="84">
                  <c:v>9.7152999999999992</c:v>
                </c:pt>
                <c:pt idx="85">
                  <c:v>9.6377000000000006</c:v>
                </c:pt>
                <c:pt idx="86">
                  <c:v>9.5175000000000001</c:v>
                </c:pt>
                <c:pt idx="87">
                  <c:v>9.6565999999999992</c:v>
                </c:pt>
                <c:pt idx="88">
                  <c:v>9.6344999999999992</c:v>
                </c:pt>
                <c:pt idx="89">
                  <c:v>9.8559999999999999</c:v>
                </c:pt>
                <c:pt idx="90">
                  <c:v>9.6869999999999994</c:v>
                </c:pt>
                <c:pt idx="91">
                  <c:v>9.8842999999999996</c:v>
                </c:pt>
                <c:pt idx="92">
                  <c:v>9.8011999999999997</c:v>
                </c:pt>
                <c:pt idx="93">
                  <c:v>9.8877000000000006</c:v>
                </c:pt>
                <c:pt idx="94">
                  <c:v>9.7646999999999995</c:v>
                </c:pt>
                <c:pt idx="95">
                  <c:v>10.532299999999999</c:v>
                </c:pt>
                <c:pt idx="96">
                  <c:v>10.3576</c:v>
                </c:pt>
                <c:pt idx="97">
                  <c:v>10.075699999999999</c:v>
                </c:pt>
                <c:pt idx="98">
                  <c:v>10.1432</c:v>
                </c:pt>
                <c:pt idx="99">
                  <c:v>10.168799999999999</c:v>
                </c:pt>
                <c:pt idx="100">
                  <c:v>9.8475000000000001</c:v>
                </c:pt>
                <c:pt idx="101">
                  <c:v>9.7904</c:v>
                </c:pt>
                <c:pt idx="102">
                  <c:v>9.5765999999999991</c:v>
                </c:pt>
                <c:pt idx="103">
                  <c:v>9.8005999999999993</c:v>
                </c:pt>
                <c:pt idx="104">
                  <c:v>10.1165</c:v>
                </c:pt>
                <c:pt idx="105">
                  <c:v>10.238899999999999</c:v>
                </c:pt>
                <c:pt idx="106">
                  <c:v>10.309900000000001</c:v>
                </c:pt>
                <c:pt idx="107">
                  <c:v>9.9847999999999999</c:v>
                </c:pt>
                <c:pt idx="108">
                  <c:v>10.031000000000001</c:v>
                </c:pt>
                <c:pt idx="109">
                  <c:v>10.172599999999999</c:v>
                </c:pt>
                <c:pt idx="110">
                  <c:v>10.7666</c:v>
                </c:pt>
                <c:pt idx="111">
                  <c:v>10.6714</c:v>
                </c:pt>
                <c:pt idx="112">
                  <c:v>10.799300000000001</c:v>
                </c:pt>
                <c:pt idx="113">
                  <c:v>10.8012</c:v>
                </c:pt>
                <c:pt idx="114">
                  <c:v>10.8004</c:v>
                </c:pt>
                <c:pt idx="115">
                  <c:v>10.8744</c:v>
                </c:pt>
                <c:pt idx="116">
                  <c:v>10.6569</c:v>
                </c:pt>
                <c:pt idx="117">
                  <c:v>10.699</c:v>
                </c:pt>
                <c:pt idx="118">
                  <c:v>10.3314</c:v>
                </c:pt>
                <c:pt idx="119">
                  <c:v>10.3347</c:v>
                </c:pt>
                <c:pt idx="120">
                  <c:v>9.7096999999999998</c:v>
                </c:pt>
                <c:pt idx="121">
                  <c:v>9.8155999999999999</c:v>
                </c:pt>
                <c:pt idx="122">
                  <c:v>9.6753999999999998</c:v>
                </c:pt>
                <c:pt idx="123">
                  <c:v>9.4923000000000002</c:v>
                </c:pt>
                <c:pt idx="124">
                  <c:v>9.4059000000000008</c:v>
                </c:pt>
                <c:pt idx="125">
                  <c:v>9.4680999999999997</c:v>
                </c:pt>
                <c:pt idx="126">
                  <c:v>9.4797999999999991</c:v>
                </c:pt>
                <c:pt idx="127">
                  <c:v>9.5381</c:v>
                </c:pt>
                <c:pt idx="128">
                  <c:v>9.3851999999999993</c:v>
                </c:pt>
                <c:pt idx="129">
                  <c:v>9.5639000000000003</c:v>
                </c:pt>
                <c:pt idx="130">
                  <c:v>9.5632999999999999</c:v>
                </c:pt>
                <c:pt idx="131">
                  <c:v>9.5755999999999997</c:v>
                </c:pt>
                <c:pt idx="132">
                  <c:v>9.4085999999999999</c:v>
                </c:pt>
                <c:pt idx="133">
                  <c:v>9.2332999999999998</c:v>
                </c:pt>
                <c:pt idx="134">
                  <c:v>8.6762999999999995</c:v>
                </c:pt>
                <c:pt idx="135">
                  <c:v>9.0564999999999998</c:v>
                </c:pt>
                <c:pt idx="136">
                  <c:v>8.9174000000000007</c:v>
                </c:pt>
                <c:pt idx="137">
                  <c:v>8.7280999999999995</c:v>
                </c:pt>
                <c:pt idx="138">
                  <c:v>8.9939999999999998</c:v>
                </c:pt>
                <c:pt idx="139">
                  <c:v>8.9013000000000009</c:v>
                </c:pt>
                <c:pt idx="140">
                  <c:v>8.7093000000000007</c:v>
                </c:pt>
                <c:pt idx="141">
                  <c:v>8.3369</c:v>
                </c:pt>
                <c:pt idx="142">
                  <c:v>8.3331999999999997</c:v>
                </c:pt>
                <c:pt idx="143">
                  <c:v>8.4512</c:v>
                </c:pt>
                <c:pt idx="144">
                  <c:v>8.1712000000000007</c:v>
                </c:pt>
                <c:pt idx="145">
                  <c:v>7.9524999999999997</c:v>
                </c:pt>
                <c:pt idx="146">
                  <c:v>7.8727999999999998</c:v>
                </c:pt>
                <c:pt idx="147">
                  <c:v>8.2269000000000005</c:v>
                </c:pt>
                <c:pt idx="148">
                  <c:v>8.0715000000000003</c:v>
                </c:pt>
                <c:pt idx="149">
                  <c:v>8.3384</c:v>
                </c:pt>
                <c:pt idx="150">
                  <c:v>7.6222000000000003</c:v>
                </c:pt>
                <c:pt idx="151">
                  <c:v>7.4776999999999996</c:v>
                </c:pt>
                <c:pt idx="152">
                  <c:v>7.1483999999999996</c:v>
                </c:pt>
                <c:pt idx="153">
                  <c:v>7.0583999999999998</c:v>
                </c:pt>
                <c:pt idx="154">
                  <c:v>7.1463000000000001</c:v>
                </c:pt>
              </c:numCache>
            </c:numRef>
          </c:val>
          <c:smooth val="0"/>
          <c:extLst>
            <c:ext xmlns:c16="http://schemas.microsoft.com/office/drawing/2014/chart" uri="{C3380CC4-5D6E-409C-BE32-E72D297353CC}">
              <c16:uniqueId val="{00000000-C6A3-42EA-AD84-0EA2783F3814}"/>
            </c:ext>
          </c:extLst>
        </c:ser>
        <c:ser>
          <c:idx val="1"/>
          <c:order val="1"/>
          <c:tx>
            <c:strRef>
              <c:f>Inputs!$B$21</c:f>
              <c:strCache>
                <c:ptCount val="1"/>
                <c:pt idx="0">
                  <c:v>UNITED PARCEL-B</c:v>
                </c:pt>
              </c:strCache>
            </c:strRef>
          </c:tx>
          <c:spPr>
            <a:ln w="28575" cap="rnd">
              <a:solidFill>
                <a:schemeClr val="accent3"/>
              </a:solidFill>
              <a:round/>
            </a:ln>
            <a:effectLst/>
          </c:spPr>
          <c:marker>
            <c:symbol val="none"/>
          </c:marker>
          <c:cat>
            <c:numRef>
              <c:f>'Stock Data'!$B$5:$B$159</c:f>
              <c:numCache>
                <c:formatCode>m/d/yyyy</c:formatCode>
                <c:ptCount val="155"/>
                <c:pt idx="0">
                  <c:v>45938</c:v>
                </c:pt>
                <c:pt idx="1">
                  <c:v>45931</c:v>
                </c:pt>
                <c:pt idx="2">
                  <c:v>45924</c:v>
                </c:pt>
                <c:pt idx="3">
                  <c:v>45917</c:v>
                </c:pt>
                <c:pt idx="4">
                  <c:v>45910</c:v>
                </c:pt>
                <c:pt idx="5">
                  <c:v>45903</c:v>
                </c:pt>
                <c:pt idx="6">
                  <c:v>45896</c:v>
                </c:pt>
                <c:pt idx="7">
                  <c:v>45889</c:v>
                </c:pt>
                <c:pt idx="8">
                  <c:v>45882</c:v>
                </c:pt>
                <c:pt idx="9">
                  <c:v>45875</c:v>
                </c:pt>
                <c:pt idx="10">
                  <c:v>45868</c:v>
                </c:pt>
                <c:pt idx="11">
                  <c:v>45861</c:v>
                </c:pt>
                <c:pt idx="12">
                  <c:v>45854</c:v>
                </c:pt>
                <c:pt idx="13">
                  <c:v>45847</c:v>
                </c:pt>
                <c:pt idx="14">
                  <c:v>45840</c:v>
                </c:pt>
                <c:pt idx="15">
                  <c:v>45833</c:v>
                </c:pt>
                <c:pt idx="16">
                  <c:v>45826</c:v>
                </c:pt>
                <c:pt idx="17">
                  <c:v>45819</c:v>
                </c:pt>
                <c:pt idx="18">
                  <c:v>45812</c:v>
                </c:pt>
                <c:pt idx="19">
                  <c:v>45805</c:v>
                </c:pt>
                <c:pt idx="20">
                  <c:v>45798</c:v>
                </c:pt>
                <c:pt idx="21">
                  <c:v>45791</c:v>
                </c:pt>
                <c:pt idx="22">
                  <c:v>45784</c:v>
                </c:pt>
                <c:pt idx="23">
                  <c:v>45777</c:v>
                </c:pt>
                <c:pt idx="24">
                  <c:v>45770</c:v>
                </c:pt>
                <c:pt idx="25">
                  <c:v>45763</c:v>
                </c:pt>
                <c:pt idx="26">
                  <c:v>45756</c:v>
                </c:pt>
                <c:pt idx="27">
                  <c:v>45749</c:v>
                </c:pt>
                <c:pt idx="28">
                  <c:v>45742</c:v>
                </c:pt>
                <c:pt idx="29">
                  <c:v>45735</c:v>
                </c:pt>
                <c:pt idx="30">
                  <c:v>45728</c:v>
                </c:pt>
                <c:pt idx="31">
                  <c:v>45721</c:v>
                </c:pt>
                <c:pt idx="32">
                  <c:v>45714</c:v>
                </c:pt>
                <c:pt idx="33">
                  <c:v>45707</c:v>
                </c:pt>
                <c:pt idx="34">
                  <c:v>45700</c:v>
                </c:pt>
                <c:pt idx="35">
                  <c:v>45693</c:v>
                </c:pt>
                <c:pt idx="36">
                  <c:v>45686</c:v>
                </c:pt>
                <c:pt idx="37">
                  <c:v>45679</c:v>
                </c:pt>
                <c:pt idx="38">
                  <c:v>45672</c:v>
                </c:pt>
                <c:pt idx="39">
                  <c:v>45665</c:v>
                </c:pt>
                <c:pt idx="40">
                  <c:v>45658</c:v>
                </c:pt>
                <c:pt idx="41">
                  <c:v>45651</c:v>
                </c:pt>
                <c:pt idx="42">
                  <c:v>45644</c:v>
                </c:pt>
                <c:pt idx="43">
                  <c:v>45637</c:v>
                </c:pt>
                <c:pt idx="44">
                  <c:v>45630</c:v>
                </c:pt>
                <c:pt idx="45">
                  <c:v>45623</c:v>
                </c:pt>
                <c:pt idx="46">
                  <c:v>45616</c:v>
                </c:pt>
                <c:pt idx="47">
                  <c:v>45609</c:v>
                </c:pt>
                <c:pt idx="48">
                  <c:v>45602</c:v>
                </c:pt>
                <c:pt idx="49">
                  <c:v>45595</c:v>
                </c:pt>
                <c:pt idx="50">
                  <c:v>45588</c:v>
                </c:pt>
                <c:pt idx="51">
                  <c:v>45581</c:v>
                </c:pt>
                <c:pt idx="52">
                  <c:v>45574</c:v>
                </c:pt>
                <c:pt idx="53">
                  <c:v>45567</c:v>
                </c:pt>
                <c:pt idx="54">
                  <c:v>45560</c:v>
                </c:pt>
                <c:pt idx="55">
                  <c:v>45553</c:v>
                </c:pt>
                <c:pt idx="56">
                  <c:v>45546</c:v>
                </c:pt>
                <c:pt idx="57">
                  <c:v>45539</c:v>
                </c:pt>
                <c:pt idx="58">
                  <c:v>45532</c:v>
                </c:pt>
                <c:pt idx="59">
                  <c:v>45525</c:v>
                </c:pt>
                <c:pt idx="60">
                  <c:v>45518</c:v>
                </c:pt>
                <c:pt idx="61">
                  <c:v>45511</c:v>
                </c:pt>
                <c:pt idx="62">
                  <c:v>45504</c:v>
                </c:pt>
                <c:pt idx="63">
                  <c:v>45497</c:v>
                </c:pt>
                <c:pt idx="64">
                  <c:v>45490</c:v>
                </c:pt>
                <c:pt idx="65">
                  <c:v>45483</c:v>
                </c:pt>
                <c:pt idx="66">
                  <c:v>45476</c:v>
                </c:pt>
                <c:pt idx="67">
                  <c:v>45469</c:v>
                </c:pt>
                <c:pt idx="68">
                  <c:v>45462</c:v>
                </c:pt>
                <c:pt idx="69">
                  <c:v>45455</c:v>
                </c:pt>
                <c:pt idx="70">
                  <c:v>45448</c:v>
                </c:pt>
                <c:pt idx="71">
                  <c:v>45441</c:v>
                </c:pt>
                <c:pt idx="72">
                  <c:v>45434</c:v>
                </c:pt>
                <c:pt idx="73">
                  <c:v>45427</c:v>
                </c:pt>
                <c:pt idx="74">
                  <c:v>45420</c:v>
                </c:pt>
                <c:pt idx="75">
                  <c:v>45413</c:v>
                </c:pt>
                <c:pt idx="76">
                  <c:v>45406</c:v>
                </c:pt>
                <c:pt idx="77">
                  <c:v>45399</c:v>
                </c:pt>
                <c:pt idx="78">
                  <c:v>45392</c:v>
                </c:pt>
                <c:pt idx="79">
                  <c:v>45385</c:v>
                </c:pt>
                <c:pt idx="80">
                  <c:v>45378</c:v>
                </c:pt>
                <c:pt idx="81">
                  <c:v>45371</c:v>
                </c:pt>
                <c:pt idx="82">
                  <c:v>45364</c:v>
                </c:pt>
                <c:pt idx="83">
                  <c:v>45357</c:v>
                </c:pt>
                <c:pt idx="84">
                  <c:v>45350</c:v>
                </c:pt>
                <c:pt idx="85">
                  <c:v>45343</c:v>
                </c:pt>
                <c:pt idx="86">
                  <c:v>45336</c:v>
                </c:pt>
                <c:pt idx="87">
                  <c:v>45329</c:v>
                </c:pt>
                <c:pt idx="88">
                  <c:v>45322</c:v>
                </c:pt>
                <c:pt idx="89">
                  <c:v>45315</c:v>
                </c:pt>
                <c:pt idx="90">
                  <c:v>45308</c:v>
                </c:pt>
                <c:pt idx="91">
                  <c:v>45301</c:v>
                </c:pt>
                <c:pt idx="92">
                  <c:v>45294</c:v>
                </c:pt>
                <c:pt idx="93">
                  <c:v>45287</c:v>
                </c:pt>
                <c:pt idx="94">
                  <c:v>45280</c:v>
                </c:pt>
                <c:pt idx="95">
                  <c:v>45273</c:v>
                </c:pt>
                <c:pt idx="96">
                  <c:v>45266</c:v>
                </c:pt>
                <c:pt idx="97">
                  <c:v>45259</c:v>
                </c:pt>
                <c:pt idx="98">
                  <c:v>45252</c:v>
                </c:pt>
                <c:pt idx="99">
                  <c:v>45245</c:v>
                </c:pt>
                <c:pt idx="100">
                  <c:v>45238</c:v>
                </c:pt>
                <c:pt idx="101">
                  <c:v>45231</c:v>
                </c:pt>
                <c:pt idx="102">
                  <c:v>45224</c:v>
                </c:pt>
                <c:pt idx="103">
                  <c:v>45217</c:v>
                </c:pt>
                <c:pt idx="104">
                  <c:v>45210</c:v>
                </c:pt>
                <c:pt idx="105">
                  <c:v>45203</c:v>
                </c:pt>
                <c:pt idx="106">
                  <c:v>45196</c:v>
                </c:pt>
                <c:pt idx="107">
                  <c:v>45189</c:v>
                </c:pt>
                <c:pt idx="108">
                  <c:v>45182</c:v>
                </c:pt>
                <c:pt idx="109">
                  <c:v>45175</c:v>
                </c:pt>
                <c:pt idx="110">
                  <c:v>45168</c:v>
                </c:pt>
                <c:pt idx="111">
                  <c:v>45161</c:v>
                </c:pt>
                <c:pt idx="112">
                  <c:v>45154</c:v>
                </c:pt>
                <c:pt idx="113">
                  <c:v>45147</c:v>
                </c:pt>
                <c:pt idx="114">
                  <c:v>45140</c:v>
                </c:pt>
                <c:pt idx="115">
                  <c:v>45133</c:v>
                </c:pt>
                <c:pt idx="116">
                  <c:v>45126</c:v>
                </c:pt>
                <c:pt idx="117">
                  <c:v>45119</c:v>
                </c:pt>
                <c:pt idx="118">
                  <c:v>45112</c:v>
                </c:pt>
                <c:pt idx="119">
                  <c:v>45105</c:v>
                </c:pt>
                <c:pt idx="120">
                  <c:v>45098</c:v>
                </c:pt>
                <c:pt idx="121">
                  <c:v>45091</c:v>
                </c:pt>
                <c:pt idx="122">
                  <c:v>45084</c:v>
                </c:pt>
                <c:pt idx="123">
                  <c:v>45077</c:v>
                </c:pt>
                <c:pt idx="124">
                  <c:v>45070</c:v>
                </c:pt>
                <c:pt idx="125">
                  <c:v>45063</c:v>
                </c:pt>
                <c:pt idx="126">
                  <c:v>45056</c:v>
                </c:pt>
                <c:pt idx="127">
                  <c:v>45049</c:v>
                </c:pt>
                <c:pt idx="128">
                  <c:v>45042</c:v>
                </c:pt>
                <c:pt idx="129">
                  <c:v>45035</c:v>
                </c:pt>
                <c:pt idx="130">
                  <c:v>45028</c:v>
                </c:pt>
                <c:pt idx="131">
                  <c:v>45021</c:v>
                </c:pt>
                <c:pt idx="132">
                  <c:v>45014</c:v>
                </c:pt>
                <c:pt idx="133">
                  <c:v>45007</c:v>
                </c:pt>
                <c:pt idx="134">
                  <c:v>45000</c:v>
                </c:pt>
                <c:pt idx="135">
                  <c:v>44993</c:v>
                </c:pt>
                <c:pt idx="136">
                  <c:v>44986</c:v>
                </c:pt>
                <c:pt idx="137">
                  <c:v>44979</c:v>
                </c:pt>
                <c:pt idx="138">
                  <c:v>44972</c:v>
                </c:pt>
                <c:pt idx="139">
                  <c:v>44965</c:v>
                </c:pt>
                <c:pt idx="140">
                  <c:v>44958</c:v>
                </c:pt>
                <c:pt idx="141">
                  <c:v>44951</c:v>
                </c:pt>
                <c:pt idx="142">
                  <c:v>44944</c:v>
                </c:pt>
                <c:pt idx="143">
                  <c:v>44937</c:v>
                </c:pt>
                <c:pt idx="144">
                  <c:v>44930</c:v>
                </c:pt>
                <c:pt idx="145">
                  <c:v>44923</c:v>
                </c:pt>
                <c:pt idx="146">
                  <c:v>44916</c:v>
                </c:pt>
                <c:pt idx="147">
                  <c:v>44909</c:v>
                </c:pt>
                <c:pt idx="148">
                  <c:v>44902</c:v>
                </c:pt>
                <c:pt idx="149">
                  <c:v>44895</c:v>
                </c:pt>
                <c:pt idx="150">
                  <c:v>44888</c:v>
                </c:pt>
                <c:pt idx="151">
                  <c:v>44881</c:v>
                </c:pt>
                <c:pt idx="152">
                  <c:v>44874</c:v>
                </c:pt>
                <c:pt idx="153">
                  <c:v>44867</c:v>
                </c:pt>
                <c:pt idx="154">
                  <c:v>44860</c:v>
                </c:pt>
              </c:numCache>
            </c:numRef>
          </c:cat>
          <c:val>
            <c:numRef>
              <c:f>'Stock Data'!$D$5:$D$159</c:f>
              <c:numCache>
                <c:formatCode>0.0</c:formatCode>
                <c:ptCount val="155"/>
                <c:pt idx="0">
                  <c:v>7.3571</c:v>
                </c:pt>
                <c:pt idx="1">
                  <c:v>7.2526000000000002</c:v>
                </c:pt>
                <c:pt idx="2">
                  <c:v>7.2213000000000003</c:v>
                </c:pt>
                <c:pt idx="3">
                  <c:v>7.2396000000000003</c:v>
                </c:pt>
                <c:pt idx="4">
                  <c:v>7.218</c:v>
                </c:pt>
                <c:pt idx="5">
                  <c:v>7.3120000000000003</c:v>
                </c:pt>
                <c:pt idx="6">
                  <c:v>7.4798</c:v>
                </c:pt>
                <c:pt idx="7">
                  <c:v>7.4196999999999997</c:v>
                </c:pt>
                <c:pt idx="8">
                  <c:v>7.5007000000000001</c:v>
                </c:pt>
                <c:pt idx="9">
                  <c:v>7.3696000000000002</c:v>
                </c:pt>
                <c:pt idx="10">
                  <c:v>7.4302000000000001</c:v>
                </c:pt>
                <c:pt idx="11">
                  <c:v>8.4964999999999993</c:v>
                </c:pt>
                <c:pt idx="12">
                  <c:v>8.2422000000000004</c:v>
                </c:pt>
                <c:pt idx="13">
                  <c:v>8.4064999999999994</c:v>
                </c:pt>
                <c:pt idx="14">
                  <c:v>8.6275999999999993</c:v>
                </c:pt>
                <c:pt idx="15">
                  <c:v>8.0191999999999997</c:v>
                </c:pt>
                <c:pt idx="16">
                  <c:v>8.0089000000000006</c:v>
                </c:pt>
                <c:pt idx="17">
                  <c:v>8.1353000000000009</c:v>
                </c:pt>
                <c:pt idx="18">
                  <c:v>7.9661</c:v>
                </c:pt>
                <c:pt idx="19">
                  <c:v>7.8487</c:v>
                </c:pt>
                <c:pt idx="20">
                  <c:v>7.7908999999999997</c:v>
                </c:pt>
                <c:pt idx="21">
                  <c:v>8.0373999999999999</c:v>
                </c:pt>
                <c:pt idx="22">
                  <c:v>7.6736000000000004</c:v>
                </c:pt>
                <c:pt idx="23">
                  <c:v>7.7606000000000002</c:v>
                </c:pt>
                <c:pt idx="24">
                  <c:v>7.8845999999999998</c:v>
                </c:pt>
                <c:pt idx="25">
                  <c:v>7.6891999999999996</c:v>
                </c:pt>
                <c:pt idx="26">
                  <c:v>8.0436999999999994</c:v>
                </c:pt>
                <c:pt idx="27">
                  <c:v>8.7279</c:v>
                </c:pt>
                <c:pt idx="28">
                  <c:v>8.7297999999999991</c:v>
                </c:pt>
                <c:pt idx="29">
                  <c:v>9.1510999999999996</c:v>
                </c:pt>
                <c:pt idx="30">
                  <c:v>9.07</c:v>
                </c:pt>
                <c:pt idx="31">
                  <c:v>9.3172999999999995</c:v>
                </c:pt>
                <c:pt idx="32">
                  <c:v>9.1771999999999991</c:v>
                </c:pt>
                <c:pt idx="33">
                  <c:v>9.0530000000000008</c:v>
                </c:pt>
                <c:pt idx="34">
                  <c:v>8.9971999999999994</c:v>
                </c:pt>
                <c:pt idx="35">
                  <c:v>8.8422000000000001</c:v>
                </c:pt>
                <c:pt idx="36">
                  <c:v>10.2797</c:v>
                </c:pt>
                <c:pt idx="37">
                  <c:v>10.1989</c:v>
                </c:pt>
                <c:pt idx="38">
                  <c:v>9.8651</c:v>
                </c:pt>
                <c:pt idx="39">
                  <c:v>9.8185000000000002</c:v>
                </c:pt>
                <c:pt idx="40">
                  <c:v>9.6286000000000005</c:v>
                </c:pt>
                <c:pt idx="41">
                  <c:v>9.8363999999999994</c:v>
                </c:pt>
                <c:pt idx="42">
                  <c:v>9.6699000000000002</c:v>
                </c:pt>
                <c:pt idx="43">
                  <c:v>10.0174</c:v>
                </c:pt>
                <c:pt idx="44">
                  <c:v>9.9951000000000008</c:v>
                </c:pt>
                <c:pt idx="45">
                  <c:v>10.4474</c:v>
                </c:pt>
                <c:pt idx="46">
                  <c:v>10.2121</c:v>
                </c:pt>
                <c:pt idx="47">
                  <c:v>10.3163</c:v>
                </c:pt>
                <c:pt idx="48">
                  <c:v>10.332000000000001</c:v>
                </c:pt>
                <c:pt idx="49">
                  <c:v>10.357200000000001</c:v>
                </c:pt>
                <c:pt idx="50">
                  <c:v>10.1999</c:v>
                </c:pt>
                <c:pt idx="51">
                  <c:v>10.491400000000001</c:v>
                </c:pt>
                <c:pt idx="52">
                  <c:v>10.304500000000001</c:v>
                </c:pt>
                <c:pt idx="53">
                  <c:v>10.305199999999999</c:v>
                </c:pt>
                <c:pt idx="54">
                  <c:v>10.7743</c:v>
                </c:pt>
                <c:pt idx="55">
                  <c:v>10.714399999999999</c:v>
                </c:pt>
                <c:pt idx="56">
                  <c:v>10.5648</c:v>
                </c:pt>
                <c:pt idx="57">
                  <c:v>10.593999999999999</c:v>
                </c:pt>
                <c:pt idx="58">
                  <c:v>10.473599999999999</c:v>
                </c:pt>
                <c:pt idx="59">
                  <c:v>10.523</c:v>
                </c:pt>
                <c:pt idx="60">
                  <c:v>10.42</c:v>
                </c:pt>
                <c:pt idx="61">
                  <c:v>10.194000000000001</c:v>
                </c:pt>
                <c:pt idx="62">
                  <c:v>10.684200000000001</c:v>
                </c:pt>
                <c:pt idx="63">
                  <c:v>10.5562</c:v>
                </c:pt>
                <c:pt idx="64">
                  <c:v>11.8668</c:v>
                </c:pt>
                <c:pt idx="65">
                  <c:v>11.0512</c:v>
                </c:pt>
                <c:pt idx="66">
                  <c:v>11.0443</c:v>
                </c:pt>
                <c:pt idx="67">
                  <c:v>10.5656</c:v>
                </c:pt>
                <c:pt idx="68">
                  <c:v>10.4819</c:v>
                </c:pt>
                <c:pt idx="69">
                  <c:v>10.453099999999999</c:v>
                </c:pt>
                <c:pt idx="70">
                  <c:v>10.527699999999999</c:v>
                </c:pt>
                <c:pt idx="71">
                  <c:v>10.3208</c:v>
                </c:pt>
                <c:pt idx="72">
                  <c:v>10.9335</c:v>
                </c:pt>
                <c:pt idx="73">
                  <c:v>11.2064</c:v>
                </c:pt>
                <c:pt idx="74">
                  <c:v>11.1953</c:v>
                </c:pt>
                <c:pt idx="75">
                  <c:v>11.049200000000001</c:v>
                </c:pt>
                <c:pt idx="76">
                  <c:v>11.094900000000001</c:v>
                </c:pt>
                <c:pt idx="77">
                  <c:v>10.8096</c:v>
                </c:pt>
                <c:pt idx="78">
                  <c:v>11.136699999999999</c:v>
                </c:pt>
                <c:pt idx="79">
                  <c:v>11.463800000000001</c:v>
                </c:pt>
                <c:pt idx="80">
                  <c:v>10.5229</c:v>
                </c:pt>
                <c:pt idx="81">
                  <c:v>10.9787</c:v>
                </c:pt>
                <c:pt idx="82">
                  <c:v>10.982699999999999</c:v>
                </c:pt>
                <c:pt idx="83">
                  <c:v>10.847099999999999</c:v>
                </c:pt>
                <c:pt idx="84">
                  <c:v>10.5428</c:v>
                </c:pt>
                <c:pt idx="85">
                  <c:v>10.573499999999999</c:v>
                </c:pt>
                <c:pt idx="86">
                  <c:v>10.3177</c:v>
                </c:pt>
                <c:pt idx="87">
                  <c:v>10.502700000000001</c:v>
                </c:pt>
                <c:pt idx="88">
                  <c:v>10.175599999999999</c:v>
                </c:pt>
                <c:pt idx="89">
                  <c:v>11.0747</c:v>
                </c:pt>
                <c:pt idx="90">
                  <c:v>10.950900000000001</c:v>
                </c:pt>
                <c:pt idx="91">
                  <c:v>11.3588</c:v>
                </c:pt>
                <c:pt idx="92">
                  <c:v>11.1334</c:v>
                </c:pt>
                <c:pt idx="93">
                  <c:v>10.7798</c:v>
                </c:pt>
                <c:pt idx="94">
                  <c:v>10.787000000000001</c:v>
                </c:pt>
                <c:pt idx="95">
                  <c:v>10.804600000000001</c:v>
                </c:pt>
                <c:pt idx="96">
                  <c:v>10.686</c:v>
                </c:pt>
                <c:pt idx="97">
                  <c:v>10.5045</c:v>
                </c:pt>
                <c:pt idx="98">
                  <c:v>10.411300000000001</c:v>
                </c:pt>
                <c:pt idx="99">
                  <c:v>10.194699999999999</c:v>
                </c:pt>
                <c:pt idx="100">
                  <c:v>9.8788999999999998</c:v>
                </c:pt>
                <c:pt idx="101">
                  <c:v>9.7736999999999998</c:v>
                </c:pt>
                <c:pt idx="102">
                  <c:v>10.2065</c:v>
                </c:pt>
                <c:pt idx="103">
                  <c:v>10.624599999999999</c:v>
                </c:pt>
                <c:pt idx="104">
                  <c:v>10.714399999999999</c:v>
                </c:pt>
                <c:pt idx="105">
                  <c:v>10.618600000000001</c:v>
                </c:pt>
                <c:pt idx="106">
                  <c:v>9.3649000000000004</c:v>
                </c:pt>
                <c:pt idx="107">
                  <c:v>9.6486000000000001</c:v>
                </c:pt>
                <c:pt idx="108">
                  <c:v>9.6594999999999995</c:v>
                </c:pt>
                <c:pt idx="109">
                  <c:v>9.9019999999999992</c:v>
                </c:pt>
                <c:pt idx="110">
                  <c:v>10.4283</c:v>
                </c:pt>
                <c:pt idx="111">
                  <c:v>10.2585</c:v>
                </c:pt>
                <c:pt idx="112">
                  <c:v>10.359400000000001</c:v>
                </c:pt>
                <c:pt idx="113">
                  <c:v>10.8276</c:v>
                </c:pt>
                <c:pt idx="114">
                  <c:v>11.0952</c:v>
                </c:pt>
                <c:pt idx="115">
                  <c:v>11.151999999999999</c:v>
                </c:pt>
                <c:pt idx="116">
                  <c:v>11.2409</c:v>
                </c:pt>
                <c:pt idx="117">
                  <c:v>11.266500000000001</c:v>
                </c:pt>
                <c:pt idx="118">
                  <c:v>10.9109</c:v>
                </c:pt>
                <c:pt idx="119">
                  <c:v>10.2356</c:v>
                </c:pt>
                <c:pt idx="120">
                  <c:v>10.129300000000001</c:v>
                </c:pt>
                <c:pt idx="121">
                  <c:v>10.194699999999999</c:v>
                </c:pt>
                <c:pt idx="122">
                  <c:v>10.0177</c:v>
                </c:pt>
                <c:pt idx="123">
                  <c:v>9.7820999999999998</c:v>
                </c:pt>
                <c:pt idx="124">
                  <c:v>9.8198000000000008</c:v>
                </c:pt>
                <c:pt idx="125">
                  <c:v>10.010400000000001</c:v>
                </c:pt>
                <c:pt idx="126">
                  <c:v>10.0214</c:v>
                </c:pt>
                <c:pt idx="127">
                  <c:v>10.236800000000001</c:v>
                </c:pt>
                <c:pt idx="128">
                  <c:v>10.050700000000001</c:v>
                </c:pt>
                <c:pt idx="129">
                  <c:v>11.276</c:v>
                </c:pt>
                <c:pt idx="130">
                  <c:v>10.953200000000001</c:v>
                </c:pt>
                <c:pt idx="131">
                  <c:v>10.9297</c:v>
                </c:pt>
                <c:pt idx="132">
                  <c:v>10.5755</c:v>
                </c:pt>
                <c:pt idx="133">
                  <c:v>10.276899999999999</c:v>
                </c:pt>
                <c:pt idx="134">
                  <c:v>10.239800000000001</c:v>
                </c:pt>
                <c:pt idx="135">
                  <c:v>10.236700000000001</c:v>
                </c:pt>
                <c:pt idx="136">
                  <c:v>10.1752</c:v>
                </c:pt>
                <c:pt idx="137">
                  <c:v>9.8486999999999991</c:v>
                </c:pt>
                <c:pt idx="138">
                  <c:v>10.432700000000001</c:v>
                </c:pt>
                <c:pt idx="139">
                  <c:v>10.408300000000001</c:v>
                </c:pt>
                <c:pt idx="140">
                  <c:v>10.338200000000001</c:v>
                </c:pt>
                <c:pt idx="141">
                  <c:v>9.9559999999999995</c:v>
                </c:pt>
                <c:pt idx="142">
                  <c:v>9.9184000000000001</c:v>
                </c:pt>
                <c:pt idx="143">
                  <c:v>10.198399999999999</c:v>
                </c:pt>
                <c:pt idx="144">
                  <c:v>9.9382000000000001</c:v>
                </c:pt>
                <c:pt idx="145">
                  <c:v>9.2522000000000002</c:v>
                </c:pt>
                <c:pt idx="146">
                  <c:v>9.4032</c:v>
                </c:pt>
                <c:pt idx="147">
                  <c:v>9.7786000000000008</c:v>
                </c:pt>
                <c:pt idx="148">
                  <c:v>9.3043999999999993</c:v>
                </c:pt>
                <c:pt idx="149">
                  <c:v>10.045199999999999</c:v>
                </c:pt>
                <c:pt idx="150">
                  <c:v>9.7063000000000006</c:v>
                </c:pt>
                <c:pt idx="151">
                  <c:v>9.4219000000000008</c:v>
                </c:pt>
                <c:pt idx="152">
                  <c:v>8.7799999999999994</c:v>
                </c:pt>
                <c:pt idx="153">
                  <c:v>8.8240999999999996</c:v>
                </c:pt>
                <c:pt idx="154">
                  <c:v>9.0609999999999999</c:v>
                </c:pt>
              </c:numCache>
            </c:numRef>
          </c:val>
          <c:smooth val="0"/>
          <c:extLst>
            <c:ext xmlns:c16="http://schemas.microsoft.com/office/drawing/2014/chart" uri="{C3380CC4-5D6E-409C-BE32-E72D297353CC}">
              <c16:uniqueId val="{00000001-C6A3-42EA-AD84-0EA2783F3814}"/>
            </c:ext>
          </c:extLst>
        </c:ser>
        <c:ser>
          <c:idx val="2"/>
          <c:order val="2"/>
          <c:tx>
            <c:strRef>
              <c:f>Inputs!$B$22</c:f>
              <c:strCache>
                <c:ptCount val="1"/>
                <c:pt idx="0">
                  <c:v>DHL GROUP</c:v>
                </c:pt>
              </c:strCache>
            </c:strRef>
          </c:tx>
          <c:spPr>
            <a:ln w="28575" cap="rnd">
              <a:solidFill>
                <a:schemeClr val="accent5"/>
              </a:solidFill>
              <a:round/>
            </a:ln>
            <a:effectLst/>
          </c:spPr>
          <c:marker>
            <c:symbol val="none"/>
          </c:marker>
          <c:cat>
            <c:numRef>
              <c:f>'Stock Data'!$B$5:$B$159</c:f>
              <c:numCache>
                <c:formatCode>m/d/yyyy</c:formatCode>
                <c:ptCount val="155"/>
                <c:pt idx="0">
                  <c:v>45938</c:v>
                </c:pt>
                <c:pt idx="1">
                  <c:v>45931</c:v>
                </c:pt>
                <c:pt idx="2">
                  <c:v>45924</c:v>
                </c:pt>
                <c:pt idx="3">
                  <c:v>45917</c:v>
                </c:pt>
                <c:pt idx="4">
                  <c:v>45910</c:v>
                </c:pt>
                <c:pt idx="5">
                  <c:v>45903</c:v>
                </c:pt>
                <c:pt idx="6">
                  <c:v>45896</c:v>
                </c:pt>
                <c:pt idx="7">
                  <c:v>45889</c:v>
                </c:pt>
                <c:pt idx="8">
                  <c:v>45882</c:v>
                </c:pt>
                <c:pt idx="9">
                  <c:v>45875</c:v>
                </c:pt>
                <c:pt idx="10">
                  <c:v>45868</c:v>
                </c:pt>
                <c:pt idx="11">
                  <c:v>45861</c:v>
                </c:pt>
                <c:pt idx="12">
                  <c:v>45854</c:v>
                </c:pt>
                <c:pt idx="13">
                  <c:v>45847</c:v>
                </c:pt>
                <c:pt idx="14">
                  <c:v>45840</c:v>
                </c:pt>
                <c:pt idx="15">
                  <c:v>45833</c:v>
                </c:pt>
                <c:pt idx="16">
                  <c:v>45826</c:v>
                </c:pt>
                <c:pt idx="17">
                  <c:v>45819</c:v>
                </c:pt>
                <c:pt idx="18">
                  <c:v>45812</c:v>
                </c:pt>
                <c:pt idx="19">
                  <c:v>45805</c:v>
                </c:pt>
                <c:pt idx="20">
                  <c:v>45798</c:v>
                </c:pt>
                <c:pt idx="21">
                  <c:v>45791</c:v>
                </c:pt>
                <c:pt idx="22">
                  <c:v>45784</c:v>
                </c:pt>
                <c:pt idx="23">
                  <c:v>45777</c:v>
                </c:pt>
                <c:pt idx="24">
                  <c:v>45770</c:v>
                </c:pt>
                <c:pt idx="25">
                  <c:v>45763</c:v>
                </c:pt>
                <c:pt idx="26">
                  <c:v>45756</c:v>
                </c:pt>
                <c:pt idx="27">
                  <c:v>45749</c:v>
                </c:pt>
                <c:pt idx="28">
                  <c:v>45742</c:v>
                </c:pt>
                <c:pt idx="29">
                  <c:v>45735</c:v>
                </c:pt>
                <c:pt idx="30">
                  <c:v>45728</c:v>
                </c:pt>
                <c:pt idx="31">
                  <c:v>45721</c:v>
                </c:pt>
                <c:pt idx="32">
                  <c:v>45714</c:v>
                </c:pt>
                <c:pt idx="33">
                  <c:v>45707</c:v>
                </c:pt>
                <c:pt idx="34">
                  <c:v>45700</c:v>
                </c:pt>
                <c:pt idx="35">
                  <c:v>45693</c:v>
                </c:pt>
                <c:pt idx="36">
                  <c:v>45686</c:v>
                </c:pt>
                <c:pt idx="37">
                  <c:v>45679</c:v>
                </c:pt>
                <c:pt idx="38">
                  <c:v>45672</c:v>
                </c:pt>
                <c:pt idx="39">
                  <c:v>45665</c:v>
                </c:pt>
                <c:pt idx="40">
                  <c:v>45658</c:v>
                </c:pt>
                <c:pt idx="41">
                  <c:v>45651</c:v>
                </c:pt>
                <c:pt idx="42">
                  <c:v>45644</c:v>
                </c:pt>
                <c:pt idx="43">
                  <c:v>45637</c:v>
                </c:pt>
                <c:pt idx="44">
                  <c:v>45630</c:v>
                </c:pt>
                <c:pt idx="45">
                  <c:v>45623</c:v>
                </c:pt>
                <c:pt idx="46">
                  <c:v>45616</c:v>
                </c:pt>
                <c:pt idx="47">
                  <c:v>45609</c:v>
                </c:pt>
                <c:pt idx="48">
                  <c:v>45602</c:v>
                </c:pt>
                <c:pt idx="49">
                  <c:v>45595</c:v>
                </c:pt>
                <c:pt idx="50">
                  <c:v>45588</c:v>
                </c:pt>
                <c:pt idx="51">
                  <c:v>45581</c:v>
                </c:pt>
                <c:pt idx="52">
                  <c:v>45574</c:v>
                </c:pt>
                <c:pt idx="53">
                  <c:v>45567</c:v>
                </c:pt>
                <c:pt idx="54">
                  <c:v>45560</c:v>
                </c:pt>
                <c:pt idx="55">
                  <c:v>45553</c:v>
                </c:pt>
                <c:pt idx="56">
                  <c:v>45546</c:v>
                </c:pt>
                <c:pt idx="57">
                  <c:v>45539</c:v>
                </c:pt>
                <c:pt idx="58">
                  <c:v>45532</c:v>
                </c:pt>
                <c:pt idx="59">
                  <c:v>45525</c:v>
                </c:pt>
                <c:pt idx="60">
                  <c:v>45518</c:v>
                </c:pt>
                <c:pt idx="61">
                  <c:v>45511</c:v>
                </c:pt>
                <c:pt idx="62">
                  <c:v>45504</c:v>
                </c:pt>
                <c:pt idx="63">
                  <c:v>45497</c:v>
                </c:pt>
                <c:pt idx="64">
                  <c:v>45490</c:v>
                </c:pt>
                <c:pt idx="65">
                  <c:v>45483</c:v>
                </c:pt>
                <c:pt idx="66">
                  <c:v>45476</c:v>
                </c:pt>
                <c:pt idx="67">
                  <c:v>45469</c:v>
                </c:pt>
                <c:pt idx="68">
                  <c:v>45462</c:v>
                </c:pt>
                <c:pt idx="69">
                  <c:v>45455</c:v>
                </c:pt>
                <c:pt idx="70">
                  <c:v>45448</c:v>
                </c:pt>
                <c:pt idx="71">
                  <c:v>45441</c:v>
                </c:pt>
                <c:pt idx="72">
                  <c:v>45434</c:v>
                </c:pt>
                <c:pt idx="73">
                  <c:v>45427</c:v>
                </c:pt>
                <c:pt idx="74">
                  <c:v>45420</c:v>
                </c:pt>
                <c:pt idx="75">
                  <c:v>45413</c:v>
                </c:pt>
                <c:pt idx="76">
                  <c:v>45406</c:v>
                </c:pt>
                <c:pt idx="77">
                  <c:v>45399</c:v>
                </c:pt>
                <c:pt idx="78">
                  <c:v>45392</c:v>
                </c:pt>
                <c:pt idx="79">
                  <c:v>45385</c:v>
                </c:pt>
                <c:pt idx="80">
                  <c:v>45378</c:v>
                </c:pt>
                <c:pt idx="81">
                  <c:v>45371</c:v>
                </c:pt>
                <c:pt idx="82">
                  <c:v>45364</c:v>
                </c:pt>
                <c:pt idx="83">
                  <c:v>45357</c:v>
                </c:pt>
                <c:pt idx="84">
                  <c:v>45350</c:v>
                </c:pt>
                <c:pt idx="85">
                  <c:v>45343</c:v>
                </c:pt>
                <c:pt idx="86">
                  <c:v>45336</c:v>
                </c:pt>
                <c:pt idx="87">
                  <c:v>45329</c:v>
                </c:pt>
                <c:pt idx="88">
                  <c:v>45322</c:v>
                </c:pt>
                <c:pt idx="89">
                  <c:v>45315</c:v>
                </c:pt>
                <c:pt idx="90">
                  <c:v>45308</c:v>
                </c:pt>
                <c:pt idx="91">
                  <c:v>45301</c:v>
                </c:pt>
                <c:pt idx="92">
                  <c:v>45294</c:v>
                </c:pt>
                <c:pt idx="93">
                  <c:v>45287</c:v>
                </c:pt>
                <c:pt idx="94">
                  <c:v>45280</c:v>
                </c:pt>
                <c:pt idx="95">
                  <c:v>45273</c:v>
                </c:pt>
                <c:pt idx="96">
                  <c:v>45266</c:v>
                </c:pt>
                <c:pt idx="97">
                  <c:v>45259</c:v>
                </c:pt>
                <c:pt idx="98">
                  <c:v>45252</c:v>
                </c:pt>
                <c:pt idx="99">
                  <c:v>45245</c:v>
                </c:pt>
                <c:pt idx="100">
                  <c:v>45238</c:v>
                </c:pt>
                <c:pt idx="101">
                  <c:v>45231</c:v>
                </c:pt>
                <c:pt idx="102">
                  <c:v>45224</c:v>
                </c:pt>
                <c:pt idx="103">
                  <c:v>45217</c:v>
                </c:pt>
                <c:pt idx="104">
                  <c:v>45210</c:v>
                </c:pt>
                <c:pt idx="105">
                  <c:v>45203</c:v>
                </c:pt>
                <c:pt idx="106">
                  <c:v>45196</c:v>
                </c:pt>
                <c:pt idx="107">
                  <c:v>45189</c:v>
                </c:pt>
                <c:pt idx="108">
                  <c:v>45182</c:v>
                </c:pt>
                <c:pt idx="109">
                  <c:v>45175</c:v>
                </c:pt>
                <c:pt idx="110">
                  <c:v>45168</c:v>
                </c:pt>
                <c:pt idx="111">
                  <c:v>45161</c:v>
                </c:pt>
                <c:pt idx="112">
                  <c:v>45154</c:v>
                </c:pt>
                <c:pt idx="113">
                  <c:v>45147</c:v>
                </c:pt>
                <c:pt idx="114">
                  <c:v>45140</c:v>
                </c:pt>
                <c:pt idx="115">
                  <c:v>45133</c:v>
                </c:pt>
                <c:pt idx="116">
                  <c:v>45126</c:v>
                </c:pt>
                <c:pt idx="117">
                  <c:v>45119</c:v>
                </c:pt>
                <c:pt idx="118">
                  <c:v>45112</c:v>
                </c:pt>
                <c:pt idx="119">
                  <c:v>45105</c:v>
                </c:pt>
                <c:pt idx="120">
                  <c:v>45098</c:v>
                </c:pt>
                <c:pt idx="121">
                  <c:v>45091</c:v>
                </c:pt>
                <c:pt idx="122">
                  <c:v>45084</c:v>
                </c:pt>
                <c:pt idx="123">
                  <c:v>45077</c:v>
                </c:pt>
                <c:pt idx="124">
                  <c:v>45070</c:v>
                </c:pt>
                <c:pt idx="125">
                  <c:v>45063</c:v>
                </c:pt>
                <c:pt idx="126">
                  <c:v>45056</c:v>
                </c:pt>
                <c:pt idx="127">
                  <c:v>45049</c:v>
                </c:pt>
                <c:pt idx="128">
                  <c:v>45042</c:v>
                </c:pt>
                <c:pt idx="129">
                  <c:v>45035</c:v>
                </c:pt>
                <c:pt idx="130">
                  <c:v>45028</c:v>
                </c:pt>
                <c:pt idx="131">
                  <c:v>45021</c:v>
                </c:pt>
                <c:pt idx="132">
                  <c:v>45014</c:v>
                </c:pt>
                <c:pt idx="133">
                  <c:v>45007</c:v>
                </c:pt>
                <c:pt idx="134">
                  <c:v>45000</c:v>
                </c:pt>
                <c:pt idx="135">
                  <c:v>44993</c:v>
                </c:pt>
                <c:pt idx="136">
                  <c:v>44986</c:v>
                </c:pt>
                <c:pt idx="137">
                  <c:v>44979</c:v>
                </c:pt>
                <c:pt idx="138">
                  <c:v>44972</c:v>
                </c:pt>
                <c:pt idx="139">
                  <c:v>44965</c:v>
                </c:pt>
                <c:pt idx="140">
                  <c:v>44958</c:v>
                </c:pt>
                <c:pt idx="141">
                  <c:v>44951</c:v>
                </c:pt>
                <c:pt idx="142">
                  <c:v>44944</c:v>
                </c:pt>
                <c:pt idx="143">
                  <c:v>44937</c:v>
                </c:pt>
                <c:pt idx="144">
                  <c:v>44930</c:v>
                </c:pt>
                <c:pt idx="145">
                  <c:v>44923</c:v>
                </c:pt>
                <c:pt idx="146">
                  <c:v>44916</c:v>
                </c:pt>
                <c:pt idx="147">
                  <c:v>44909</c:v>
                </c:pt>
                <c:pt idx="148">
                  <c:v>44902</c:v>
                </c:pt>
                <c:pt idx="149">
                  <c:v>44895</c:v>
                </c:pt>
                <c:pt idx="150">
                  <c:v>44888</c:v>
                </c:pt>
                <c:pt idx="151">
                  <c:v>44881</c:v>
                </c:pt>
                <c:pt idx="152">
                  <c:v>44874</c:v>
                </c:pt>
                <c:pt idx="153">
                  <c:v>44867</c:v>
                </c:pt>
                <c:pt idx="154">
                  <c:v>44860</c:v>
                </c:pt>
              </c:numCache>
            </c:numRef>
          </c:cat>
          <c:val>
            <c:numRef>
              <c:f>'Stock Data'!$E$5:$E$159</c:f>
              <c:numCache>
                <c:formatCode>0.0</c:formatCode>
                <c:ptCount val="155"/>
                <c:pt idx="0">
                  <c:v>6.1695000000000002</c:v>
                </c:pt>
                <c:pt idx="1">
                  <c:v>6.1178999999999997</c:v>
                </c:pt>
                <c:pt idx="2">
                  <c:v>6.0620000000000003</c:v>
                </c:pt>
                <c:pt idx="3">
                  <c:v>6.1093000000000002</c:v>
                </c:pt>
                <c:pt idx="4">
                  <c:v>6.1147</c:v>
                </c:pt>
                <c:pt idx="5">
                  <c:v>6.1296999999999997</c:v>
                </c:pt>
                <c:pt idx="6">
                  <c:v>6.2027999999999999</c:v>
                </c:pt>
                <c:pt idx="7">
                  <c:v>6.4436</c:v>
                </c:pt>
                <c:pt idx="8">
                  <c:v>6.4747000000000003</c:v>
                </c:pt>
                <c:pt idx="9">
                  <c:v>6.1726999999999999</c:v>
                </c:pt>
                <c:pt idx="10">
                  <c:v>6.2598000000000003</c:v>
                </c:pt>
                <c:pt idx="11">
                  <c:v>6.3425000000000002</c:v>
                </c:pt>
                <c:pt idx="12">
                  <c:v>6.1619000000000002</c:v>
                </c:pt>
                <c:pt idx="13">
                  <c:v>6.2899000000000003</c:v>
                </c:pt>
                <c:pt idx="14">
                  <c:v>6.22</c:v>
                </c:pt>
                <c:pt idx="15">
                  <c:v>5.9443999999999999</c:v>
                </c:pt>
                <c:pt idx="16">
                  <c:v>6.1840999999999999</c:v>
                </c:pt>
                <c:pt idx="17">
                  <c:v>6.1883999999999997</c:v>
                </c:pt>
                <c:pt idx="18">
                  <c:v>6.1330999999999998</c:v>
                </c:pt>
                <c:pt idx="19">
                  <c:v>5.9911000000000003</c:v>
                </c:pt>
                <c:pt idx="20">
                  <c:v>5.9802</c:v>
                </c:pt>
                <c:pt idx="21">
                  <c:v>6.0019</c:v>
                </c:pt>
                <c:pt idx="22">
                  <c:v>5.7687999999999997</c:v>
                </c:pt>
                <c:pt idx="23">
                  <c:v>5.8738999999999999</c:v>
                </c:pt>
                <c:pt idx="24">
                  <c:v>5.7882999999999996</c:v>
                </c:pt>
                <c:pt idx="25">
                  <c:v>5.6593</c:v>
                </c:pt>
                <c:pt idx="26">
                  <c:v>5.6483999999999996</c:v>
                </c:pt>
                <c:pt idx="27">
                  <c:v>6.0377000000000001</c:v>
                </c:pt>
                <c:pt idx="28">
                  <c:v>6.2558999999999996</c:v>
                </c:pt>
                <c:pt idx="29">
                  <c:v>6.5408999999999997</c:v>
                </c:pt>
                <c:pt idx="30">
                  <c:v>6.3819999999999997</c:v>
                </c:pt>
                <c:pt idx="31">
                  <c:v>6.1047000000000002</c:v>
                </c:pt>
                <c:pt idx="32">
                  <c:v>5.9950999999999999</c:v>
                </c:pt>
                <c:pt idx="33">
                  <c:v>5.8186</c:v>
                </c:pt>
                <c:pt idx="34">
                  <c:v>5.7496</c:v>
                </c:pt>
                <c:pt idx="35">
                  <c:v>5.6071</c:v>
                </c:pt>
                <c:pt idx="36">
                  <c:v>5.7671000000000001</c:v>
                </c:pt>
                <c:pt idx="37">
                  <c:v>5.6641000000000004</c:v>
                </c:pt>
                <c:pt idx="38">
                  <c:v>5.6246</c:v>
                </c:pt>
                <c:pt idx="39">
                  <c:v>5.6257000000000001</c:v>
                </c:pt>
                <c:pt idx="40">
                  <c:v>5.5578000000000003</c:v>
                </c:pt>
                <c:pt idx="41">
                  <c:v>5.8288000000000002</c:v>
                </c:pt>
                <c:pt idx="42">
                  <c:v>5.8288000000000002</c:v>
                </c:pt>
                <c:pt idx="43">
                  <c:v>6.0989000000000004</c:v>
                </c:pt>
                <c:pt idx="44">
                  <c:v>5.9737</c:v>
                </c:pt>
                <c:pt idx="45">
                  <c:v>5.9436</c:v>
                </c:pt>
                <c:pt idx="46">
                  <c:v>5.9957000000000003</c:v>
                </c:pt>
                <c:pt idx="47">
                  <c:v>5.9320000000000004</c:v>
                </c:pt>
                <c:pt idx="48">
                  <c:v>5.9598000000000004</c:v>
                </c:pt>
                <c:pt idx="49">
                  <c:v>6.2588999999999997</c:v>
                </c:pt>
                <c:pt idx="50">
                  <c:v>6.2263999999999999</c:v>
                </c:pt>
                <c:pt idx="51">
                  <c:v>6.3470000000000004</c:v>
                </c:pt>
                <c:pt idx="52">
                  <c:v>6.4084000000000003</c:v>
                </c:pt>
                <c:pt idx="53">
                  <c:v>6.4246999999999996</c:v>
                </c:pt>
                <c:pt idx="54">
                  <c:v>6.4755000000000003</c:v>
                </c:pt>
                <c:pt idx="55">
                  <c:v>6.6398999999999999</c:v>
                </c:pt>
                <c:pt idx="56">
                  <c:v>6.5911999999999997</c:v>
                </c:pt>
                <c:pt idx="57">
                  <c:v>6.5345000000000004</c:v>
                </c:pt>
                <c:pt idx="58">
                  <c:v>6.4650999999999996</c:v>
                </c:pt>
                <c:pt idx="59">
                  <c:v>6.4142000000000001</c:v>
                </c:pt>
                <c:pt idx="60">
                  <c:v>6.2370999999999999</c:v>
                </c:pt>
                <c:pt idx="61">
                  <c:v>6.2845000000000004</c:v>
                </c:pt>
                <c:pt idx="62">
                  <c:v>6.7591000000000001</c:v>
                </c:pt>
                <c:pt idx="63">
                  <c:v>6.6318000000000001</c:v>
                </c:pt>
                <c:pt idx="64">
                  <c:v>6.6561000000000003</c:v>
                </c:pt>
                <c:pt idx="65">
                  <c:v>6.6513999999999998</c:v>
                </c:pt>
                <c:pt idx="66">
                  <c:v>6.5993000000000004</c:v>
                </c:pt>
                <c:pt idx="67">
                  <c:v>6.0537999999999998</c:v>
                </c:pt>
                <c:pt idx="68">
                  <c:v>5.9870999999999999</c:v>
                </c:pt>
                <c:pt idx="69">
                  <c:v>6.1295999999999999</c:v>
                </c:pt>
                <c:pt idx="70">
                  <c:v>6.3079999999999998</c:v>
                </c:pt>
                <c:pt idx="71">
                  <c:v>6.2016999999999998</c:v>
                </c:pt>
                <c:pt idx="72">
                  <c:v>6.2858000000000001</c:v>
                </c:pt>
                <c:pt idx="73">
                  <c:v>6.3453999999999997</c:v>
                </c:pt>
                <c:pt idx="74">
                  <c:v>6.1818999999999997</c:v>
                </c:pt>
                <c:pt idx="75">
                  <c:v>6.3512000000000004</c:v>
                </c:pt>
                <c:pt idx="76">
                  <c:v>6.2134</c:v>
                </c:pt>
                <c:pt idx="77">
                  <c:v>6.2064000000000004</c:v>
                </c:pt>
                <c:pt idx="78">
                  <c:v>6.2858000000000001</c:v>
                </c:pt>
                <c:pt idx="79">
                  <c:v>6.3535000000000004</c:v>
                </c:pt>
                <c:pt idx="80">
                  <c:v>6.3398000000000003</c:v>
                </c:pt>
                <c:pt idx="81">
                  <c:v>6.1798999999999999</c:v>
                </c:pt>
                <c:pt idx="82">
                  <c:v>6.1604999999999999</c:v>
                </c:pt>
                <c:pt idx="83">
                  <c:v>6.1798999999999999</c:v>
                </c:pt>
                <c:pt idx="84">
                  <c:v>6.6384999999999996</c:v>
                </c:pt>
                <c:pt idx="85">
                  <c:v>6.6379000000000001</c:v>
                </c:pt>
                <c:pt idx="86">
                  <c:v>6.53</c:v>
                </c:pt>
                <c:pt idx="87">
                  <c:v>6.5174000000000003</c:v>
                </c:pt>
                <c:pt idx="88">
                  <c:v>6.7624000000000004</c:v>
                </c:pt>
                <c:pt idx="89">
                  <c:v>6.8349000000000002</c:v>
                </c:pt>
                <c:pt idx="90">
                  <c:v>6.6909999999999998</c:v>
                </c:pt>
                <c:pt idx="91">
                  <c:v>6.8171999999999997</c:v>
                </c:pt>
                <c:pt idx="92">
                  <c:v>6.7670000000000003</c:v>
                </c:pt>
                <c:pt idx="93">
                  <c:v>6.7347000000000001</c:v>
                </c:pt>
                <c:pt idx="94">
                  <c:v>6.6928999999999998</c:v>
                </c:pt>
                <c:pt idx="95">
                  <c:v>6.907</c:v>
                </c:pt>
                <c:pt idx="96">
                  <c:v>6.7053000000000003</c:v>
                </c:pt>
                <c:pt idx="97">
                  <c:v>6.5149999999999997</c:v>
                </c:pt>
                <c:pt idx="98">
                  <c:v>6.2976000000000001</c:v>
                </c:pt>
                <c:pt idx="99">
                  <c:v>6.2111999999999998</c:v>
                </c:pt>
                <c:pt idx="100">
                  <c:v>5.9751000000000003</c:v>
                </c:pt>
                <c:pt idx="101">
                  <c:v>5.8334000000000001</c:v>
                </c:pt>
                <c:pt idx="102">
                  <c:v>5.8029000000000002</c:v>
                </c:pt>
                <c:pt idx="103">
                  <c:v>5.9908999999999999</c:v>
                </c:pt>
                <c:pt idx="104">
                  <c:v>6.0807000000000002</c:v>
                </c:pt>
                <c:pt idx="105">
                  <c:v>5.9678000000000004</c:v>
                </c:pt>
                <c:pt idx="106">
                  <c:v>5.7146999999999997</c:v>
                </c:pt>
                <c:pt idx="107">
                  <c:v>5.8577000000000004</c:v>
                </c:pt>
                <c:pt idx="108">
                  <c:v>6.0023</c:v>
                </c:pt>
                <c:pt idx="109">
                  <c:v>6.0419</c:v>
                </c:pt>
                <c:pt idx="110">
                  <c:v>6.2470999999999997</c:v>
                </c:pt>
                <c:pt idx="111">
                  <c:v>6.2009999999999996</c:v>
                </c:pt>
                <c:pt idx="112">
                  <c:v>6.2775999999999996</c:v>
                </c:pt>
                <c:pt idx="113">
                  <c:v>6.3080999999999996</c:v>
                </c:pt>
                <c:pt idx="114">
                  <c:v>6.2850999999999999</c:v>
                </c:pt>
                <c:pt idx="115">
                  <c:v>6.5153999999999996</c:v>
                </c:pt>
                <c:pt idx="116">
                  <c:v>6.5458999999999996</c:v>
                </c:pt>
                <c:pt idx="117">
                  <c:v>6.4977</c:v>
                </c:pt>
                <c:pt idx="118">
                  <c:v>6.4307999999999996</c:v>
                </c:pt>
                <c:pt idx="119">
                  <c:v>5.8296000000000001</c:v>
                </c:pt>
                <c:pt idx="120">
                  <c:v>5.6924999999999999</c:v>
                </c:pt>
                <c:pt idx="121">
                  <c:v>5.7628000000000004</c:v>
                </c:pt>
                <c:pt idx="122">
                  <c:v>5.6139999999999999</c:v>
                </c:pt>
                <c:pt idx="123">
                  <c:v>5.6466000000000003</c:v>
                </c:pt>
                <c:pt idx="124">
                  <c:v>5.5145999999999997</c:v>
                </c:pt>
                <c:pt idx="125">
                  <c:v>5.5156000000000001</c:v>
                </c:pt>
                <c:pt idx="126">
                  <c:v>5.5686</c:v>
                </c:pt>
                <c:pt idx="127">
                  <c:v>5.8158000000000003</c:v>
                </c:pt>
                <c:pt idx="128">
                  <c:v>5.5869</c:v>
                </c:pt>
                <c:pt idx="129">
                  <c:v>5.7755000000000001</c:v>
                </c:pt>
                <c:pt idx="130">
                  <c:v>5.6527000000000003</c:v>
                </c:pt>
                <c:pt idx="131">
                  <c:v>5.6425000000000001</c:v>
                </c:pt>
                <c:pt idx="132">
                  <c:v>5.4839000000000002</c:v>
                </c:pt>
                <c:pt idx="133">
                  <c:v>5.4672000000000001</c:v>
                </c:pt>
                <c:pt idx="134">
                  <c:v>5.2968000000000002</c:v>
                </c:pt>
                <c:pt idx="135">
                  <c:v>5.3756000000000004</c:v>
                </c:pt>
                <c:pt idx="136">
                  <c:v>5.3288000000000002</c:v>
                </c:pt>
                <c:pt idx="137">
                  <c:v>5.3333000000000004</c:v>
                </c:pt>
                <c:pt idx="138">
                  <c:v>5.4076000000000004</c:v>
                </c:pt>
                <c:pt idx="139">
                  <c:v>5.4302999999999999</c:v>
                </c:pt>
                <c:pt idx="140">
                  <c:v>5.3548999999999998</c:v>
                </c:pt>
                <c:pt idx="141">
                  <c:v>5.2614000000000001</c:v>
                </c:pt>
                <c:pt idx="142">
                  <c:v>5.3367000000000004</c:v>
                </c:pt>
                <c:pt idx="143">
                  <c:v>5.0495999999999999</c:v>
                </c:pt>
                <c:pt idx="144">
                  <c:v>4.9625000000000004</c:v>
                </c:pt>
                <c:pt idx="145">
                  <c:v>4.7770000000000001</c:v>
                </c:pt>
                <c:pt idx="146">
                  <c:v>4.8243</c:v>
                </c:pt>
                <c:pt idx="147">
                  <c:v>5.1195000000000004</c:v>
                </c:pt>
                <c:pt idx="148">
                  <c:v>5.0960999999999999</c:v>
                </c:pt>
                <c:pt idx="149">
                  <c:v>5.0930999999999997</c:v>
                </c:pt>
                <c:pt idx="150">
                  <c:v>5.0579999999999998</c:v>
                </c:pt>
                <c:pt idx="151">
                  <c:v>5.0975000000000001</c:v>
                </c:pt>
                <c:pt idx="152">
                  <c:v>4.8253000000000004</c:v>
                </c:pt>
                <c:pt idx="153">
                  <c:v>4.7789999999999999</c:v>
                </c:pt>
                <c:pt idx="154">
                  <c:v>4.8731</c:v>
                </c:pt>
              </c:numCache>
            </c:numRef>
          </c:val>
          <c:smooth val="0"/>
          <c:extLst>
            <c:ext xmlns:c16="http://schemas.microsoft.com/office/drawing/2014/chart" uri="{C3380CC4-5D6E-409C-BE32-E72D297353CC}">
              <c16:uniqueId val="{00000002-C6A3-42EA-AD84-0EA2783F3814}"/>
            </c:ext>
          </c:extLst>
        </c:ser>
        <c:ser>
          <c:idx val="3"/>
          <c:order val="3"/>
          <c:tx>
            <c:strRef>
              <c:f>Inputs!$B$23</c:f>
              <c:strCache>
                <c:ptCount val="1"/>
                <c:pt idx="0">
                  <c:v>OLD DOMINION FRT</c:v>
                </c:pt>
              </c:strCache>
            </c:strRef>
          </c:tx>
          <c:spPr>
            <a:ln w="28575" cap="rnd">
              <a:solidFill>
                <a:schemeClr val="accent1">
                  <a:lumMod val="60000"/>
                </a:schemeClr>
              </a:solidFill>
              <a:round/>
            </a:ln>
            <a:effectLst/>
          </c:spPr>
          <c:marker>
            <c:symbol val="none"/>
          </c:marker>
          <c:cat>
            <c:numRef>
              <c:f>'Stock Data'!$B$5:$B$159</c:f>
              <c:numCache>
                <c:formatCode>m/d/yyyy</c:formatCode>
                <c:ptCount val="155"/>
                <c:pt idx="0">
                  <c:v>45938</c:v>
                </c:pt>
                <c:pt idx="1">
                  <c:v>45931</c:v>
                </c:pt>
                <c:pt idx="2">
                  <c:v>45924</c:v>
                </c:pt>
                <c:pt idx="3">
                  <c:v>45917</c:v>
                </c:pt>
                <c:pt idx="4">
                  <c:v>45910</c:v>
                </c:pt>
                <c:pt idx="5">
                  <c:v>45903</c:v>
                </c:pt>
                <c:pt idx="6">
                  <c:v>45896</c:v>
                </c:pt>
                <c:pt idx="7">
                  <c:v>45889</c:v>
                </c:pt>
                <c:pt idx="8">
                  <c:v>45882</c:v>
                </c:pt>
                <c:pt idx="9">
                  <c:v>45875</c:v>
                </c:pt>
                <c:pt idx="10">
                  <c:v>45868</c:v>
                </c:pt>
                <c:pt idx="11">
                  <c:v>45861</c:v>
                </c:pt>
                <c:pt idx="12">
                  <c:v>45854</c:v>
                </c:pt>
                <c:pt idx="13">
                  <c:v>45847</c:v>
                </c:pt>
                <c:pt idx="14">
                  <c:v>45840</c:v>
                </c:pt>
                <c:pt idx="15">
                  <c:v>45833</c:v>
                </c:pt>
                <c:pt idx="16">
                  <c:v>45826</c:v>
                </c:pt>
                <c:pt idx="17">
                  <c:v>45819</c:v>
                </c:pt>
                <c:pt idx="18">
                  <c:v>45812</c:v>
                </c:pt>
                <c:pt idx="19">
                  <c:v>45805</c:v>
                </c:pt>
                <c:pt idx="20">
                  <c:v>45798</c:v>
                </c:pt>
                <c:pt idx="21">
                  <c:v>45791</c:v>
                </c:pt>
                <c:pt idx="22">
                  <c:v>45784</c:v>
                </c:pt>
                <c:pt idx="23">
                  <c:v>45777</c:v>
                </c:pt>
                <c:pt idx="24">
                  <c:v>45770</c:v>
                </c:pt>
                <c:pt idx="25">
                  <c:v>45763</c:v>
                </c:pt>
                <c:pt idx="26">
                  <c:v>45756</c:v>
                </c:pt>
                <c:pt idx="27">
                  <c:v>45749</c:v>
                </c:pt>
                <c:pt idx="28">
                  <c:v>45742</c:v>
                </c:pt>
                <c:pt idx="29">
                  <c:v>45735</c:v>
                </c:pt>
                <c:pt idx="30">
                  <c:v>45728</c:v>
                </c:pt>
                <c:pt idx="31">
                  <c:v>45721</c:v>
                </c:pt>
                <c:pt idx="32">
                  <c:v>45714</c:v>
                </c:pt>
                <c:pt idx="33">
                  <c:v>45707</c:v>
                </c:pt>
                <c:pt idx="34">
                  <c:v>45700</c:v>
                </c:pt>
                <c:pt idx="35">
                  <c:v>45693</c:v>
                </c:pt>
                <c:pt idx="36">
                  <c:v>45686</c:v>
                </c:pt>
                <c:pt idx="37">
                  <c:v>45679</c:v>
                </c:pt>
                <c:pt idx="38">
                  <c:v>45672</c:v>
                </c:pt>
                <c:pt idx="39">
                  <c:v>45665</c:v>
                </c:pt>
                <c:pt idx="40">
                  <c:v>45658</c:v>
                </c:pt>
                <c:pt idx="41">
                  <c:v>45651</c:v>
                </c:pt>
                <c:pt idx="42">
                  <c:v>45644</c:v>
                </c:pt>
                <c:pt idx="43">
                  <c:v>45637</c:v>
                </c:pt>
                <c:pt idx="44">
                  <c:v>45630</c:v>
                </c:pt>
                <c:pt idx="45">
                  <c:v>45623</c:v>
                </c:pt>
                <c:pt idx="46">
                  <c:v>45616</c:v>
                </c:pt>
                <c:pt idx="47">
                  <c:v>45609</c:v>
                </c:pt>
                <c:pt idx="48">
                  <c:v>45602</c:v>
                </c:pt>
                <c:pt idx="49">
                  <c:v>45595</c:v>
                </c:pt>
                <c:pt idx="50">
                  <c:v>45588</c:v>
                </c:pt>
                <c:pt idx="51">
                  <c:v>45581</c:v>
                </c:pt>
                <c:pt idx="52">
                  <c:v>45574</c:v>
                </c:pt>
                <c:pt idx="53">
                  <c:v>45567</c:v>
                </c:pt>
                <c:pt idx="54">
                  <c:v>45560</c:v>
                </c:pt>
                <c:pt idx="55">
                  <c:v>45553</c:v>
                </c:pt>
                <c:pt idx="56">
                  <c:v>45546</c:v>
                </c:pt>
                <c:pt idx="57">
                  <c:v>45539</c:v>
                </c:pt>
                <c:pt idx="58">
                  <c:v>45532</c:v>
                </c:pt>
                <c:pt idx="59">
                  <c:v>45525</c:v>
                </c:pt>
                <c:pt idx="60">
                  <c:v>45518</c:v>
                </c:pt>
                <c:pt idx="61">
                  <c:v>45511</c:v>
                </c:pt>
                <c:pt idx="62">
                  <c:v>45504</c:v>
                </c:pt>
                <c:pt idx="63">
                  <c:v>45497</c:v>
                </c:pt>
                <c:pt idx="64">
                  <c:v>45490</c:v>
                </c:pt>
                <c:pt idx="65">
                  <c:v>45483</c:v>
                </c:pt>
                <c:pt idx="66">
                  <c:v>45476</c:v>
                </c:pt>
                <c:pt idx="67">
                  <c:v>45469</c:v>
                </c:pt>
                <c:pt idx="68">
                  <c:v>45462</c:v>
                </c:pt>
                <c:pt idx="69">
                  <c:v>45455</c:v>
                </c:pt>
                <c:pt idx="70">
                  <c:v>45448</c:v>
                </c:pt>
                <c:pt idx="71">
                  <c:v>45441</c:v>
                </c:pt>
                <c:pt idx="72">
                  <c:v>45434</c:v>
                </c:pt>
                <c:pt idx="73">
                  <c:v>45427</c:v>
                </c:pt>
                <c:pt idx="74">
                  <c:v>45420</c:v>
                </c:pt>
                <c:pt idx="75">
                  <c:v>45413</c:v>
                </c:pt>
                <c:pt idx="76">
                  <c:v>45406</c:v>
                </c:pt>
                <c:pt idx="77">
                  <c:v>45399</c:v>
                </c:pt>
                <c:pt idx="78">
                  <c:v>45392</c:v>
                </c:pt>
                <c:pt idx="79">
                  <c:v>45385</c:v>
                </c:pt>
                <c:pt idx="80">
                  <c:v>45378</c:v>
                </c:pt>
                <c:pt idx="81">
                  <c:v>45371</c:v>
                </c:pt>
                <c:pt idx="82">
                  <c:v>45364</c:v>
                </c:pt>
                <c:pt idx="83">
                  <c:v>45357</c:v>
                </c:pt>
                <c:pt idx="84">
                  <c:v>45350</c:v>
                </c:pt>
                <c:pt idx="85">
                  <c:v>45343</c:v>
                </c:pt>
                <c:pt idx="86">
                  <c:v>45336</c:v>
                </c:pt>
                <c:pt idx="87">
                  <c:v>45329</c:v>
                </c:pt>
                <c:pt idx="88">
                  <c:v>45322</c:v>
                </c:pt>
                <c:pt idx="89">
                  <c:v>45315</c:v>
                </c:pt>
                <c:pt idx="90">
                  <c:v>45308</c:v>
                </c:pt>
                <c:pt idx="91">
                  <c:v>45301</c:v>
                </c:pt>
                <c:pt idx="92">
                  <c:v>45294</c:v>
                </c:pt>
                <c:pt idx="93">
                  <c:v>45287</c:v>
                </c:pt>
                <c:pt idx="94">
                  <c:v>45280</c:v>
                </c:pt>
                <c:pt idx="95">
                  <c:v>45273</c:v>
                </c:pt>
                <c:pt idx="96">
                  <c:v>45266</c:v>
                </c:pt>
                <c:pt idx="97">
                  <c:v>45259</c:v>
                </c:pt>
                <c:pt idx="98">
                  <c:v>45252</c:v>
                </c:pt>
                <c:pt idx="99">
                  <c:v>45245</c:v>
                </c:pt>
                <c:pt idx="100">
                  <c:v>45238</c:v>
                </c:pt>
                <c:pt idx="101">
                  <c:v>45231</c:v>
                </c:pt>
                <c:pt idx="102">
                  <c:v>45224</c:v>
                </c:pt>
                <c:pt idx="103">
                  <c:v>45217</c:v>
                </c:pt>
                <c:pt idx="104">
                  <c:v>45210</c:v>
                </c:pt>
                <c:pt idx="105">
                  <c:v>45203</c:v>
                </c:pt>
                <c:pt idx="106">
                  <c:v>45196</c:v>
                </c:pt>
                <c:pt idx="107">
                  <c:v>45189</c:v>
                </c:pt>
                <c:pt idx="108">
                  <c:v>45182</c:v>
                </c:pt>
                <c:pt idx="109">
                  <c:v>45175</c:v>
                </c:pt>
                <c:pt idx="110">
                  <c:v>45168</c:v>
                </c:pt>
                <c:pt idx="111">
                  <c:v>45161</c:v>
                </c:pt>
                <c:pt idx="112">
                  <c:v>45154</c:v>
                </c:pt>
                <c:pt idx="113">
                  <c:v>45147</c:v>
                </c:pt>
                <c:pt idx="114">
                  <c:v>45140</c:v>
                </c:pt>
                <c:pt idx="115">
                  <c:v>45133</c:v>
                </c:pt>
                <c:pt idx="116">
                  <c:v>45126</c:v>
                </c:pt>
                <c:pt idx="117">
                  <c:v>45119</c:v>
                </c:pt>
                <c:pt idx="118">
                  <c:v>45112</c:v>
                </c:pt>
                <c:pt idx="119">
                  <c:v>45105</c:v>
                </c:pt>
                <c:pt idx="120">
                  <c:v>45098</c:v>
                </c:pt>
                <c:pt idx="121">
                  <c:v>45091</c:v>
                </c:pt>
                <c:pt idx="122">
                  <c:v>45084</c:v>
                </c:pt>
                <c:pt idx="123">
                  <c:v>45077</c:v>
                </c:pt>
                <c:pt idx="124">
                  <c:v>45070</c:v>
                </c:pt>
                <c:pt idx="125">
                  <c:v>45063</c:v>
                </c:pt>
                <c:pt idx="126">
                  <c:v>45056</c:v>
                </c:pt>
                <c:pt idx="127">
                  <c:v>45049</c:v>
                </c:pt>
                <c:pt idx="128">
                  <c:v>45042</c:v>
                </c:pt>
                <c:pt idx="129">
                  <c:v>45035</c:v>
                </c:pt>
                <c:pt idx="130">
                  <c:v>45028</c:v>
                </c:pt>
                <c:pt idx="131">
                  <c:v>45021</c:v>
                </c:pt>
                <c:pt idx="132">
                  <c:v>45014</c:v>
                </c:pt>
                <c:pt idx="133">
                  <c:v>45007</c:v>
                </c:pt>
                <c:pt idx="134">
                  <c:v>45000</c:v>
                </c:pt>
                <c:pt idx="135">
                  <c:v>44993</c:v>
                </c:pt>
                <c:pt idx="136">
                  <c:v>44986</c:v>
                </c:pt>
                <c:pt idx="137">
                  <c:v>44979</c:v>
                </c:pt>
                <c:pt idx="138">
                  <c:v>44972</c:v>
                </c:pt>
                <c:pt idx="139">
                  <c:v>44965</c:v>
                </c:pt>
                <c:pt idx="140">
                  <c:v>44958</c:v>
                </c:pt>
                <c:pt idx="141">
                  <c:v>44951</c:v>
                </c:pt>
                <c:pt idx="142">
                  <c:v>44944</c:v>
                </c:pt>
                <c:pt idx="143">
                  <c:v>44937</c:v>
                </c:pt>
                <c:pt idx="144">
                  <c:v>44930</c:v>
                </c:pt>
                <c:pt idx="145">
                  <c:v>44923</c:v>
                </c:pt>
                <c:pt idx="146">
                  <c:v>44916</c:v>
                </c:pt>
                <c:pt idx="147">
                  <c:v>44909</c:v>
                </c:pt>
                <c:pt idx="148">
                  <c:v>44902</c:v>
                </c:pt>
                <c:pt idx="149">
                  <c:v>44895</c:v>
                </c:pt>
                <c:pt idx="150">
                  <c:v>44888</c:v>
                </c:pt>
                <c:pt idx="151">
                  <c:v>44881</c:v>
                </c:pt>
                <c:pt idx="152">
                  <c:v>44874</c:v>
                </c:pt>
                <c:pt idx="153">
                  <c:v>44867</c:v>
                </c:pt>
                <c:pt idx="154">
                  <c:v>44860</c:v>
                </c:pt>
              </c:numCache>
            </c:numRef>
          </c:cat>
          <c:val>
            <c:numRef>
              <c:f>'Stock Data'!$F$5:$F$159</c:f>
              <c:numCache>
                <c:formatCode>0.0</c:formatCode>
                <c:ptCount val="155"/>
                <c:pt idx="0">
                  <c:v>16.7059</c:v>
                </c:pt>
                <c:pt idx="1">
                  <c:v>16.456600000000002</c:v>
                </c:pt>
                <c:pt idx="2">
                  <c:v>16.6706</c:v>
                </c:pt>
                <c:pt idx="3">
                  <c:v>16.756499999999999</c:v>
                </c:pt>
                <c:pt idx="4">
                  <c:v>17.2881</c:v>
                </c:pt>
                <c:pt idx="5">
                  <c:v>17.499700000000001</c:v>
                </c:pt>
                <c:pt idx="6">
                  <c:v>18.171199999999999</c:v>
                </c:pt>
                <c:pt idx="7">
                  <c:v>17.7502</c:v>
                </c:pt>
                <c:pt idx="8">
                  <c:v>18.128900000000002</c:v>
                </c:pt>
                <c:pt idx="9">
                  <c:v>17.8109</c:v>
                </c:pt>
                <c:pt idx="10">
                  <c:v>17.400500000000001</c:v>
                </c:pt>
                <c:pt idx="11">
                  <c:v>19.71</c:v>
                </c:pt>
                <c:pt idx="12">
                  <c:v>19.099799999999998</c:v>
                </c:pt>
                <c:pt idx="13">
                  <c:v>19.948799999999999</c:v>
                </c:pt>
                <c:pt idx="14">
                  <c:v>20.166399999999999</c:v>
                </c:pt>
                <c:pt idx="15">
                  <c:v>18.348199999999999</c:v>
                </c:pt>
                <c:pt idx="16">
                  <c:v>17.853300000000001</c:v>
                </c:pt>
                <c:pt idx="17">
                  <c:v>18.549800000000001</c:v>
                </c:pt>
                <c:pt idx="18">
                  <c:v>18.4788</c:v>
                </c:pt>
                <c:pt idx="19">
                  <c:v>18.586400000000001</c:v>
                </c:pt>
                <c:pt idx="20">
                  <c:v>18.7881</c:v>
                </c:pt>
                <c:pt idx="21">
                  <c:v>19.642600000000002</c:v>
                </c:pt>
                <c:pt idx="22">
                  <c:v>17.802900000000001</c:v>
                </c:pt>
                <c:pt idx="23">
                  <c:v>17.6066</c:v>
                </c:pt>
                <c:pt idx="24">
                  <c:v>17.6008</c:v>
                </c:pt>
                <c:pt idx="25">
                  <c:v>17.013999999999999</c:v>
                </c:pt>
                <c:pt idx="26">
                  <c:v>19.046399999999998</c:v>
                </c:pt>
                <c:pt idx="27">
                  <c:v>19.577500000000001</c:v>
                </c:pt>
                <c:pt idx="28">
                  <c:v>19.014099999999999</c:v>
                </c:pt>
                <c:pt idx="29">
                  <c:v>18.312999999999999</c:v>
                </c:pt>
                <c:pt idx="30">
                  <c:v>18.549299999999999</c:v>
                </c:pt>
                <c:pt idx="31">
                  <c:v>19.897600000000001</c:v>
                </c:pt>
                <c:pt idx="32">
                  <c:v>19.804200000000002</c:v>
                </c:pt>
                <c:pt idx="33">
                  <c:v>23.218599999999999</c:v>
                </c:pt>
                <c:pt idx="34">
                  <c:v>22.982299999999999</c:v>
                </c:pt>
                <c:pt idx="35">
                  <c:v>21.923100000000002</c:v>
                </c:pt>
                <c:pt idx="36">
                  <c:v>21.040199999999999</c:v>
                </c:pt>
                <c:pt idx="37">
                  <c:v>21.373699999999999</c:v>
                </c:pt>
                <c:pt idx="38">
                  <c:v>21.1555</c:v>
                </c:pt>
                <c:pt idx="39">
                  <c:v>20.3325</c:v>
                </c:pt>
                <c:pt idx="40">
                  <c:v>19.897300000000001</c:v>
                </c:pt>
                <c:pt idx="41">
                  <c:v>19.642199999999999</c:v>
                </c:pt>
                <c:pt idx="42">
                  <c:v>20.760899999999999</c:v>
                </c:pt>
                <c:pt idx="43">
                  <c:v>22.173100000000002</c:v>
                </c:pt>
                <c:pt idx="44">
                  <c:v>22.846699999999998</c:v>
                </c:pt>
                <c:pt idx="45">
                  <c:v>24.263200000000001</c:v>
                </c:pt>
                <c:pt idx="46">
                  <c:v>23.2041</c:v>
                </c:pt>
                <c:pt idx="47">
                  <c:v>24.424600000000002</c:v>
                </c:pt>
                <c:pt idx="48">
                  <c:v>24.9206</c:v>
                </c:pt>
                <c:pt idx="49">
                  <c:v>22.148499999999999</c:v>
                </c:pt>
                <c:pt idx="50">
                  <c:v>20.5017</c:v>
                </c:pt>
                <c:pt idx="51">
                  <c:v>22.1126</c:v>
                </c:pt>
                <c:pt idx="52">
                  <c:v>21.128900000000002</c:v>
                </c:pt>
                <c:pt idx="53">
                  <c:v>21.026700000000002</c:v>
                </c:pt>
                <c:pt idx="54">
                  <c:v>21.2226</c:v>
                </c:pt>
                <c:pt idx="55">
                  <c:v>20.934000000000001</c:v>
                </c:pt>
                <c:pt idx="56">
                  <c:v>20.092500000000001</c:v>
                </c:pt>
                <c:pt idx="57">
                  <c:v>20.8157</c:v>
                </c:pt>
                <c:pt idx="58">
                  <c:v>20.662400000000002</c:v>
                </c:pt>
                <c:pt idx="59">
                  <c:v>21.588999999999999</c:v>
                </c:pt>
                <c:pt idx="60">
                  <c:v>20.534500000000001</c:v>
                </c:pt>
                <c:pt idx="61">
                  <c:v>20.5505</c:v>
                </c:pt>
                <c:pt idx="62">
                  <c:v>22.676600000000001</c:v>
                </c:pt>
                <c:pt idx="63">
                  <c:v>20.996200000000002</c:v>
                </c:pt>
                <c:pt idx="64">
                  <c:v>21.4346</c:v>
                </c:pt>
                <c:pt idx="65">
                  <c:v>19.6462</c:v>
                </c:pt>
                <c:pt idx="66">
                  <c:v>19.619199999999999</c:v>
                </c:pt>
                <c:pt idx="67">
                  <c:v>19.093699999999998</c:v>
                </c:pt>
                <c:pt idx="68">
                  <c:v>18.940999999999999</c:v>
                </c:pt>
                <c:pt idx="69">
                  <c:v>18.956399999999999</c:v>
                </c:pt>
                <c:pt idx="70">
                  <c:v>19.0564</c:v>
                </c:pt>
                <c:pt idx="71">
                  <c:v>18.572800000000001</c:v>
                </c:pt>
                <c:pt idx="72">
                  <c:v>18.703600000000002</c:v>
                </c:pt>
                <c:pt idx="73">
                  <c:v>19.959800000000001</c:v>
                </c:pt>
                <c:pt idx="74">
                  <c:v>19.715800000000002</c:v>
                </c:pt>
                <c:pt idx="75">
                  <c:v>19.8385</c:v>
                </c:pt>
                <c:pt idx="76">
                  <c:v>21.2225</c:v>
                </c:pt>
                <c:pt idx="77">
                  <c:v>22.956499999999998</c:v>
                </c:pt>
                <c:pt idx="78">
                  <c:v>23.4222</c:v>
                </c:pt>
                <c:pt idx="79">
                  <c:v>23.950700000000001</c:v>
                </c:pt>
                <c:pt idx="80">
                  <c:v>23.582999999999998</c:v>
                </c:pt>
                <c:pt idx="81">
                  <c:v>23.932500000000001</c:v>
                </c:pt>
                <c:pt idx="82">
                  <c:v>23.908100000000001</c:v>
                </c:pt>
                <c:pt idx="83">
                  <c:v>23.998899999999999</c:v>
                </c:pt>
                <c:pt idx="84">
                  <c:v>23.857099999999999</c:v>
                </c:pt>
                <c:pt idx="85">
                  <c:v>23.447199999999999</c:v>
                </c:pt>
                <c:pt idx="86">
                  <c:v>23.819800000000001</c:v>
                </c:pt>
                <c:pt idx="87">
                  <c:v>23.8931</c:v>
                </c:pt>
                <c:pt idx="88">
                  <c:v>21.592700000000001</c:v>
                </c:pt>
                <c:pt idx="89">
                  <c:v>21.629300000000001</c:v>
                </c:pt>
                <c:pt idx="90">
                  <c:v>20.861899999999999</c:v>
                </c:pt>
                <c:pt idx="91">
                  <c:v>21.592700000000001</c:v>
                </c:pt>
                <c:pt idx="92">
                  <c:v>21.2651</c:v>
                </c:pt>
                <c:pt idx="93">
                  <c:v>22.940200000000001</c:v>
                </c:pt>
                <c:pt idx="94">
                  <c:v>22.296600000000002</c:v>
                </c:pt>
                <c:pt idx="95">
                  <c:v>21.2971</c:v>
                </c:pt>
                <c:pt idx="96">
                  <c:v>20.675899999999999</c:v>
                </c:pt>
                <c:pt idx="97">
                  <c:v>21.288799999999998</c:v>
                </c:pt>
                <c:pt idx="98">
                  <c:v>22.392299999999999</c:v>
                </c:pt>
                <c:pt idx="99">
                  <c:v>22.336099999999998</c:v>
                </c:pt>
                <c:pt idx="100">
                  <c:v>21.635899999999999</c:v>
                </c:pt>
                <c:pt idx="101">
                  <c:v>21.694400000000002</c:v>
                </c:pt>
                <c:pt idx="102">
                  <c:v>20.6005</c:v>
                </c:pt>
                <c:pt idx="103">
                  <c:v>22.3188</c:v>
                </c:pt>
                <c:pt idx="104">
                  <c:v>23.65</c:v>
                </c:pt>
                <c:pt idx="105">
                  <c:v>22.391200000000001</c:v>
                </c:pt>
                <c:pt idx="106">
                  <c:v>21.8918</c:v>
                </c:pt>
                <c:pt idx="107">
                  <c:v>22.328900000000001</c:v>
                </c:pt>
                <c:pt idx="108">
                  <c:v>22.759</c:v>
                </c:pt>
                <c:pt idx="109">
                  <c:v>23.203299999999999</c:v>
                </c:pt>
                <c:pt idx="110">
                  <c:v>23.5562</c:v>
                </c:pt>
                <c:pt idx="111">
                  <c:v>22.5899</c:v>
                </c:pt>
                <c:pt idx="112">
                  <c:v>22.286300000000001</c:v>
                </c:pt>
                <c:pt idx="113">
                  <c:v>21.976600000000001</c:v>
                </c:pt>
                <c:pt idx="114">
                  <c:v>22.445699999999999</c:v>
                </c:pt>
                <c:pt idx="115">
                  <c:v>23.113900000000001</c:v>
                </c:pt>
                <c:pt idx="116">
                  <c:v>21.711099999999998</c:v>
                </c:pt>
                <c:pt idx="117">
                  <c:v>20.643699999999999</c:v>
                </c:pt>
                <c:pt idx="118">
                  <c:v>20.2028</c:v>
                </c:pt>
                <c:pt idx="119">
                  <c:v>19.246500000000001</c:v>
                </c:pt>
                <c:pt idx="120">
                  <c:v>16.970800000000001</c:v>
                </c:pt>
                <c:pt idx="121">
                  <c:v>16.6616</c:v>
                </c:pt>
                <c:pt idx="122">
                  <c:v>16.4207</c:v>
                </c:pt>
                <c:pt idx="123">
                  <c:v>16.125499999999999</c:v>
                </c:pt>
                <c:pt idx="124">
                  <c:v>15.606199999999999</c:v>
                </c:pt>
                <c:pt idx="125">
                  <c:v>15.777200000000001</c:v>
                </c:pt>
                <c:pt idx="126">
                  <c:v>16.332599999999999</c:v>
                </c:pt>
                <c:pt idx="127">
                  <c:v>16.716200000000001</c:v>
                </c:pt>
                <c:pt idx="128">
                  <c:v>15.923400000000001</c:v>
                </c:pt>
                <c:pt idx="129">
                  <c:v>18.042100000000001</c:v>
                </c:pt>
                <c:pt idx="130">
                  <c:v>17.730799999999999</c:v>
                </c:pt>
                <c:pt idx="131">
                  <c:v>16.941199999999998</c:v>
                </c:pt>
                <c:pt idx="132">
                  <c:v>17.2074</c:v>
                </c:pt>
                <c:pt idx="133">
                  <c:v>17.1783</c:v>
                </c:pt>
                <c:pt idx="134">
                  <c:v>17.264099999999999</c:v>
                </c:pt>
                <c:pt idx="135">
                  <c:v>18.1982</c:v>
                </c:pt>
                <c:pt idx="136">
                  <c:v>17.583300000000001</c:v>
                </c:pt>
                <c:pt idx="137">
                  <c:v>17.760000000000002</c:v>
                </c:pt>
                <c:pt idx="138">
                  <c:v>18.626899999999999</c:v>
                </c:pt>
                <c:pt idx="139">
                  <c:v>19.080500000000001</c:v>
                </c:pt>
                <c:pt idx="140">
                  <c:v>19.170300000000001</c:v>
                </c:pt>
                <c:pt idx="141">
                  <c:v>16.713999999999999</c:v>
                </c:pt>
                <c:pt idx="142">
                  <c:v>16.458200000000001</c:v>
                </c:pt>
                <c:pt idx="143">
                  <c:v>16.323499999999999</c:v>
                </c:pt>
                <c:pt idx="144">
                  <c:v>15.0557</c:v>
                </c:pt>
                <c:pt idx="145">
                  <c:v>15.049899999999999</c:v>
                </c:pt>
                <c:pt idx="146">
                  <c:v>15.322100000000001</c:v>
                </c:pt>
                <c:pt idx="147">
                  <c:v>16.510400000000001</c:v>
                </c:pt>
                <c:pt idx="148">
                  <c:v>15.2866</c:v>
                </c:pt>
                <c:pt idx="149">
                  <c:v>16.145199999999999</c:v>
                </c:pt>
                <c:pt idx="150">
                  <c:v>15.845000000000001</c:v>
                </c:pt>
                <c:pt idx="151">
                  <c:v>16.390499999999999</c:v>
                </c:pt>
                <c:pt idx="152">
                  <c:v>15.0289</c:v>
                </c:pt>
                <c:pt idx="153">
                  <c:v>14.037699999999999</c:v>
                </c:pt>
                <c:pt idx="154">
                  <c:v>14.8057</c:v>
                </c:pt>
              </c:numCache>
            </c:numRef>
          </c:val>
          <c:smooth val="0"/>
          <c:extLst>
            <c:ext xmlns:c16="http://schemas.microsoft.com/office/drawing/2014/chart" uri="{C3380CC4-5D6E-409C-BE32-E72D297353CC}">
              <c16:uniqueId val="{00000003-C6A3-42EA-AD84-0EA2783F3814}"/>
            </c:ext>
          </c:extLst>
        </c:ser>
        <c:ser>
          <c:idx val="4"/>
          <c:order val="4"/>
          <c:tx>
            <c:strRef>
              <c:f>Inputs!$B$24</c:f>
              <c:strCache>
                <c:ptCount val="1"/>
                <c:pt idx="0">
                  <c:v>XPO INC</c:v>
                </c:pt>
              </c:strCache>
            </c:strRef>
          </c:tx>
          <c:spPr>
            <a:ln w="28575" cap="rnd">
              <a:solidFill>
                <a:schemeClr val="accent3">
                  <a:lumMod val="60000"/>
                </a:schemeClr>
              </a:solidFill>
              <a:round/>
            </a:ln>
            <a:effectLst/>
          </c:spPr>
          <c:marker>
            <c:symbol val="none"/>
          </c:marker>
          <c:cat>
            <c:numRef>
              <c:f>'Stock Data'!$B$5:$B$159</c:f>
              <c:numCache>
                <c:formatCode>m/d/yyyy</c:formatCode>
                <c:ptCount val="155"/>
                <c:pt idx="0">
                  <c:v>45938</c:v>
                </c:pt>
                <c:pt idx="1">
                  <c:v>45931</c:v>
                </c:pt>
                <c:pt idx="2">
                  <c:v>45924</c:v>
                </c:pt>
                <c:pt idx="3">
                  <c:v>45917</c:v>
                </c:pt>
                <c:pt idx="4">
                  <c:v>45910</c:v>
                </c:pt>
                <c:pt idx="5">
                  <c:v>45903</c:v>
                </c:pt>
                <c:pt idx="6">
                  <c:v>45896</c:v>
                </c:pt>
                <c:pt idx="7">
                  <c:v>45889</c:v>
                </c:pt>
                <c:pt idx="8">
                  <c:v>45882</c:v>
                </c:pt>
                <c:pt idx="9">
                  <c:v>45875</c:v>
                </c:pt>
                <c:pt idx="10">
                  <c:v>45868</c:v>
                </c:pt>
                <c:pt idx="11">
                  <c:v>45861</c:v>
                </c:pt>
                <c:pt idx="12">
                  <c:v>45854</c:v>
                </c:pt>
                <c:pt idx="13">
                  <c:v>45847</c:v>
                </c:pt>
                <c:pt idx="14">
                  <c:v>45840</c:v>
                </c:pt>
                <c:pt idx="15">
                  <c:v>45833</c:v>
                </c:pt>
                <c:pt idx="16">
                  <c:v>45826</c:v>
                </c:pt>
                <c:pt idx="17">
                  <c:v>45819</c:v>
                </c:pt>
                <c:pt idx="18">
                  <c:v>45812</c:v>
                </c:pt>
                <c:pt idx="19">
                  <c:v>45805</c:v>
                </c:pt>
                <c:pt idx="20">
                  <c:v>45798</c:v>
                </c:pt>
                <c:pt idx="21">
                  <c:v>45791</c:v>
                </c:pt>
                <c:pt idx="22">
                  <c:v>45784</c:v>
                </c:pt>
                <c:pt idx="23">
                  <c:v>45777</c:v>
                </c:pt>
                <c:pt idx="24">
                  <c:v>45770</c:v>
                </c:pt>
                <c:pt idx="25">
                  <c:v>45763</c:v>
                </c:pt>
                <c:pt idx="26">
                  <c:v>45756</c:v>
                </c:pt>
                <c:pt idx="27">
                  <c:v>45749</c:v>
                </c:pt>
                <c:pt idx="28">
                  <c:v>45742</c:v>
                </c:pt>
                <c:pt idx="29">
                  <c:v>45735</c:v>
                </c:pt>
                <c:pt idx="30">
                  <c:v>45728</c:v>
                </c:pt>
                <c:pt idx="31">
                  <c:v>45721</c:v>
                </c:pt>
                <c:pt idx="32">
                  <c:v>45714</c:v>
                </c:pt>
                <c:pt idx="33">
                  <c:v>45707</c:v>
                </c:pt>
                <c:pt idx="34">
                  <c:v>45700</c:v>
                </c:pt>
                <c:pt idx="35">
                  <c:v>45693</c:v>
                </c:pt>
                <c:pt idx="36">
                  <c:v>45686</c:v>
                </c:pt>
                <c:pt idx="37">
                  <c:v>45679</c:v>
                </c:pt>
                <c:pt idx="38">
                  <c:v>45672</c:v>
                </c:pt>
                <c:pt idx="39">
                  <c:v>45665</c:v>
                </c:pt>
                <c:pt idx="40">
                  <c:v>45658</c:v>
                </c:pt>
                <c:pt idx="41">
                  <c:v>45651</c:v>
                </c:pt>
                <c:pt idx="42">
                  <c:v>45644</c:v>
                </c:pt>
                <c:pt idx="43">
                  <c:v>45637</c:v>
                </c:pt>
                <c:pt idx="44">
                  <c:v>45630</c:v>
                </c:pt>
                <c:pt idx="45">
                  <c:v>45623</c:v>
                </c:pt>
                <c:pt idx="46">
                  <c:v>45616</c:v>
                </c:pt>
                <c:pt idx="47">
                  <c:v>45609</c:v>
                </c:pt>
                <c:pt idx="48">
                  <c:v>45602</c:v>
                </c:pt>
                <c:pt idx="49">
                  <c:v>45595</c:v>
                </c:pt>
                <c:pt idx="50">
                  <c:v>45588</c:v>
                </c:pt>
                <c:pt idx="51">
                  <c:v>45581</c:v>
                </c:pt>
                <c:pt idx="52">
                  <c:v>45574</c:v>
                </c:pt>
                <c:pt idx="53">
                  <c:v>45567</c:v>
                </c:pt>
                <c:pt idx="54">
                  <c:v>45560</c:v>
                </c:pt>
                <c:pt idx="55">
                  <c:v>45553</c:v>
                </c:pt>
                <c:pt idx="56">
                  <c:v>45546</c:v>
                </c:pt>
                <c:pt idx="57">
                  <c:v>45539</c:v>
                </c:pt>
                <c:pt idx="58">
                  <c:v>45532</c:v>
                </c:pt>
                <c:pt idx="59">
                  <c:v>45525</c:v>
                </c:pt>
                <c:pt idx="60">
                  <c:v>45518</c:v>
                </c:pt>
                <c:pt idx="61">
                  <c:v>45511</c:v>
                </c:pt>
                <c:pt idx="62">
                  <c:v>45504</c:v>
                </c:pt>
                <c:pt idx="63">
                  <c:v>45497</c:v>
                </c:pt>
                <c:pt idx="64">
                  <c:v>45490</c:v>
                </c:pt>
                <c:pt idx="65">
                  <c:v>45483</c:v>
                </c:pt>
                <c:pt idx="66">
                  <c:v>45476</c:v>
                </c:pt>
                <c:pt idx="67">
                  <c:v>45469</c:v>
                </c:pt>
                <c:pt idx="68">
                  <c:v>45462</c:v>
                </c:pt>
                <c:pt idx="69">
                  <c:v>45455</c:v>
                </c:pt>
                <c:pt idx="70">
                  <c:v>45448</c:v>
                </c:pt>
                <c:pt idx="71">
                  <c:v>45441</c:v>
                </c:pt>
                <c:pt idx="72">
                  <c:v>45434</c:v>
                </c:pt>
                <c:pt idx="73">
                  <c:v>45427</c:v>
                </c:pt>
                <c:pt idx="74">
                  <c:v>45420</c:v>
                </c:pt>
                <c:pt idx="75">
                  <c:v>45413</c:v>
                </c:pt>
                <c:pt idx="76">
                  <c:v>45406</c:v>
                </c:pt>
                <c:pt idx="77">
                  <c:v>45399</c:v>
                </c:pt>
                <c:pt idx="78">
                  <c:v>45392</c:v>
                </c:pt>
                <c:pt idx="79">
                  <c:v>45385</c:v>
                </c:pt>
                <c:pt idx="80">
                  <c:v>45378</c:v>
                </c:pt>
                <c:pt idx="81">
                  <c:v>45371</c:v>
                </c:pt>
                <c:pt idx="82">
                  <c:v>45364</c:v>
                </c:pt>
                <c:pt idx="83">
                  <c:v>45357</c:v>
                </c:pt>
                <c:pt idx="84">
                  <c:v>45350</c:v>
                </c:pt>
                <c:pt idx="85">
                  <c:v>45343</c:v>
                </c:pt>
                <c:pt idx="86">
                  <c:v>45336</c:v>
                </c:pt>
                <c:pt idx="87">
                  <c:v>45329</c:v>
                </c:pt>
                <c:pt idx="88">
                  <c:v>45322</c:v>
                </c:pt>
                <c:pt idx="89">
                  <c:v>45315</c:v>
                </c:pt>
                <c:pt idx="90">
                  <c:v>45308</c:v>
                </c:pt>
                <c:pt idx="91">
                  <c:v>45301</c:v>
                </c:pt>
                <c:pt idx="92">
                  <c:v>45294</c:v>
                </c:pt>
                <c:pt idx="93">
                  <c:v>45287</c:v>
                </c:pt>
                <c:pt idx="94">
                  <c:v>45280</c:v>
                </c:pt>
                <c:pt idx="95">
                  <c:v>45273</c:v>
                </c:pt>
                <c:pt idx="96">
                  <c:v>45266</c:v>
                </c:pt>
                <c:pt idx="97">
                  <c:v>45259</c:v>
                </c:pt>
                <c:pt idx="98">
                  <c:v>45252</c:v>
                </c:pt>
                <c:pt idx="99">
                  <c:v>45245</c:v>
                </c:pt>
                <c:pt idx="100">
                  <c:v>45238</c:v>
                </c:pt>
                <c:pt idx="101">
                  <c:v>45231</c:v>
                </c:pt>
                <c:pt idx="102">
                  <c:v>45224</c:v>
                </c:pt>
                <c:pt idx="103">
                  <c:v>45217</c:v>
                </c:pt>
                <c:pt idx="104">
                  <c:v>45210</c:v>
                </c:pt>
                <c:pt idx="105">
                  <c:v>45203</c:v>
                </c:pt>
                <c:pt idx="106">
                  <c:v>45196</c:v>
                </c:pt>
                <c:pt idx="107">
                  <c:v>45189</c:v>
                </c:pt>
                <c:pt idx="108">
                  <c:v>45182</c:v>
                </c:pt>
                <c:pt idx="109">
                  <c:v>45175</c:v>
                </c:pt>
                <c:pt idx="110">
                  <c:v>45168</c:v>
                </c:pt>
                <c:pt idx="111">
                  <c:v>45161</c:v>
                </c:pt>
                <c:pt idx="112">
                  <c:v>45154</c:v>
                </c:pt>
                <c:pt idx="113">
                  <c:v>45147</c:v>
                </c:pt>
                <c:pt idx="114">
                  <c:v>45140</c:v>
                </c:pt>
                <c:pt idx="115">
                  <c:v>45133</c:v>
                </c:pt>
                <c:pt idx="116">
                  <c:v>45126</c:v>
                </c:pt>
                <c:pt idx="117">
                  <c:v>45119</c:v>
                </c:pt>
                <c:pt idx="118">
                  <c:v>45112</c:v>
                </c:pt>
                <c:pt idx="119">
                  <c:v>45105</c:v>
                </c:pt>
                <c:pt idx="120">
                  <c:v>45098</c:v>
                </c:pt>
                <c:pt idx="121">
                  <c:v>45091</c:v>
                </c:pt>
                <c:pt idx="122">
                  <c:v>45084</c:v>
                </c:pt>
                <c:pt idx="123">
                  <c:v>45077</c:v>
                </c:pt>
                <c:pt idx="124">
                  <c:v>45070</c:v>
                </c:pt>
                <c:pt idx="125">
                  <c:v>45063</c:v>
                </c:pt>
                <c:pt idx="126">
                  <c:v>45056</c:v>
                </c:pt>
                <c:pt idx="127">
                  <c:v>45049</c:v>
                </c:pt>
                <c:pt idx="128">
                  <c:v>45042</c:v>
                </c:pt>
                <c:pt idx="129">
                  <c:v>45035</c:v>
                </c:pt>
                <c:pt idx="130">
                  <c:v>45028</c:v>
                </c:pt>
                <c:pt idx="131">
                  <c:v>45021</c:v>
                </c:pt>
                <c:pt idx="132">
                  <c:v>45014</c:v>
                </c:pt>
                <c:pt idx="133">
                  <c:v>45007</c:v>
                </c:pt>
                <c:pt idx="134">
                  <c:v>45000</c:v>
                </c:pt>
                <c:pt idx="135">
                  <c:v>44993</c:v>
                </c:pt>
                <c:pt idx="136">
                  <c:v>44986</c:v>
                </c:pt>
                <c:pt idx="137">
                  <c:v>44979</c:v>
                </c:pt>
                <c:pt idx="138">
                  <c:v>44972</c:v>
                </c:pt>
                <c:pt idx="139">
                  <c:v>44965</c:v>
                </c:pt>
                <c:pt idx="140">
                  <c:v>44958</c:v>
                </c:pt>
                <c:pt idx="141">
                  <c:v>44951</c:v>
                </c:pt>
                <c:pt idx="142">
                  <c:v>44944</c:v>
                </c:pt>
                <c:pt idx="143">
                  <c:v>44937</c:v>
                </c:pt>
                <c:pt idx="144">
                  <c:v>44930</c:v>
                </c:pt>
                <c:pt idx="145">
                  <c:v>44923</c:v>
                </c:pt>
                <c:pt idx="146">
                  <c:v>44916</c:v>
                </c:pt>
                <c:pt idx="147">
                  <c:v>44909</c:v>
                </c:pt>
                <c:pt idx="148">
                  <c:v>44902</c:v>
                </c:pt>
                <c:pt idx="149">
                  <c:v>44895</c:v>
                </c:pt>
                <c:pt idx="150">
                  <c:v>44888</c:v>
                </c:pt>
                <c:pt idx="151">
                  <c:v>44881</c:v>
                </c:pt>
                <c:pt idx="152">
                  <c:v>44874</c:v>
                </c:pt>
                <c:pt idx="153">
                  <c:v>44867</c:v>
                </c:pt>
                <c:pt idx="154">
                  <c:v>44860</c:v>
                </c:pt>
              </c:numCache>
            </c:numRef>
          </c:cat>
          <c:val>
            <c:numRef>
              <c:f>'Stock Data'!$G$5:$G$159</c:f>
              <c:numCache>
                <c:formatCode>0.0</c:formatCode>
                <c:ptCount val="155"/>
                <c:pt idx="0">
                  <c:v>16.583100000000002</c:v>
                </c:pt>
                <c:pt idx="1">
                  <c:v>16.035299999999999</c:v>
                </c:pt>
                <c:pt idx="2">
                  <c:v>16.353200000000001</c:v>
                </c:pt>
                <c:pt idx="3">
                  <c:v>16.315200000000001</c:v>
                </c:pt>
                <c:pt idx="4">
                  <c:v>16.371200000000002</c:v>
                </c:pt>
                <c:pt idx="5">
                  <c:v>15.927300000000001</c:v>
                </c:pt>
                <c:pt idx="6">
                  <c:v>16.553100000000001</c:v>
                </c:pt>
                <c:pt idx="7">
                  <c:v>16.0093</c:v>
                </c:pt>
                <c:pt idx="8">
                  <c:v>16.373200000000001</c:v>
                </c:pt>
                <c:pt idx="9">
                  <c:v>15.647399999999999</c:v>
                </c:pt>
                <c:pt idx="10">
                  <c:v>16.5761</c:v>
                </c:pt>
                <c:pt idx="11">
                  <c:v>16.847100000000001</c:v>
                </c:pt>
                <c:pt idx="12">
                  <c:v>16.197099999999999</c:v>
                </c:pt>
                <c:pt idx="13">
                  <c:v>16.560099999999998</c:v>
                </c:pt>
                <c:pt idx="14">
                  <c:v>16.597100000000001</c:v>
                </c:pt>
                <c:pt idx="15">
                  <c:v>15.848100000000001</c:v>
                </c:pt>
                <c:pt idx="16">
                  <c:v>15.504099999999999</c:v>
                </c:pt>
                <c:pt idx="17">
                  <c:v>15.501099999999999</c:v>
                </c:pt>
                <c:pt idx="18">
                  <c:v>14.930199999999999</c:v>
                </c:pt>
                <c:pt idx="19">
                  <c:v>15.2721</c:v>
                </c:pt>
                <c:pt idx="20">
                  <c:v>15.505100000000001</c:v>
                </c:pt>
                <c:pt idx="21">
                  <c:v>16.220199999999998</c:v>
                </c:pt>
                <c:pt idx="22">
                  <c:v>14.3805</c:v>
                </c:pt>
                <c:pt idx="23">
                  <c:v>14.039899999999999</c:v>
                </c:pt>
                <c:pt idx="24">
                  <c:v>13.418699999999999</c:v>
                </c:pt>
                <c:pt idx="25">
                  <c:v>12.7662</c:v>
                </c:pt>
                <c:pt idx="26">
                  <c:v>13.9834</c:v>
                </c:pt>
                <c:pt idx="27">
                  <c:v>14.5114</c:v>
                </c:pt>
                <c:pt idx="28">
                  <c:v>14.6821</c:v>
                </c:pt>
                <c:pt idx="29">
                  <c:v>14.7484</c:v>
                </c:pt>
                <c:pt idx="30">
                  <c:v>14.4953</c:v>
                </c:pt>
                <c:pt idx="31">
                  <c:v>14.8719</c:v>
                </c:pt>
                <c:pt idx="32">
                  <c:v>15.855499999999999</c:v>
                </c:pt>
                <c:pt idx="33">
                  <c:v>17.389099999999999</c:v>
                </c:pt>
                <c:pt idx="34">
                  <c:v>18.145299999999999</c:v>
                </c:pt>
                <c:pt idx="35">
                  <c:v>17.1782</c:v>
                </c:pt>
                <c:pt idx="36">
                  <c:v>17.1417</c:v>
                </c:pt>
                <c:pt idx="37">
                  <c:v>17.2197</c:v>
                </c:pt>
                <c:pt idx="38">
                  <c:v>17.186299999999999</c:v>
                </c:pt>
                <c:pt idx="39">
                  <c:v>17.266300000000001</c:v>
                </c:pt>
                <c:pt idx="40">
                  <c:v>16.792200000000001</c:v>
                </c:pt>
                <c:pt idx="41">
                  <c:v>17.3871</c:v>
                </c:pt>
                <c:pt idx="42">
                  <c:v>18.8901</c:v>
                </c:pt>
                <c:pt idx="43">
                  <c:v>20.006900000000002</c:v>
                </c:pt>
                <c:pt idx="44">
                  <c:v>19.692</c:v>
                </c:pt>
                <c:pt idx="45">
                  <c:v>19.176600000000001</c:v>
                </c:pt>
                <c:pt idx="46">
                  <c:v>18.789300000000001</c:v>
                </c:pt>
                <c:pt idx="47">
                  <c:v>19.1021</c:v>
                </c:pt>
                <c:pt idx="48">
                  <c:v>19.334099999999999</c:v>
                </c:pt>
                <c:pt idx="49">
                  <c:v>17.473099999999999</c:v>
                </c:pt>
                <c:pt idx="50">
                  <c:v>14.8986</c:v>
                </c:pt>
                <c:pt idx="51">
                  <c:v>15.670999999999999</c:v>
                </c:pt>
                <c:pt idx="52">
                  <c:v>14.8535</c:v>
                </c:pt>
                <c:pt idx="53">
                  <c:v>14.6866</c:v>
                </c:pt>
                <c:pt idx="54">
                  <c:v>16.002300000000002</c:v>
                </c:pt>
                <c:pt idx="55">
                  <c:v>15.7448</c:v>
                </c:pt>
                <c:pt idx="56">
                  <c:v>14.809100000000001</c:v>
                </c:pt>
                <c:pt idx="57">
                  <c:v>15.980600000000001</c:v>
                </c:pt>
                <c:pt idx="58">
                  <c:v>16.432700000000001</c:v>
                </c:pt>
                <c:pt idx="59">
                  <c:v>16.914100000000001</c:v>
                </c:pt>
                <c:pt idx="60">
                  <c:v>16.322900000000001</c:v>
                </c:pt>
                <c:pt idx="61">
                  <c:v>15.5405</c:v>
                </c:pt>
                <c:pt idx="62">
                  <c:v>16.107600000000001</c:v>
                </c:pt>
                <c:pt idx="63">
                  <c:v>15.5764</c:v>
                </c:pt>
                <c:pt idx="64">
                  <c:v>16.023900000000001</c:v>
                </c:pt>
                <c:pt idx="65">
                  <c:v>14.7042</c:v>
                </c:pt>
                <c:pt idx="66">
                  <c:v>15.2614</c:v>
                </c:pt>
                <c:pt idx="67">
                  <c:v>16.671299999999999</c:v>
                </c:pt>
                <c:pt idx="68">
                  <c:v>16.6738</c:v>
                </c:pt>
                <c:pt idx="69">
                  <c:v>16.848400000000002</c:v>
                </c:pt>
                <c:pt idx="70">
                  <c:v>17.0868</c:v>
                </c:pt>
                <c:pt idx="71">
                  <c:v>16.9556</c:v>
                </c:pt>
                <c:pt idx="72">
                  <c:v>16.726700000000001</c:v>
                </c:pt>
                <c:pt idx="73">
                  <c:v>17.756399999999999</c:v>
                </c:pt>
                <c:pt idx="74">
                  <c:v>17.503499999999999</c:v>
                </c:pt>
                <c:pt idx="75">
                  <c:v>16.829499999999999</c:v>
                </c:pt>
                <c:pt idx="76">
                  <c:v>18.166</c:v>
                </c:pt>
                <c:pt idx="77">
                  <c:v>18.350200000000001</c:v>
                </c:pt>
                <c:pt idx="78">
                  <c:v>19.1569</c:v>
                </c:pt>
                <c:pt idx="79">
                  <c:v>18.9161</c:v>
                </c:pt>
                <c:pt idx="80">
                  <c:v>20.392399999999999</c:v>
                </c:pt>
                <c:pt idx="81">
                  <c:v>20.851500000000001</c:v>
                </c:pt>
                <c:pt idx="82">
                  <c:v>20.636600000000001</c:v>
                </c:pt>
                <c:pt idx="83">
                  <c:v>20.978300000000001</c:v>
                </c:pt>
                <c:pt idx="84">
                  <c:v>19.968</c:v>
                </c:pt>
                <c:pt idx="85">
                  <c:v>20.166799999999999</c:v>
                </c:pt>
                <c:pt idx="86">
                  <c:v>20.306999999999999</c:v>
                </c:pt>
                <c:pt idx="87">
                  <c:v>19.7927</c:v>
                </c:pt>
                <c:pt idx="88">
                  <c:v>15.6434</c:v>
                </c:pt>
                <c:pt idx="89">
                  <c:v>15.4541</c:v>
                </c:pt>
                <c:pt idx="90">
                  <c:v>15.0822</c:v>
                </c:pt>
                <c:pt idx="91">
                  <c:v>15.6007</c:v>
                </c:pt>
                <c:pt idx="92">
                  <c:v>15.2621</c:v>
                </c:pt>
                <c:pt idx="93">
                  <c:v>17.851199999999999</c:v>
                </c:pt>
                <c:pt idx="94">
                  <c:v>17.3477</c:v>
                </c:pt>
                <c:pt idx="95">
                  <c:v>17.1311</c:v>
                </c:pt>
                <c:pt idx="96">
                  <c:v>16.532499999999999</c:v>
                </c:pt>
                <c:pt idx="97">
                  <c:v>17.237100000000002</c:v>
                </c:pt>
                <c:pt idx="98">
                  <c:v>17.6907</c:v>
                </c:pt>
                <c:pt idx="99">
                  <c:v>17.190300000000001</c:v>
                </c:pt>
                <c:pt idx="100">
                  <c:v>16.5839</c:v>
                </c:pt>
                <c:pt idx="101">
                  <c:v>15.9885</c:v>
                </c:pt>
                <c:pt idx="102">
                  <c:v>14.638</c:v>
                </c:pt>
                <c:pt idx="103">
                  <c:v>15.3597</c:v>
                </c:pt>
                <c:pt idx="104">
                  <c:v>16.182700000000001</c:v>
                </c:pt>
                <c:pt idx="105">
                  <c:v>15.415800000000001</c:v>
                </c:pt>
                <c:pt idx="106">
                  <c:v>15.398099999999999</c:v>
                </c:pt>
                <c:pt idx="107">
                  <c:v>15.225300000000001</c:v>
                </c:pt>
                <c:pt idx="108">
                  <c:v>15.587</c:v>
                </c:pt>
                <c:pt idx="109">
                  <c:v>15.819599999999999</c:v>
                </c:pt>
                <c:pt idx="110">
                  <c:v>15.9521</c:v>
                </c:pt>
                <c:pt idx="111">
                  <c:v>15.4336</c:v>
                </c:pt>
                <c:pt idx="112">
                  <c:v>15.738899999999999</c:v>
                </c:pt>
                <c:pt idx="113">
                  <c:v>15.9908</c:v>
                </c:pt>
                <c:pt idx="114">
                  <c:v>15.100099999999999</c:v>
                </c:pt>
                <c:pt idx="115">
                  <c:v>15.642300000000001</c:v>
                </c:pt>
                <c:pt idx="116">
                  <c:v>15.1243</c:v>
                </c:pt>
                <c:pt idx="117">
                  <c:v>13.625299999999999</c:v>
                </c:pt>
                <c:pt idx="118">
                  <c:v>13.5139</c:v>
                </c:pt>
                <c:pt idx="119">
                  <c:v>12.3338</c:v>
                </c:pt>
                <c:pt idx="120">
                  <c:v>11.373200000000001</c:v>
                </c:pt>
                <c:pt idx="121">
                  <c:v>11.2676</c:v>
                </c:pt>
                <c:pt idx="122">
                  <c:v>10.9655</c:v>
                </c:pt>
                <c:pt idx="123">
                  <c:v>10.617900000000001</c:v>
                </c:pt>
                <c:pt idx="124">
                  <c:v>10.5915</c:v>
                </c:pt>
                <c:pt idx="125">
                  <c:v>10.645799999999999</c:v>
                </c:pt>
                <c:pt idx="126">
                  <c:v>10.6751</c:v>
                </c:pt>
                <c:pt idx="127">
                  <c:v>10.2409</c:v>
                </c:pt>
                <c:pt idx="128">
                  <c:v>9.8468</c:v>
                </c:pt>
                <c:pt idx="129">
                  <c:v>8.7912999999999997</c:v>
                </c:pt>
                <c:pt idx="130">
                  <c:v>8.4959000000000007</c:v>
                </c:pt>
                <c:pt idx="131">
                  <c:v>8.0968</c:v>
                </c:pt>
                <c:pt idx="132">
                  <c:v>8.0752000000000006</c:v>
                </c:pt>
                <c:pt idx="133">
                  <c:v>8.1821999999999999</c:v>
                </c:pt>
                <c:pt idx="134">
                  <c:v>8.3698999999999995</c:v>
                </c:pt>
                <c:pt idx="135">
                  <c:v>8.7083999999999993</c:v>
                </c:pt>
                <c:pt idx="136">
                  <c:v>8.5912000000000006</c:v>
                </c:pt>
                <c:pt idx="137">
                  <c:v>8.6102000000000007</c:v>
                </c:pt>
                <c:pt idx="138">
                  <c:v>9.0690000000000008</c:v>
                </c:pt>
                <c:pt idx="139">
                  <c:v>9.9617000000000004</c:v>
                </c:pt>
                <c:pt idx="140">
                  <c:v>9.8419000000000008</c:v>
                </c:pt>
                <c:pt idx="141">
                  <c:v>9.0877999999999997</c:v>
                </c:pt>
                <c:pt idx="142">
                  <c:v>9.0146999999999995</c:v>
                </c:pt>
                <c:pt idx="143">
                  <c:v>9.0497999999999994</c:v>
                </c:pt>
                <c:pt idx="144">
                  <c:v>8.4154999999999998</c:v>
                </c:pt>
                <c:pt idx="145">
                  <c:v>9.0945999999999998</c:v>
                </c:pt>
                <c:pt idx="146">
                  <c:v>9.3218999999999994</c:v>
                </c:pt>
                <c:pt idx="147">
                  <c:v>9.7246000000000006</c:v>
                </c:pt>
                <c:pt idx="148">
                  <c:v>9.4110999999999994</c:v>
                </c:pt>
                <c:pt idx="149">
                  <c:v>9.8420000000000005</c:v>
                </c:pt>
                <c:pt idx="150">
                  <c:v>9.6905000000000001</c:v>
                </c:pt>
                <c:pt idx="151">
                  <c:v>9.7112999999999996</c:v>
                </c:pt>
                <c:pt idx="152">
                  <c:v>9.2119999999999997</c:v>
                </c:pt>
                <c:pt idx="153">
                  <c:v>8.8435000000000006</c:v>
                </c:pt>
                <c:pt idx="154">
                  <c:v>11.581899999999999</c:v>
                </c:pt>
              </c:numCache>
            </c:numRef>
          </c:val>
          <c:smooth val="0"/>
          <c:extLst>
            <c:ext xmlns:c16="http://schemas.microsoft.com/office/drawing/2014/chart" uri="{C3380CC4-5D6E-409C-BE32-E72D297353CC}">
              <c16:uniqueId val="{00000004-C6A3-42EA-AD84-0EA2783F3814}"/>
            </c:ext>
          </c:extLst>
        </c:ser>
        <c:ser>
          <c:idx val="5"/>
          <c:order val="5"/>
          <c:tx>
            <c:strRef>
              <c:f>Inputs!$B$25</c:f>
              <c:strCache>
                <c:ptCount val="1"/>
                <c:pt idx="0">
                  <c:v>HUNT (JB) TRANS</c:v>
                </c:pt>
              </c:strCache>
            </c:strRef>
          </c:tx>
          <c:spPr>
            <a:ln w="28575" cap="rnd">
              <a:solidFill>
                <a:schemeClr val="accent5">
                  <a:lumMod val="60000"/>
                </a:schemeClr>
              </a:solidFill>
              <a:round/>
            </a:ln>
            <a:effectLst/>
          </c:spPr>
          <c:marker>
            <c:symbol val="none"/>
          </c:marker>
          <c:cat>
            <c:numRef>
              <c:f>'Stock Data'!$B$5:$B$159</c:f>
              <c:numCache>
                <c:formatCode>m/d/yyyy</c:formatCode>
                <c:ptCount val="155"/>
                <c:pt idx="0">
                  <c:v>45938</c:v>
                </c:pt>
                <c:pt idx="1">
                  <c:v>45931</c:v>
                </c:pt>
                <c:pt idx="2">
                  <c:v>45924</c:v>
                </c:pt>
                <c:pt idx="3">
                  <c:v>45917</c:v>
                </c:pt>
                <c:pt idx="4">
                  <c:v>45910</c:v>
                </c:pt>
                <c:pt idx="5">
                  <c:v>45903</c:v>
                </c:pt>
                <c:pt idx="6">
                  <c:v>45896</c:v>
                </c:pt>
                <c:pt idx="7">
                  <c:v>45889</c:v>
                </c:pt>
                <c:pt idx="8">
                  <c:v>45882</c:v>
                </c:pt>
                <c:pt idx="9">
                  <c:v>45875</c:v>
                </c:pt>
                <c:pt idx="10">
                  <c:v>45868</c:v>
                </c:pt>
                <c:pt idx="11">
                  <c:v>45861</c:v>
                </c:pt>
                <c:pt idx="12">
                  <c:v>45854</c:v>
                </c:pt>
                <c:pt idx="13">
                  <c:v>45847</c:v>
                </c:pt>
                <c:pt idx="14">
                  <c:v>45840</c:v>
                </c:pt>
                <c:pt idx="15">
                  <c:v>45833</c:v>
                </c:pt>
                <c:pt idx="16">
                  <c:v>45826</c:v>
                </c:pt>
                <c:pt idx="17">
                  <c:v>45819</c:v>
                </c:pt>
                <c:pt idx="18">
                  <c:v>45812</c:v>
                </c:pt>
                <c:pt idx="19">
                  <c:v>45805</c:v>
                </c:pt>
                <c:pt idx="20">
                  <c:v>45798</c:v>
                </c:pt>
                <c:pt idx="21">
                  <c:v>45791</c:v>
                </c:pt>
                <c:pt idx="22">
                  <c:v>45784</c:v>
                </c:pt>
                <c:pt idx="23">
                  <c:v>45777</c:v>
                </c:pt>
                <c:pt idx="24">
                  <c:v>45770</c:v>
                </c:pt>
                <c:pt idx="25">
                  <c:v>45763</c:v>
                </c:pt>
                <c:pt idx="26">
                  <c:v>45756</c:v>
                </c:pt>
                <c:pt idx="27">
                  <c:v>45749</c:v>
                </c:pt>
                <c:pt idx="28">
                  <c:v>45742</c:v>
                </c:pt>
                <c:pt idx="29">
                  <c:v>45735</c:v>
                </c:pt>
                <c:pt idx="30">
                  <c:v>45728</c:v>
                </c:pt>
                <c:pt idx="31">
                  <c:v>45721</c:v>
                </c:pt>
                <c:pt idx="32">
                  <c:v>45714</c:v>
                </c:pt>
                <c:pt idx="33">
                  <c:v>45707</c:v>
                </c:pt>
                <c:pt idx="34">
                  <c:v>45700</c:v>
                </c:pt>
                <c:pt idx="35">
                  <c:v>45693</c:v>
                </c:pt>
                <c:pt idx="36">
                  <c:v>45686</c:v>
                </c:pt>
                <c:pt idx="37">
                  <c:v>45679</c:v>
                </c:pt>
                <c:pt idx="38">
                  <c:v>45672</c:v>
                </c:pt>
                <c:pt idx="39">
                  <c:v>45665</c:v>
                </c:pt>
                <c:pt idx="40">
                  <c:v>45658</c:v>
                </c:pt>
                <c:pt idx="41">
                  <c:v>45651</c:v>
                </c:pt>
                <c:pt idx="42">
                  <c:v>45644</c:v>
                </c:pt>
                <c:pt idx="43">
                  <c:v>45637</c:v>
                </c:pt>
                <c:pt idx="44">
                  <c:v>45630</c:v>
                </c:pt>
                <c:pt idx="45">
                  <c:v>45623</c:v>
                </c:pt>
                <c:pt idx="46">
                  <c:v>45616</c:v>
                </c:pt>
                <c:pt idx="47">
                  <c:v>45609</c:v>
                </c:pt>
                <c:pt idx="48">
                  <c:v>45602</c:v>
                </c:pt>
                <c:pt idx="49">
                  <c:v>45595</c:v>
                </c:pt>
                <c:pt idx="50">
                  <c:v>45588</c:v>
                </c:pt>
                <c:pt idx="51">
                  <c:v>45581</c:v>
                </c:pt>
                <c:pt idx="52">
                  <c:v>45574</c:v>
                </c:pt>
                <c:pt idx="53">
                  <c:v>45567</c:v>
                </c:pt>
                <c:pt idx="54">
                  <c:v>45560</c:v>
                </c:pt>
                <c:pt idx="55">
                  <c:v>45553</c:v>
                </c:pt>
                <c:pt idx="56">
                  <c:v>45546</c:v>
                </c:pt>
                <c:pt idx="57">
                  <c:v>45539</c:v>
                </c:pt>
                <c:pt idx="58">
                  <c:v>45532</c:v>
                </c:pt>
                <c:pt idx="59">
                  <c:v>45525</c:v>
                </c:pt>
                <c:pt idx="60">
                  <c:v>45518</c:v>
                </c:pt>
                <c:pt idx="61">
                  <c:v>45511</c:v>
                </c:pt>
                <c:pt idx="62">
                  <c:v>45504</c:v>
                </c:pt>
                <c:pt idx="63">
                  <c:v>45497</c:v>
                </c:pt>
                <c:pt idx="64">
                  <c:v>45490</c:v>
                </c:pt>
                <c:pt idx="65">
                  <c:v>45483</c:v>
                </c:pt>
                <c:pt idx="66">
                  <c:v>45476</c:v>
                </c:pt>
                <c:pt idx="67">
                  <c:v>45469</c:v>
                </c:pt>
                <c:pt idx="68">
                  <c:v>45462</c:v>
                </c:pt>
                <c:pt idx="69">
                  <c:v>45455</c:v>
                </c:pt>
                <c:pt idx="70">
                  <c:v>45448</c:v>
                </c:pt>
                <c:pt idx="71">
                  <c:v>45441</c:v>
                </c:pt>
                <c:pt idx="72">
                  <c:v>45434</c:v>
                </c:pt>
                <c:pt idx="73">
                  <c:v>45427</c:v>
                </c:pt>
                <c:pt idx="74">
                  <c:v>45420</c:v>
                </c:pt>
                <c:pt idx="75">
                  <c:v>45413</c:v>
                </c:pt>
                <c:pt idx="76">
                  <c:v>45406</c:v>
                </c:pt>
                <c:pt idx="77">
                  <c:v>45399</c:v>
                </c:pt>
                <c:pt idx="78">
                  <c:v>45392</c:v>
                </c:pt>
                <c:pt idx="79">
                  <c:v>45385</c:v>
                </c:pt>
                <c:pt idx="80">
                  <c:v>45378</c:v>
                </c:pt>
                <c:pt idx="81">
                  <c:v>45371</c:v>
                </c:pt>
                <c:pt idx="82">
                  <c:v>45364</c:v>
                </c:pt>
                <c:pt idx="83">
                  <c:v>45357</c:v>
                </c:pt>
                <c:pt idx="84">
                  <c:v>45350</c:v>
                </c:pt>
                <c:pt idx="85">
                  <c:v>45343</c:v>
                </c:pt>
                <c:pt idx="86">
                  <c:v>45336</c:v>
                </c:pt>
                <c:pt idx="87">
                  <c:v>45329</c:v>
                </c:pt>
                <c:pt idx="88">
                  <c:v>45322</c:v>
                </c:pt>
                <c:pt idx="89">
                  <c:v>45315</c:v>
                </c:pt>
                <c:pt idx="90">
                  <c:v>45308</c:v>
                </c:pt>
                <c:pt idx="91">
                  <c:v>45301</c:v>
                </c:pt>
                <c:pt idx="92">
                  <c:v>45294</c:v>
                </c:pt>
                <c:pt idx="93">
                  <c:v>45287</c:v>
                </c:pt>
                <c:pt idx="94">
                  <c:v>45280</c:v>
                </c:pt>
                <c:pt idx="95">
                  <c:v>45273</c:v>
                </c:pt>
                <c:pt idx="96">
                  <c:v>45266</c:v>
                </c:pt>
                <c:pt idx="97">
                  <c:v>45259</c:v>
                </c:pt>
                <c:pt idx="98">
                  <c:v>45252</c:v>
                </c:pt>
                <c:pt idx="99">
                  <c:v>45245</c:v>
                </c:pt>
                <c:pt idx="100">
                  <c:v>45238</c:v>
                </c:pt>
                <c:pt idx="101">
                  <c:v>45231</c:v>
                </c:pt>
                <c:pt idx="102">
                  <c:v>45224</c:v>
                </c:pt>
                <c:pt idx="103">
                  <c:v>45217</c:v>
                </c:pt>
                <c:pt idx="104">
                  <c:v>45210</c:v>
                </c:pt>
                <c:pt idx="105">
                  <c:v>45203</c:v>
                </c:pt>
                <c:pt idx="106">
                  <c:v>45196</c:v>
                </c:pt>
                <c:pt idx="107">
                  <c:v>45189</c:v>
                </c:pt>
                <c:pt idx="108">
                  <c:v>45182</c:v>
                </c:pt>
                <c:pt idx="109">
                  <c:v>45175</c:v>
                </c:pt>
                <c:pt idx="110">
                  <c:v>45168</c:v>
                </c:pt>
                <c:pt idx="111">
                  <c:v>45161</c:v>
                </c:pt>
                <c:pt idx="112">
                  <c:v>45154</c:v>
                </c:pt>
                <c:pt idx="113">
                  <c:v>45147</c:v>
                </c:pt>
                <c:pt idx="114">
                  <c:v>45140</c:v>
                </c:pt>
                <c:pt idx="115">
                  <c:v>45133</c:v>
                </c:pt>
                <c:pt idx="116">
                  <c:v>45126</c:v>
                </c:pt>
                <c:pt idx="117">
                  <c:v>45119</c:v>
                </c:pt>
                <c:pt idx="118">
                  <c:v>45112</c:v>
                </c:pt>
                <c:pt idx="119">
                  <c:v>45105</c:v>
                </c:pt>
                <c:pt idx="120">
                  <c:v>45098</c:v>
                </c:pt>
                <c:pt idx="121">
                  <c:v>45091</c:v>
                </c:pt>
                <c:pt idx="122">
                  <c:v>45084</c:v>
                </c:pt>
                <c:pt idx="123">
                  <c:v>45077</c:v>
                </c:pt>
                <c:pt idx="124">
                  <c:v>45070</c:v>
                </c:pt>
                <c:pt idx="125">
                  <c:v>45063</c:v>
                </c:pt>
                <c:pt idx="126">
                  <c:v>45056</c:v>
                </c:pt>
                <c:pt idx="127">
                  <c:v>45049</c:v>
                </c:pt>
                <c:pt idx="128">
                  <c:v>45042</c:v>
                </c:pt>
                <c:pt idx="129">
                  <c:v>45035</c:v>
                </c:pt>
                <c:pt idx="130">
                  <c:v>45028</c:v>
                </c:pt>
                <c:pt idx="131">
                  <c:v>45021</c:v>
                </c:pt>
                <c:pt idx="132">
                  <c:v>45014</c:v>
                </c:pt>
                <c:pt idx="133">
                  <c:v>45007</c:v>
                </c:pt>
                <c:pt idx="134">
                  <c:v>45000</c:v>
                </c:pt>
                <c:pt idx="135">
                  <c:v>44993</c:v>
                </c:pt>
                <c:pt idx="136">
                  <c:v>44986</c:v>
                </c:pt>
                <c:pt idx="137">
                  <c:v>44979</c:v>
                </c:pt>
                <c:pt idx="138">
                  <c:v>44972</c:v>
                </c:pt>
                <c:pt idx="139">
                  <c:v>44965</c:v>
                </c:pt>
                <c:pt idx="140">
                  <c:v>44958</c:v>
                </c:pt>
                <c:pt idx="141">
                  <c:v>44951</c:v>
                </c:pt>
                <c:pt idx="142">
                  <c:v>44944</c:v>
                </c:pt>
                <c:pt idx="143">
                  <c:v>44937</c:v>
                </c:pt>
                <c:pt idx="144">
                  <c:v>44930</c:v>
                </c:pt>
                <c:pt idx="145">
                  <c:v>44923</c:v>
                </c:pt>
                <c:pt idx="146">
                  <c:v>44916</c:v>
                </c:pt>
                <c:pt idx="147">
                  <c:v>44909</c:v>
                </c:pt>
                <c:pt idx="148">
                  <c:v>44902</c:v>
                </c:pt>
                <c:pt idx="149">
                  <c:v>44895</c:v>
                </c:pt>
                <c:pt idx="150">
                  <c:v>44888</c:v>
                </c:pt>
                <c:pt idx="151">
                  <c:v>44881</c:v>
                </c:pt>
                <c:pt idx="152">
                  <c:v>44874</c:v>
                </c:pt>
                <c:pt idx="153">
                  <c:v>44867</c:v>
                </c:pt>
                <c:pt idx="154">
                  <c:v>44860</c:v>
                </c:pt>
              </c:numCache>
            </c:numRef>
          </c:cat>
          <c:val>
            <c:numRef>
              <c:f>'Stock Data'!$H$5:$H$159</c:f>
              <c:numCache>
                <c:formatCode>0.0</c:formatCode>
                <c:ptCount val="155"/>
                <c:pt idx="0">
                  <c:v>9.7751999999999999</c:v>
                </c:pt>
                <c:pt idx="1">
                  <c:v>9.3201000000000001</c:v>
                </c:pt>
                <c:pt idx="2">
                  <c:v>9.3318999999999992</c:v>
                </c:pt>
                <c:pt idx="3">
                  <c:v>9.4344999999999999</c:v>
                </c:pt>
                <c:pt idx="4">
                  <c:v>9.5848999999999993</c:v>
                </c:pt>
                <c:pt idx="5">
                  <c:v>10.1096</c:v>
                </c:pt>
                <c:pt idx="6">
                  <c:v>10.1351</c:v>
                </c:pt>
                <c:pt idx="7">
                  <c:v>9.9324999999999992</c:v>
                </c:pt>
                <c:pt idx="8">
                  <c:v>10.1389</c:v>
                </c:pt>
                <c:pt idx="9">
                  <c:v>9.9933999999999994</c:v>
                </c:pt>
                <c:pt idx="10">
                  <c:v>10.0158</c:v>
                </c:pt>
                <c:pt idx="11">
                  <c:v>10.387</c:v>
                </c:pt>
                <c:pt idx="12">
                  <c:v>10.4864</c:v>
                </c:pt>
                <c:pt idx="13">
                  <c:v>10.797700000000001</c:v>
                </c:pt>
                <c:pt idx="14">
                  <c:v>10.82</c:v>
                </c:pt>
                <c:pt idx="15">
                  <c:v>9.9768000000000008</c:v>
                </c:pt>
                <c:pt idx="16">
                  <c:v>9.7416</c:v>
                </c:pt>
                <c:pt idx="17">
                  <c:v>9.8607999999999993</c:v>
                </c:pt>
                <c:pt idx="18">
                  <c:v>9.8109999999999999</c:v>
                </c:pt>
                <c:pt idx="19">
                  <c:v>9.7182999999999993</c:v>
                </c:pt>
                <c:pt idx="20">
                  <c:v>9.7643000000000004</c:v>
                </c:pt>
                <c:pt idx="21">
                  <c:v>10.301500000000001</c:v>
                </c:pt>
                <c:pt idx="22">
                  <c:v>9.3595000000000006</c:v>
                </c:pt>
                <c:pt idx="23">
                  <c:v>9.2101000000000006</c:v>
                </c:pt>
                <c:pt idx="24">
                  <c:v>9.2636000000000003</c:v>
                </c:pt>
                <c:pt idx="25">
                  <c:v>8.9056999999999995</c:v>
                </c:pt>
                <c:pt idx="26">
                  <c:v>9.9812999999999992</c:v>
                </c:pt>
                <c:pt idx="27">
                  <c:v>10.6889</c:v>
                </c:pt>
                <c:pt idx="28">
                  <c:v>10.834</c:v>
                </c:pt>
                <c:pt idx="29">
                  <c:v>10.561500000000001</c:v>
                </c:pt>
                <c:pt idx="30">
                  <c:v>11.026199999999999</c:v>
                </c:pt>
                <c:pt idx="31">
                  <c:v>11.3773</c:v>
                </c:pt>
                <c:pt idx="32">
                  <c:v>11.3949</c:v>
                </c:pt>
                <c:pt idx="33">
                  <c:v>12.043100000000001</c:v>
                </c:pt>
                <c:pt idx="34">
                  <c:v>11.750500000000001</c:v>
                </c:pt>
                <c:pt idx="35">
                  <c:v>12.121</c:v>
                </c:pt>
                <c:pt idx="36">
                  <c:v>12.2128</c:v>
                </c:pt>
                <c:pt idx="37">
                  <c:v>12.401199999999999</c:v>
                </c:pt>
                <c:pt idx="38">
                  <c:v>13.138500000000001</c:v>
                </c:pt>
                <c:pt idx="39">
                  <c:v>12.586399999999999</c:v>
                </c:pt>
                <c:pt idx="40">
                  <c:v>12.166600000000001</c:v>
                </c:pt>
                <c:pt idx="41">
                  <c:v>8.8428000000000004</c:v>
                </c:pt>
                <c:pt idx="42">
                  <c:v>8.7609999999999992</c:v>
                </c:pt>
                <c:pt idx="43">
                  <c:v>9.3181999999999992</c:v>
                </c:pt>
                <c:pt idx="44">
                  <c:v>9.4664999999999999</c:v>
                </c:pt>
                <c:pt idx="45">
                  <c:v>9.7126999999999999</c:v>
                </c:pt>
                <c:pt idx="46">
                  <c:v>9.2977000000000007</c:v>
                </c:pt>
                <c:pt idx="47">
                  <c:v>9.66</c:v>
                </c:pt>
                <c:pt idx="48">
                  <c:v>9.8321000000000005</c:v>
                </c:pt>
                <c:pt idx="49">
                  <c:v>9.3119999999999994</c:v>
                </c:pt>
                <c:pt idx="50">
                  <c:v>9.1020000000000003</c:v>
                </c:pt>
                <c:pt idx="51">
                  <c:v>9.3279999999999994</c:v>
                </c:pt>
                <c:pt idx="52">
                  <c:v>8.6518999999999995</c:v>
                </c:pt>
                <c:pt idx="53">
                  <c:v>8.7505000000000006</c:v>
                </c:pt>
                <c:pt idx="54">
                  <c:v>8.8597000000000001</c:v>
                </c:pt>
                <c:pt idx="55">
                  <c:v>8.7456999999999994</c:v>
                </c:pt>
                <c:pt idx="56">
                  <c:v>8.7414000000000005</c:v>
                </c:pt>
                <c:pt idx="57">
                  <c:v>8.9111999999999991</c:v>
                </c:pt>
                <c:pt idx="58">
                  <c:v>8.9756</c:v>
                </c:pt>
                <c:pt idx="59">
                  <c:v>9.0389999999999997</c:v>
                </c:pt>
                <c:pt idx="60">
                  <c:v>8.4728999999999992</c:v>
                </c:pt>
                <c:pt idx="61">
                  <c:v>8.4375999999999998</c:v>
                </c:pt>
                <c:pt idx="62">
                  <c:v>8.9268999999999998</c:v>
                </c:pt>
                <c:pt idx="63">
                  <c:v>8.5737000000000005</c:v>
                </c:pt>
                <c:pt idx="64">
                  <c:v>8.5785</c:v>
                </c:pt>
                <c:pt idx="65">
                  <c:v>8.3796999999999997</c:v>
                </c:pt>
                <c:pt idx="66">
                  <c:v>8.3279999999999994</c:v>
                </c:pt>
                <c:pt idx="67">
                  <c:v>7.9672000000000001</c:v>
                </c:pt>
                <c:pt idx="68">
                  <c:v>7.8845999999999998</c:v>
                </c:pt>
                <c:pt idx="69">
                  <c:v>8.1473999999999993</c:v>
                </c:pt>
                <c:pt idx="70">
                  <c:v>8.0625</c:v>
                </c:pt>
                <c:pt idx="71">
                  <c:v>7.8507999999999996</c:v>
                </c:pt>
                <c:pt idx="72">
                  <c:v>8.0070999999999994</c:v>
                </c:pt>
                <c:pt idx="73">
                  <c:v>8.4581</c:v>
                </c:pt>
                <c:pt idx="74">
                  <c:v>8.4657</c:v>
                </c:pt>
                <c:pt idx="75">
                  <c:v>8.2670999999999992</c:v>
                </c:pt>
                <c:pt idx="76">
                  <c:v>8.3269000000000002</c:v>
                </c:pt>
                <c:pt idx="77">
                  <c:v>8.4913000000000007</c:v>
                </c:pt>
                <c:pt idx="78">
                  <c:v>9.4337</c:v>
                </c:pt>
                <c:pt idx="79">
                  <c:v>9.8560999999999996</c:v>
                </c:pt>
                <c:pt idx="80">
                  <c:v>9.8329000000000004</c:v>
                </c:pt>
                <c:pt idx="81">
                  <c:v>9.8264999999999993</c:v>
                </c:pt>
                <c:pt idx="82">
                  <c:v>10.117599999999999</c:v>
                </c:pt>
                <c:pt idx="83">
                  <c:v>10.0427</c:v>
                </c:pt>
                <c:pt idx="84">
                  <c:v>10.287000000000001</c:v>
                </c:pt>
                <c:pt idx="85">
                  <c:v>10.1814</c:v>
                </c:pt>
                <c:pt idx="86">
                  <c:v>10.833399999999999</c:v>
                </c:pt>
                <c:pt idx="87">
                  <c:v>10.680099999999999</c:v>
                </c:pt>
                <c:pt idx="88">
                  <c:v>10.0816</c:v>
                </c:pt>
                <c:pt idx="89">
                  <c:v>10.205399999999999</c:v>
                </c:pt>
                <c:pt idx="90">
                  <c:v>9.6613000000000007</c:v>
                </c:pt>
                <c:pt idx="91">
                  <c:v>9.7184000000000008</c:v>
                </c:pt>
                <c:pt idx="92">
                  <c:v>9.6721000000000004</c:v>
                </c:pt>
                <c:pt idx="93">
                  <c:v>12.4406</c:v>
                </c:pt>
                <c:pt idx="94">
                  <c:v>12.171099999999999</c:v>
                </c:pt>
                <c:pt idx="95">
                  <c:v>12.080500000000001</c:v>
                </c:pt>
                <c:pt idx="96">
                  <c:v>11.6228</c:v>
                </c:pt>
                <c:pt idx="97">
                  <c:v>11.274699999999999</c:v>
                </c:pt>
                <c:pt idx="98">
                  <c:v>11.222200000000001</c:v>
                </c:pt>
                <c:pt idx="99">
                  <c:v>11.2684</c:v>
                </c:pt>
                <c:pt idx="100">
                  <c:v>10.867800000000001</c:v>
                </c:pt>
                <c:pt idx="101">
                  <c:v>10.749499999999999</c:v>
                </c:pt>
                <c:pt idx="102">
                  <c:v>10.6007</c:v>
                </c:pt>
                <c:pt idx="103">
                  <c:v>11.0998</c:v>
                </c:pt>
                <c:pt idx="104">
                  <c:v>11.9725</c:v>
                </c:pt>
                <c:pt idx="105">
                  <c:v>11.6</c:v>
                </c:pt>
                <c:pt idx="106">
                  <c:v>10.776899999999999</c:v>
                </c:pt>
                <c:pt idx="107">
                  <c:v>11.2201</c:v>
                </c:pt>
                <c:pt idx="108">
                  <c:v>10.982900000000001</c:v>
                </c:pt>
                <c:pt idx="109">
                  <c:v>10.776300000000001</c:v>
                </c:pt>
                <c:pt idx="110">
                  <c:v>11.019</c:v>
                </c:pt>
                <c:pt idx="111">
                  <c:v>11.0486</c:v>
                </c:pt>
                <c:pt idx="112">
                  <c:v>11.166399999999999</c:v>
                </c:pt>
                <c:pt idx="113">
                  <c:v>11.754300000000001</c:v>
                </c:pt>
                <c:pt idx="114">
                  <c:v>11.834199999999999</c:v>
                </c:pt>
                <c:pt idx="115">
                  <c:v>11.754</c:v>
                </c:pt>
                <c:pt idx="116">
                  <c:v>11.336399999999999</c:v>
                </c:pt>
                <c:pt idx="117">
                  <c:v>10.757300000000001</c:v>
                </c:pt>
                <c:pt idx="118">
                  <c:v>10.471500000000001</c:v>
                </c:pt>
                <c:pt idx="119">
                  <c:v>10.135199999999999</c:v>
                </c:pt>
                <c:pt idx="120">
                  <c:v>10.002599999999999</c:v>
                </c:pt>
                <c:pt idx="121">
                  <c:v>9.8977000000000004</c:v>
                </c:pt>
                <c:pt idx="122">
                  <c:v>9.9488000000000003</c:v>
                </c:pt>
                <c:pt idx="123">
                  <c:v>9.5024999999999995</c:v>
                </c:pt>
                <c:pt idx="124">
                  <c:v>9.5707000000000004</c:v>
                </c:pt>
                <c:pt idx="125">
                  <c:v>9.7767999999999997</c:v>
                </c:pt>
                <c:pt idx="126">
                  <c:v>10.0159</c:v>
                </c:pt>
                <c:pt idx="127">
                  <c:v>9.9269999999999996</c:v>
                </c:pt>
                <c:pt idx="128">
                  <c:v>9.4411000000000005</c:v>
                </c:pt>
                <c:pt idx="129">
                  <c:v>10.122999999999999</c:v>
                </c:pt>
                <c:pt idx="130">
                  <c:v>9.9662000000000006</c:v>
                </c:pt>
                <c:pt idx="131">
                  <c:v>9.6884999999999994</c:v>
                </c:pt>
                <c:pt idx="132">
                  <c:v>9.7517999999999994</c:v>
                </c:pt>
                <c:pt idx="133">
                  <c:v>9.5386000000000006</c:v>
                </c:pt>
                <c:pt idx="134">
                  <c:v>9.6315000000000008</c:v>
                </c:pt>
                <c:pt idx="135">
                  <c:v>10.409800000000001</c:v>
                </c:pt>
                <c:pt idx="136">
                  <c:v>10.334199999999999</c:v>
                </c:pt>
                <c:pt idx="137">
                  <c:v>10.3352</c:v>
                </c:pt>
                <c:pt idx="138">
                  <c:v>10.8498</c:v>
                </c:pt>
                <c:pt idx="139">
                  <c:v>11.129</c:v>
                </c:pt>
                <c:pt idx="140">
                  <c:v>11.036300000000001</c:v>
                </c:pt>
                <c:pt idx="141">
                  <c:v>10.651199999999999</c:v>
                </c:pt>
                <c:pt idx="142">
                  <c:v>10.463100000000001</c:v>
                </c:pt>
                <c:pt idx="143">
                  <c:v>10.2357</c:v>
                </c:pt>
                <c:pt idx="144">
                  <c:v>9.9369999999999994</c:v>
                </c:pt>
                <c:pt idx="145">
                  <c:v>9.6776999999999997</c:v>
                </c:pt>
                <c:pt idx="146">
                  <c:v>9.8606999999999996</c:v>
                </c:pt>
                <c:pt idx="147">
                  <c:v>10.345499999999999</c:v>
                </c:pt>
                <c:pt idx="148">
                  <c:v>9.7736000000000001</c:v>
                </c:pt>
                <c:pt idx="149">
                  <c:v>10.1693</c:v>
                </c:pt>
                <c:pt idx="150">
                  <c:v>9.9853000000000005</c:v>
                </c:pt>
                <c:pt idx="151">
                  <c:v>9.9878999999999998</c:v>
                </c:pt>
                <c:pt idx="152">
                  <c:v>9.4791000000000007</c:v>
                </c:pt>
                <c:pt idx="153">
                  <c:v>9.3444000000000003</c:v>
                </c:pt>
                <c:pt idx="154">
                  <c:v>9.4468999999999994</c:v>
                </c:pt>
              </c:numCache>
            </c:numRef>
          </c:val>
          <c:smooth val="0"/>
          <c:extLst>
            <c:ext xmlns:c16="http://schemas.microsoft.com/office/drawing/2014/chart" uri="{C3380CC4-5D6E-409C-BE32-E72D297353CC}">
              <c16:uniqueId val="{00000005-C6A3-42EA-AD84-0EA2783F3814}"/>
            </c:ext>
          </c:extLst>
        </c:ser>
        <c:dLbls>
          <c:showLegendKey val="0"/>
          <c:showVal val="0"/>
          <c:showCatName val="0"/>
          <c:showSerName val="0"/>
          <c:showPercent val="0"/>
          <c:showBubbleSize val="0"/>
        </c:dLbls>
        <c:smooth val="0"/>
        <c:axId val="1005203632"/>
        <c:axId val="1005201992"/>
      </c:lineChart>
      <c:dateAx>
        <c:axId val="1005203632"/>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5201992"/>
        <c:crosses val="autoZero"/>
        <c:auto val="1"/>
        <c:lblOffset val="100"/>
        <c:baseTimeUnit val="days"/>
      </c:dateAx>
      <c:valAx>
        <c:axId val="10052019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5203632"/>
        <c:crosses val="autoZero"/>
        <c:crossBetween val="between"/>
      </c:valAx>
      <c:spPr>
        <a:noFill/>
        <a:ln>
          <a:noFill/>
        </a:ln>
        <a:effectLst/>
      </c:spPr>
    </c:plotArea>
    <c:legend>
      <c:legendPos val="b"/>
      <c:layout>
        <c:manualLayout>
          <c:xMode val="edge"/>
          <c:yMode val="edge"/>
          <c:x val="0"/>
          <c:y val="0.86544143226760495"/>
          <c:w val="1"/>
          <c:h val="0.12218003551864627"/>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8631273488503296E-2"/>
          <c:y val="2.7170920220962923E-2"/>
          <c:w val="0.93718334849858898"/>
          <c:h val="0.72263983284481992"/>
        </c:manualLayout>
      </c:layout>
      <c:lineChart>
        <c:grouping val="standard"/>
        <c:varyColors val="0"/>
        <c:ser>
          <c:idx val="0"/>
          <c:order val="0"/>
          <c:tx>
            <c:strRef>
              <c:f>Inputs!$S$7</c:f>
              <c:strCache>
                <c:ptCount val="1"/>
                <c:pt idx="0">
                  <c:v>#NAME?</c:v>
                </c:pt>
              </c:strCache>
            </c:strRef>
          </c:tx>
          <c:spPr>
            <a:ln w="28575" cap="rnd">
              <a:solidFill>
                <a:schemeClr val="accent1"/>
              </a:solidFill>
              <a:round/>
            </a:ln>
            <a:effectLst/>
          </c:spPr>
          <c:marker>
            <c:symbol val="none"/>
          </c:marker>
          <c:cat>
            <c:numRef>
              <c:f>'Stock Data'!$B$5:$B$159</c:f>
              <c:numCache>
                <c:formatCode>m/d/yyyy</c:formatCode>
                <c:ptCount val="155"/>
                <c:pt idx="0">
                  <c:v>45938</c:v>
                </c:pt>
                <c:pt idx="1">
                  <c:v>45931</c:v>
                </c:pt>
                <c:pt idx="2">
                  <c:v>45924</c:v>
                </c:pt>
                <c:pt idx="3">
                  <c:v>45917</c:v>
                </c:pt>
                <c:pt idx="4">
                  <c:v>45910</c:v>
                </c:pt>
                <c:pt idx="5">
                  <c:v>45903</c:v>
                </c:pt>
                <c:pt idx="6">
                  <c:v>45896</c:v>
                </c:pt>
                <c:pt idx="7">
                  <c:v>45889</c:v>
                </c:pt>
                <c:pt idx="8">
                  <c:v>45882</c:v>
                </c:pt>
                <c:pt idx="9">
                  <c:v>45875</c:v>
                </c:pt>
                <c:pt idx="10">
                  <c:v>45868</c:v>
                </c:pt>
                <c:pt idx="11">
                  <c:v>45861</c:v>
                </c:pt>
                <c:pt idx="12">
                  <c:v>45854</c:v>
                </c:pt>
                <c:pt idx="13">
                  <c:v>45847</c:v>
                </c:pt>
                <c:pt idx="14">
                  <c:v>45840</c:v>
                </c:pt>
                <c:pt idx="15">
                  <c:v>45833</c:v>
                </c:pt>
                <c:pt idx="16">
                  <c:v>45826</c:v>
                </c:pt>
                <c:pt idx="17">
                  <c:v>45819</c:v>
                </c:pt>
                <c:pt idx="18">
                  <c:v>45812</c:v>
                </c:pt>
                <c:pt idx="19">
                  <c:v>45805</c:v>
                </c:pt>
                <c:pt idx="20">
                  <c:v>45798</c:v>
                </c:pt>
                <c:pt idx="21">
                  <c:v>45791</c:v>
                </c:pt>
                <c:pt idx="22">
                  <c:v>45784</c:v>
                </c:pt>
                <c:pt idx="23">
                  <c:v>45777</c:v>
                </c:pt>
                <c:pt idx="24">
                  <c:v>45770</c:v>
                </c:pt>
                <c:pt idx="25">
                  <c:v>45763</c:v>
                </c:pt>
                <c:pt idx="26">
                  <c:v>45756</c:v>
                </c:pt>
                <c:pt idx="27">
                  <c:v>45749</c:v>
                </c:pt>
                <c:pt idx="28">
                  <c:v>45742</c:v>
                </c:pt>
                <c:pt idx="29">
                  <c:v>45735</c:v>
                </c:pt>
                <c:pt idx="30">
                  <c:v>45728</c:v>
                </c:pt>
                <c:pt idx="31">
                  <c:v>45721</c:v>
                </c:pt>
                <c:pt idx="32">
                  <c:v>45714</c:v>
                </c:pt>
                <c:pt idx="33">
                  <c:v>45707</c:v>
                </c:pt>
                <c:pt idx="34">
                  <c:v>45700</c:v>
                </c:pt>
                <c:pt idx="35">
                  <c:v>45693</c:v>
                </c:pt>
                <c:pt idx="36">
                  <c:v>45686</c:v>
                </c:pt>
                <c:pt idx="37">
                  <c:v>45679</c:v>
                </c:pt>
                <c:pt idx="38">
                  <c:v>45672</c:v>
                </c:pt>
                <c:pt idx="39">
                  <c:v>45665</c:v>
                </c:pt>
                <c:pt idx="40">
                  <c:v>45658</c:v>
                </c:pt>
                <c:pt idx="41">
                  <c:v>45651</c:v>
                </c:pt>
                <c:pt idx="42">
                  <c:v>45644</c:v>
                </c:pt>
                <c:pt idx="43">
                  <c:v>45637</c:v>
                </c:pt>
                <c:pt idx="44">
                  <c:v>45630</c:v>
                </c:pt>
                <c:pt idx="45">
                  <c:v>45623</c:v>
                </c:pt>
                <c:pt idx="46">
                  <c:v>45616</c:v>
                </c:pt>
                <c:pt idx="47">
                  <c:v>45609</c:v>
                </c:pt>
                <c:pt idx="48">
                  <c:v>45602</c:v>
                </c:pt>
                <c:pt idx="49">
                  <c:v>45595</c:v>
                </c:pt>
                <c:pt idx="50">
                  <c:v>45588</c:v>
                </c:pt>
                <c:pt idx="51">
                  <c:v>45581</c:v>
                </c:pt>
                <c:pt idx="52">
                  <c:v>45574</c:v>
                </c:pt>
                <c:pt idx="53">
                  <c:v>45567</c:v>
                </c:pt>
                <c:pt idx="54">
                  <c:v>45560</c:v>
                </c:pt>
                <c:pt idx="55">
                  <c:v>45553</c:v>
                </c:pt>
                <c:pt idx="56">
                  <c:v>45546</c:v>
                </c:pt>
                <c:pt idx="57">
                  <c:v>45539</c:v>
                </c:pt>
                <c:pt idx="58">
                  <c:v>45532</c:v>
                </c:pt>
                <c:pt idx="59">
                  <c:v>45525</c:v>
                </c:pt>
                <c:pt idx="60">
                  <c:v>45518</c:v>
                </c:pt>
                <c:pt idx="61">
                  <c:v>45511</c:v>
                </c:pt>
                <c:pt idx="62">
                  <c:v>45504</c:v>
                </c:pt>
                <c:pt idx="63">
                  <c:v>45497</c:v>
                </c:pt>
                <c:pt idx="64">
                  <c:v>45490</c:v>
                </c:pt>
                <c:pt idx="65">
                  <c:v>45483</c:v>
                </c:pt>
                <c:pt idx="66">
                  <c:v>45476</c:v>
                </c:pt>
                <c:pt idx="67">
                  <c:v>45469</c:v>
                </c:pt>
                <c:pt idx="68">
                  <c:v>45462</c:v>
                </c:pt>
                <c:pt idx="69">
                  <c:v>45455</c:v>
                </c:pt>
                <c:pt idx="70">
                  <c:v>45448</c:v>
                </c:pt>
                <c:pt idx="71">
                  <c:v>45441</c:v>
                </c:pt>
                <c:pt idx="72">
                  <c:v>45434</c:v>
                </c:pt>
                <c:pt idx="73">
                  <c:v>45427</c:v>
                </c:pt>
                <c:pt idx="74">
                  <c:v>45420</c:v>
                </c:pt>
                <c:pt idx="75">
                  <c:v>45413</c:v>
                </c:pt>
                <c:pt idx="76">
                  <c:v>45406</c:v>
                </c:pt>
                <c:pt idx="77">
                  <c:v>45399</c:v>
                </c:pt>
                <c:pt idx="78">
                  <c:v>45392</c:v>
                </c:pt>
                <c:pt idx="79">
                  <c:v>45385</c:v>
                </c:pt>
                <c:pt idx="80">
                  <c:v>45378</c:v>
                </c:pt>
                <c:pt idx="81">
                  <c:v>45371</c:v>
                </c:pt>
                <c:pt idx="82">
                  <c:v>45364</c:v>
                </c:pt>
                <c:pt idx="83">
                  <c:v>45357</c:v>
                </c:pt>
                <c:pt idx="84">
                  <c:v>45350</c:v>
                </c:pt>
                <c:pt idx="85">
                  <c:v>45343</c:v>
                </c:pt>
                <c:pt idx="86">
                  <c:v>45336</c:v>
                </c:pt>
                <c:pt idx="87">
                  <c:v>45329</c:v>
                </c:pt>
                <c:pt idx="88">
                  <c:v>45322</c:v>
                </c:pt>
                <c:pt idx="89">
                  <c:v>45315</c:v>
                </c:pt>
                <c:pt idx="90">
                  <c:v>45308</c:v>
                </c:pt>
                <c:pt idx="91">
                  <c:v>45301</c:v>
                </c:pt>
                <c:pt idx="92">
                  <c:v>45294</c:v>
                </c:pt>
                <c:pt idx="93">
                  <c:v>45287</c:v>
                </c:pt>
                <c:pt idx="94">
                  <c:v>45280</c:v>
                </c:pt>
                <c:pt idx="95">
                  <c:v>45273</c:v>
                </c:pt>
                <c:pt idx="96">
                  <c:v>45266</c:v>
                </c:pt>
                <c:pt idx="97">
                  <c:v>45259</c:v>
                </c:pt>
                <c:pt idx="98">
                  <c:v>45252</c:v>
                </c:pt>
                <c:pt idx="99">
                  <c:v>45245</c:v>
                </c:pt>
                <c:pt idx="100">
                  <c:v>45238</c:v>
                </c:pt>
                <c:pt idx="101">
                  <c:v>45231</c:v>
                </c:pt>
                <c:pt idx="102">
                  <c:v>45224</c:v>
                </c:pt>
                <c:pt idx="103">
                  <c:v>45217</c:v>
                </c:pt>
                <c:pt idx="104">
                  <c:v>45210</c:v>
                </c:pt>
                <c:pt idx="105">
                  <c:v>45203</c:v>
                </c:pt>
                <c:pt idx="106">
                  <c:v>45196</c:v>
                </c:pt>
                <c:pt idx="107">
                  <c:v>45189</c:v>
                </c:pt>
                <c:pt idx="108">
                  <c:v>45182</c:v>
                </c:pt>
                <c:pt idx="109">
                  <c:v>45175</c:v>
                </c:pt>
                <c:pt idx="110">
                  <c:v>45168</c:v>
                </c:pt>
                <c:pt idx="111">
                  <c:v>45161</c:v>
                </c:pt>
                <c:pt idx="112">
                  <c:v>45154</c:v>
                </c:pt>
                <c:pt idx="113">
                  <c:v>45147</c:v>
                </c:pt>
                <c:pt idx="114">
                  <c:v>45140</c:v>
                </c:pt>
                <c:pt idx="115">
                  <c:v>45133</c:v>
                </c:pt>
                <c:pt idx="116">
                  <c:v>45126</c:v>
                </c:pt>
                <c:pt idx="117">
                  <c:v>45119</c:v>
                </c:pt>
                <c:pt idx="118">
                  <c:v>45112</c:v>
                </c:pt>
                <c:pt idx="119">
                  <c:v>45105</c:v>
                </c:pt>
                <c:pt idx="120">
                  <c:v>45098</c:v>
                </c:pt>
                <c:pt idx="121">
                  <c:v>45091</c:v>
                </c:pt>
                <c:pt idx="122">
                  <c:v>45084</c:v>
                </c:pt>
                <c:pt idx="123">
                  <c:v>45077</c:v>
                </c:pt>
                <c:pt idx="124">
                  <c:v>45070</c:v>
                </c:pt>
                <c:pt idx="125">
                  <c:v>45063</c:v>
                </c:pt>
                <c:pt idx="126">
                  <c:v>45056</c:v>
                </c:pt>
                <c:pt idx="127">
                  <c:v>45049</c:v>
                </c:pt>
                <c:pt idx="128">
                  <c:v>45042</c:v>
                </c:pt>
                <c:pt idx="129">
                  <c:v>45035</c:v>
                </c:pt>
                <c:pt idx="130">
                  <c:v>45028</c:v>
                </c:pt>
                <c:pt idx="131">
                  <c:v>45021</c:v>
                </c:pt>
                <c:pt idx="132">
                  <c:v>45014</c:v>
                </c:pt>
                <c:pt idx="133">
                  <c:v>45007</c:v>
                </c:pt>
                <c:pt idx="134">
                  <c:v>45000</c:v>
                </c:pt>
                <c:pt idx="135">
                  <c:v>44993</c:v>
                </c:pt>
                <c:pt idx="136">
                  <c:v>44986</c:v>
                </c:pt>
                <c:pt idx="137">
                  <c:v>44979</c:v>
                </c:pt>
                <c:pt idx="138">
                  <c:v>44972</c:v>
                </c:pt>
                <c:pt idx="139">
                  <c:v>44965</c:v>
                </c:pt>
                <c:pt idx="140">
                  <c:v>44958</c:v>
                </c:pt>
                <c:pt idx="141">
                  <c:v>44951</c:v>
                </c:pt>
                <c:pt idx="142">
                  <c:v>44944</c:v>
                </c:pt>
                <c:pt idx="143">
                  <c:v>44937</c:v>
                </c:pt>
                <c:pt idx="144">
                  <c:v>44930</c:v>
                </c:pt>
                <c:pt idx="145">
                  <c:v>44923</c:v>
                </c:pt>
                <c:pt idx="146">
                  <c:v>44916</c:v>
                </c:pt>
                <c:pt idx="147">
                  <c:v>44909</c:v>
                </c:pt>
                <c:pt idx="148">
                  <c:v>44902</c:v>
                </c:pt>
                <c:pt idx="149">
                  <c:v>44895</c:v>
                </c:pt>
                <c:pt idx="150">
                  <c:v>44888</c:v>
                </c:pt>
                <c:pt idx="151">
                  <c:v>44881</c:v>
                </c:pt>
                <c:pt idx="152">
                  <c:v>44874</c:v>
                </c:pt>
                <c:pt idx="153">
                  <c:v>44867</c:v>
                </c:pt>
                <c:pt idx="154">
                  <c:v>44860</c:v>
                </c:pt>
              </c:numCache>
            </c:numRef>
          </c:cat>
          <c:val>
            <c:numRef>
              <c:f>'Stock Data'!$J$5:$J$159</c:f>
              <c:numCache>
                <c:formatCode>0.0</c:formatCode>
                <c:ptCount val="155"/>
                <c:pt idx="0">
                  <c:v>13.0245</c:v>
                </c:pt>
                <c:pt idx="1">
                  <c:v>13.0245</c:v>
                </c:pt>
                <c:pt idx="2">
                  <c:v>12.709199999999999</c:v>
                </c:pt>
                <c:pt idx="3">
                  <c:v>12.2759</c:v>
                </c:pt>
                <c:pt idx="4">
                  <c:v>12.271000000000001</c:v>
                </c:pt>
                <c:pt idx="5">
                  <c:v>12.251899999999999</c:v>
                </c:pt>
                <c:pt idx="6">
                  <c:v>12.786099999999999</c:v>
                </c:pt>
                <c:pt idx="7">
                  <c:v>12.5108</c:v>
                </c:pt>
                <c:pt idx="8">
                  <c:v>12.692</c:v>
                </c:pt>
                <c:pt idx="9">
                  <c:v>12.468999999999999</c:v>
                </c:pt>
                <c:pt idx="10">
                  <c:v>12.3263</c:v>
                </c:pt>
                <c:pt idx="11">
                  <c:v>13.099399999999999</c:v>
                </c:pt>
                <c:pt idx="12">
                  <c:v>12.595599999999999</c:v>
                </c:pt>
                <c:pt idx="13">
                  <c:v>13.0229</c:v>
                </c:pt>
                <c:pt idx="14">
                  <c:v>13.1677</c:v>
                </c:pt>
                <c:pt idx="15">
                  <c:v>12.2239</c:v>
                </c:pt>
                <c:pt idx="16">
                  <c:v>12.295500000000001</c:v>
                </c:pt>
                <c:pt idx="17">
                  <c:v>12.334099999999999</c:v>
                </c:pt>
                <c:pt idx="18">
                  <c:v>12.0527</c:v>
                </c:pt>
                <c:pt idx="19">
                  <c:v>11.3964</c:v>
                </c:pt>
                <c:pt idx="20">
                  <c:v>11.3786</c:v>
                </c:pt>
                <c:pt idx="21">
                  <c:v>12.1653</c:v>
                </c:pt>
                <c:pt idx="22">
                  <c:v>11.313000000000001</c:v>
                </c:pt>
                <c:pt idx="23">
                  <c:v>11.038500000000001</c:v>
                </c:pt>
                <c:pt idx="24">
                  <c:v>11.075699999999999</c:v>
                </c:pt>
                <c:pt idx="25">
                  <c:v>10.683199999999999</c:v>
                </c:pt>
                <c:pt idx="26">
                  <c:v>11.437900000000001</c:v>
                </c:pt>
                <c:pt idx="27">
                  <c:v>12.866899999999999</c:v>
                </c:pt>
                <c:pt idx="28">
                  <c:v>12.7882</c:v>
                </c:pt>
                <c:pt idx="29">
                  <c:v>12.9693</c:v>
                </c:pt>
                <c:pt idx="30">
                  <c:v>12.7798</c:v>
                </c:pt>
                <c:pt idx="31">
                  <c:v>13.1419</c:v>
                </c:pt>
                <c:pt idx="32">
                  <c:v>13.922499999999999</c:v>
                </c:pt>
                <c:pt idx="33">
                  <c:v>14.5069</c:v>
                </c:pt>
                <c:pt idx="34">
                  <c:v>14.2775</c:v>
                </c:pt>
                <c:pt idx="35">
                  <c:v>13.7209</c:v>
                </c:pt>
                <c:pt idx="36">
                  <c:v>14.9521</c:v>
                </c:pt>
                <c:pt idx="37">
                  <c:v>14.7004</c:v>
                </c:pt>
                <c:pt idx="38">
                  <c:v>15.035299999999999</c:v>
                </c:pt>
                <c:pt idx="39">
                  <c:v>14.9434</c:v>
                </c:pt>
                <c:pt idx="40">
                  <c:v>14.909700000000001</c:v>
                </c:pt>
                <c:pt idx="41">
                  <c:v>15.1478</c:v>
                </c:pt>
                <c:pt idx="42">
                  <c:v>14.848800000000001</c:v>
                </c:pt>
                <c:pt idx="43">
                  <c:v>15.2837</c:v>
                </c:pt>
                <c:pt idx="44">
                  <c:v>15.4071</c:v>
                </c:pt>
                <c:pt idx="45">
                  <c:v>16.551200000000001</c:v>
                </c:pt>
                <c:pt idx="46">
                  <c:v>15.7133</c:v>
                </c:pt>
                <c:pt idx="47">
                  <c:v>15.9239</c:v>
                </c:pt>
                <c:pt idx="48">
                  <c:v>15.278499999999999</c:v>
                </c:pt>
                <c:pt idx="49">
                  <c:v>14.952299999999999</c:v>
                </c:pt>
                <c:pt idx="50">
                  <c:v>14.6233</c:v>
                </c:pt>
                <c:pt idx="51">
                  <c:v>14.8279</c:v>
                </c:pt>
                <c:pt idx="52">
                  <c:v>14.4373</c:v>
                </c:pt>
                <c:pt idx="53">
                  <c:v>14.562200000000001</c:v>
                </c:pt>
                <c:pt idx="54">
                  <c:v>14.389799999999999</c:v>
                </c:pt>
                <c:pt idx="55">
                  <c:v>16.266500000000001</c:v>
                </c:pt>
                <c:pt idx="56">
                  <c:v>15.5403</c:v>
                </c:pt>
                <c:pt idx="57">
                  <c:v>15.9757</c:v>
                </c:pt>
                <c:pt idx="58">
                  <c:v>15.365399999999999</c:v>
                </c:pt>
                <c:pt idx="59">
                  <c:v>15.126200000000001</c:v>
                </c:pt>
                <c:pt idx="60">
                  <c:v>14.7013</c:v>
                </c:pt>
                <c:pt idx="61">
                  <c:v>14.4315</c:v>
                </c:pt>
                <c:pt idx="62">
                  <c:v>15.683</c:v>
                </c:pt>
                <c:pt idx="63">
                  <c:v>15.477</c:v>
                </c:pt>
                <c:pt idx="64">
                  <c:v>16.107399999999998</c:v>
                </c:pt>
                <c:pt idx="65">
                  <c:v>15.217000000000001</c:v>
                </c:pt>
                <c:pt idx="66">
                  <c:v>15.2399</c:v>
                </c:pt>
                <c:pt idx="67">
                  <c:v>15.368499999999999</c:v>
                </c:pt>
                <c:pt idx="68">
                  <c:v>13.102600000000001</c:v>
                </c:pt>
                <c:pt idx="69">
                  <c:v>12.8992</c:v>
                </c:pt>
                <c:pt idx="70">
                  <c:v>12.870699999999999</c:v>
                </c:pt>
                <c:pt idx="71">
                  <c:v>14.1288</c:v>
                </c:pt>
                <c:pt idx="72">
                  <c:v>14.53</c:v>
                </c:pt>
                <c:pt idx="73">
                  <c:v>14.947900000000001</c:v>
                </c:pt>
                <c:pt idx="74">
                  <c:v>14.872400000000001</c:v>
                </c:pt>
                <c:pt idx="75">
                  <c:v>15.029199999999999</c:v>
                </c:pt>
                <c:pt idx="76">
                  <c:v>15.337</c:v>
                </c:pt>
                <c:pt idx="77">
                  <c:v>15.164099999999999</c:v>
                </c:pt>
                <c:pt idx="78">
                  <c:v>15.5809</c:v>
                </c:pt>
                <c:pt idx="79">
                  <c:v>16.053000000000001</c:v>
                </c:pt>
                <c:pt idx="80">
                  <c:v>16.594200000000001</c:v>
                </c:pt>
                <c:pt idx="81">
                  <c:v>14.986599999999999</c:v>
                </c:pt>
                <c:pt idx="82">
                  <c:v>14.711600000000001</c:v>
                </c:pt>
                <c:pt idx="83">
                  <c:v>14.3185</c:v>
                </c:pt>
                <c:pt idx="84">
                  <c:v>14.4497</c:v>
                </c:pt>
                <c:pt idx="85">
                  <c:v>14.274699999999999</c:v>
                </c:pt>
                <c:pt idx="86">
                  <c:v>14.0039</c:v>
                </c:pt>
                <c:pt idx="87">
                  <c:v>14.317299999999999</c:v>
                </c:pt>
                <c:pt idx="88">
                  <c:v>14.2676</c:v>
                </c:pt>
                <c:pt idx="89">
                  <c:v>14.7667</c:v>
                </c:pt>
                <c:pt idx="90">
                  <c:v>14.385899999999999</c:v>
                </c:pt>
                <c:pt idx="91">
                  <c:v>14.830500000000001</c:v>
                </c:pt>
                <c:pt idx="92">
                  <c:v>14.6431</c:v>
                </c:pt>
                <c:pt idx="93">
                  <c:v>14.838200000000001</c:v>
                </c:pt>
                <c:pt idx="94">
                  <c:v>14.5609</c:v>
                </c:pt>
                <c:pt idx="95">
                  <c:v>16.191700000000001</c:v>
                </c:pt>
                <c:pt idx="96">
                  <c:v>15.8003</c:v>
                </c:pt>
                <c:pt idx="97">
                  <c:v>15.6616</c:v>
                </c:pt>
                <c:pt idx="98">
                  <c:v>15.8177</c:v>
                </c:pt>
                <c:pt idx="99">
                  <c:v>15.876899999999999</c:v>
                </c:pt>
                <c:pt idx="100">
                  <c:v>15.133699999999999</c:v>
                </c:pt>
                <c:pt idx="101">
                  <c:v>15.0017</c:v>
                </c:pt>
                <c:pt idx="102">
                  <c:v>14.507</c:v>
                </c:pt>
                <c:pt idx="103">
                  <c:v>15.0251</c:v>
                </c:pt>
                <c:pt idx="104">
                  <c:v>15.756</c:v>
                </c:pt>
                <c:pt idx="105">
                  <c:v>16.039100000000001</c:v>
                </c:pt>
                <c:pt idx="106">
                  <c:v>16.203099999999999</c:v>
                </c:pt>
                <c:pt idx="107">
                  <c:v>15.4513</c:v>
                </c:pt>
                <c:pt idx="108">
                  <c:v>15.5524</c:v>
                </c:pt>
                <c:pt idx="109">
                  <c:v>15.88</c:v>
                </c:pt>
                <c:pt idx="110">
                  <c:v>17.465599999999998</c:v>
                </c:pt>
                <c:pt idx="111">
                  <c:v>17.2379</c:v>
                </c:pt>
                <c:pt idx="112">
                  <c:v>17.543700000000001</c:v>
                </c:pt>
                <c:pt idx="113">
                  <c:v>17.570799999999998</c:v>
                </c:pt>
                <c:pt idx="114">
                  <c:v>17.5688</c:v>
                </c:pt>
                <c:pt idx="115">
                  <c:v>17.746200000000002</c:v>
                </c:pt>
                <c:pt idx="116">
                  <c:v>17.225300000000001</c:v>
                </c:pt>
                <c:pt idx="117">
                  <c:v>17.314699999999998</c:v>
                </c:pt>
                <c:pt idx="118">
                  <c:v>16.435099999999998</c:v>
                </c:pt>
                <c:pt idx="119">
                  <c:v>16.443000000000001</c:v>
                </c:pt>
                <c:pt idx="120">
                  <c:v>14.9473</c:v>
                </c:pt>
                <c:pt idx="121">
                  <c:v>15.200699999999999</c:v>
                </c:pt>
                <c:pt idx="122">
                  <c:v>14.8652</c:v>
                </c:pt>
                <c:pt idx="123">
                  <c:v>14.427</c:v>
                </c:pt>
                <c:pt idx="124">
                  <c:v>13.1211</c:v>
                </c:pt>
                <c:pt idx="125">
                  <c:v>13.2585</c:v>
                </c:pt>
                <c:pt idx="126">
                  <c:v>13.2843</c:v>
                </c:pt>
                <c:pt idx="127">
                  <c:v>13.412800000000001</c:v>
                </c:pt>
                <c:pt idx="128">
                  <c:v>13.0754</c:v>
                </c:pt>
                <c:pt idx="129">
                  <c:v>13.469799999999999</c:v>
                </c:pt>
                <c:pt idx="130">
                  <c:v>13.4686</c:v>
                </c:pt>
                <c:pt idx="131">
                  <c:v>13.4956</c:v>
                </c:pt>
                <c:pt idx="132">
                  <c:v>13.127000000000001</c:v>
                </c:pt>
                <c:pt idx="133">
                  <c:v>12.7402</c:v>
                </c:pt>
                <c:pt idx="134">
                  <c:v>11.462999999999999</c:v>
                </c:pt>
                <c:pt idx="135">
                  <c:v>12.2988</c:v>
                </c:pt>
                <c:pt idx="136">
                  <c:v>11.993</c:v>
                </c:pt>
                <c:pt idx="137">
                  <c:v>11.1371</c:v>
                </c:pt>
                <c:pt idx="138">
                  <c:v>11.697699999999999</c:v>
                </c:pt>
                <c:pt idx="139">
                  <c:v>11.5023</c:v>
                </c:pt>
                <c:pt idx="140">
                  <c:v>11.0976</c:v>
                </c:pt>
                <c:pt idx="141">
                  <c:v>10.3124</c:v>
                </c:pt>
                <c:pt idx="142">
                  <c:v>10.3047</c:v>
                </c:pt>
                <c:pt idx="143">
                  <c:v>10.5534</c:v>
                </c:pt>
                <c:pt idx="144">
                  <c:v>9.9632000000000005</c:v>
                </c:pt>
                <c:pt idx="145">
                  <c:v>9.5018999999999991</c:v>
                </c:pt>
                <c:pt idx="146">
                  <c:v>9.3338999999999999</c:v>
                </c:pt>
                <c:pt idx="147">
                  <c:v>9.7775999999999996</c:v>
                </c:pt>
                <c:pt idx="148">
                  <c:v>9.4596999999999998</c:v>
                </c:pt>
                <c:pt idx="149">
                  <c:v>10.0054</c:v>
                </c:pt>
                <c:pt idx="150">
                  <c:v>8.9265000000000008</c:v>
                </c:pt>
                <c:pt idx="151">
                  <c:v>8.6434999999999995</c:v>
                </c:pt>
                <c:pt idx="152">
                  <c:v>7.9992000000000001</c:v>
                </c:pt>
                <c:pt idx="153">
                  <c:v>7.8230000000000004</c:v>
                </c:pt>
                <c:pt idx="154">
                  <c:v>7.9950999999999999</c:v>
                </c:pt>
              </c:numCache>
            </c:numRef>
          </c:val>
          <c:smooth val="0"/>
          <c:extLst>
            <c:ext xmlns:c16="http://schemas.microsoft.com/office/drawing/2014/chart" uri="{C3380CC4-5D6E-409C-BE32-E72D297353CC}">
              <c16:uniqueId val="{00000000-D72A-4DDA-A333-B3FDE0305032}"/>
            </c:ext>
          </c:extLst>
        </c:ser>
        <c:ser>
          <c:idx val="1"/>
          <c:order val="1"/>
          <c:tx>
            <c:strRef>
              <c:f>Inputs!$B$21</c:f>
              <c:strCache>
                <c:ptCount val="1"/>
                <c:pt idx="0">
                  <c:v>UNITED PARCEL-B</c:v>
                </c:pt>
              </c:strCache>
            </c:strRef>
          </c:tx>
          <c:spPr>
            <a:ln w="28575" cap="rnd">
              <a:solidFill>
                <a:schemeClr val="accent2"/>
              </a:solidFill>
              <a:round/>
            </a:ln>
            <a:effectLst/>
          </c:spPr>
          <c:marker>
            <c:symbol val="none"/>
          </c:marker>
          <c:cat>
            <c:numRef>
              <c:f>'Stock Data'!$B$5:$B$159</c:f>
              <c:numCache>
                <c:formatCode>m/d/yyyy</c:formatCode>
                <c:ptCount val="155"/>
                <c:pt idx="0">
                  <c:v>45938</c:v>
                </c:pt>
                <c:pt idx="1">
                  <c:v>45931</c:v>
                </c:pt>
                <c:pt idx="2">
                  <c:v>45924</c:v>
                </c:pt>
                <c:pt idx="3">
                  <c:v>45917</c:v>
                </c:pt>
                <c:pt idx="4">
                  <c:v>45910</c:v>
                </c:pt>
                <c:pt idx="5">
                  <c:v>45903</c:v>
                </c:pt>
                <c:pt idx="6">
                  <c:v>45896</c:v>
                </c:pt>
                <c:pt idx="7">
                  <c:v>45889</c:v>
                </c:pt>
                <c:pt idx="8">
                  <c:v>45882</c:v>
                </c:pt>
                <c:pt idx="9">
                  <c:v>45875</c:v>
                </c:pt>
                <c:pt idx="10">
                  <c:v>45868</c:v>
                </c:pt>
                <c:pt idx="11">
                  <c:v>45861</c:v>
                </c:pt>
                <c:pt idx="12">
                  <c:v>45854</c:v>
                </c:pt>
                <c:pt idx="13">
                  <c:v>45847</c:v>
                </c:pt>
                <c:pt idx="14">
                  <c:v>45840</c:v>
                </c:pt>
                <c:pt idx="15">
                  <c:v>45833</c:v>
                </c:pt>
                <c:pt idx="16">
                  <c:v>45826</c:v>
                </c:pt>
                <c:pt idx="17">
                  <c:v>45819</c:v>
                </c:pt>
                <c:pt idx="18">
                  <c:v>45812</c:v>
                </c:pt>
                <c:pt idx="19">
                  <c:v>45805</c:v>
                </c:pt>
                <c:pt idx="20">
                  <c:v>45798</c:v>
                </c:pt>
                <c:pt idx="21">
                  <c:v>45791</c:v>
                </c:pt>
                <c:pt idx="22">
                  <c:v>45784</c:v>
                </c:pt>
                <c:pt idx="23">
                  <c:v>45777</c:v>
                </c:pt>
                <c:pt idx="24">
                  <c:v>45770</c:v>
                </c:pt>
                <c:pt idx="25">
                  <c:v>45763</c:v>
                </c:pt>
                <c:pt idx="26">
                  <c:v>45756</c:v>
                </c:pt>
                <c:pt idx="27">
                  <c:v>45749</c:v>
                </c:pt>
                <c:pt idx="28">
                  <c:v>45742</c:v>
                </c:pt>
                <c:pt idx="29">
                  <c:v>45735</c:v>
                </c:pt>
                <c:pt idx="30">
                  <c:v>45728</c:v>
                </c:pt>
                <c:pt idx="31">
                  <c:v>45721</c:v>
                </c:pt>
                <c:pt idx="32">
                  <c:v>45714</c:v>
                </c:pt>
                <c:pt idx="33">
                  <c:v>45707</c:v>
                </c:pt>
                <c:pt idx="34">
                  <c:v>45700</c:v>
                </c:pt>
                <c:pt idx="35">
                  <c:v>45693</c:v>
                </c:pt>
                <c:pt idx="36">
                  <c:v>45686</c:v>
                </c:pt>
                <c:pt idx="37">
                  <c:v>45679</c:v>
                </c:pt>
                <c:pt idx="38">
                  <c:v>45672</c:v>
                </c:pt>
                <c:pt idx="39">
                  <c:v>45665</c:v>
                </c:pt>
                <c:pt idx="40">
                  <c:v>45658</c:v>
                </c:pt>
                <c:pt idx="41">
                  <c:v>45651</c:v>
                </c:pt>
                <c:pt idx="42">
                  <c:v>45644</c:v>
                </c:pt>
                <c:pt idx="43">
                  <c:v>45637</c:v>
                </c:pt>
                <c:pt idx="44">
                  <c:v>45630</c:v>
                </c:pt>
                <c:pt idx="45">
                  <c:v>45623</c:v>
                </c:pt>
                <c:pt idx="46">
                  <c:v>45616</c:v>
                </c:pt>
                <c:pt idx="47">
                  <c:v>45609</c:v>
                </c:pt>
                <c:pt idx="48">
                  <c:v>45602</c:v>
                </c:pt>
                <c:pt idx="49">
                  <c:v>45595</c:v>
                </c:pt>
                <c:pt idx="50">
                  <c:v>45588</c:v>
                </c:pt>
                <c:pt idx="51">
                  <c:v>45581</c:v>
                </c:pt>
                <c:pt idx="52">
                  <c:v>45574</c:v>
                </c:pt>
                <c:pt idx="53">
                  <c:v>45567</c:v>
                </c:pt>
                <c:pt idx="54">
                  <c:v>45560</c:v>
                </c:pt>
                <c:pt idx="55">
                  <c:v>45553</c:v>
                </c:pt>
                <c:pt idx="56">
                  <c:v>45546</c:v>
                </c:pt>
                <c:pt idx="57">
                  <c:v>45539</c:v>
                </c:pt>
                <c:pt idx="58">
                  <c:v>45532</c:v>
                </c:pt>
                <c:pt idx="59">
                  <c:v>45525</c:v>
                </c:pt>
                <c:pt idx="60">
                  <c:v>45518</c:v>
                </c:pt>
                <c:pt idx="61">
                  <c:v>45511</c:v>
                </c:pt>
                <c:pt idx="62">
                  <c:v>45504</c:v>
                </c:pt>
                <c:pt idx="63">
                  <c:v>45497</c:v>
                </c:pt>
                <c:pt idx="64">
                  <c:v>45490</c:v>
                </c:pt>
                <c:pt idx="65">
                  <c:v>45483</c:v>
                </c:pt>
                <c:pt idx="66">
                  <c:v>45476</c:v>
                </c:pt>
                <c:pt idx="67">
                  <c:v>45469</c:v>
                </c:pt>
                <c:pt idx="68">
                  <c:v>45462</c:v>
                </c:pt>
                <c:pt idx="69">
                  <c:v>45455</c:v>
                </c:pt>
                <c:pt idx="70">
                  <c:v>45448</c:v>
                </c:pt>
                <c:pt idx="71">
                  <c:v>45441</c:v>
                </c:pt>
                <c:pt idx="72">
                  <c:v>45434</c:v>
                </c:pt>
                <c:pt idx="73">
                  <c:v>45427</c:v>
                </c:pt>
                <c:pt idx="74">
                  <c:v>45420</c:v>
                </c:pt>
                <c:pt idx="75">
                  <c:v>45413</c:v>
                </c:pt>
                <c:pt idx="76">
                  <c:v>45406</c:v>
                </c:pt>
                <c:pt idx="77">
                  <c:v>45399</c:v>
                </c:pt>
                <c:pt idx="78">
                  <c:v>45392</c:v>
                </c:pt>
                <c:pt idx="79">
                  <c:v>45385</c:v>
                </c:pt>
                <c:pt idx="80">
                  <c:v>45378</c:v>
                </c:pt>
                <c:pt idx="81">
                  <c:v>45371</c:v>
                </c:pt>
                <c:pt idx="82">
                  <c:v>45364</c:v>
                </c:pt>
                <c:pt idx="83">
                  <c:v>45357</c:v>
                </c:pt>
                <c:pt idx="84">
                  <c:v>45350</c:v>
                </c:pt>
                <c:pt idx="85">
                  <c:v>45343</c:v>
                </c:pt>
                <c:pt idx="86">
                  <c:v>45336</c:v>
                </c:pt>
                <c:pt idx="87">
                  <c:v>45329</c:v>
                </c:pt>
                <c:pt idx="88">
                  <c:v>45322</c:v>
                </c:pt>
                <c:pt idx="89">
                  <c:v>45315</c:v>
                </c:pt>
                <c:pt idx="90">
                  <c:v>45308</c:v>
                </c:pt>
                <c:pt idx="91">
                  <c:v>45301</c:v>
                </c:pt>
                <c:pt idx="92">
                  <c:v>45294</c:v>
                </c:pt>
                <c:pt idx="93">
                  <c:v>45287</c:v>
                </c:pt>
                <c:pt idx="94">
                  <c:v>45280</c:v>
                </c:pt>
                <c:pt idx="95">
                  <c:v>45273</c:v>
                </c:pt>
                <c:pt idx="96">
                  <c:v>45266</c:v>
                </c:pt>
                <c:pt idx="97">
                  <c:v>45259</c:v>
                </c:pt>
                <c:pt idx="98">
                  <c:v>45252</c:v>
                </c:pt>
                <c:pt idx="99">
                  <c:v>45245</c:v>
                </c:pt>
                <c:pt idx="100">
                  <c:v>45238</c:v>
                </c:pt>
                <c:pt idx="101">
                  <c:v>45231</c:v>
                </c:pt>
                <c:pt idx="102">
                  <c:v>45224</c:v>
                </c:pt>
                <c:pt idx="103">
                  <c:v>45217</c:v>
                </c:pt>
                <c:pt idx="104">
                  <c:v>45210</c:v>
                </c:pt>
                <c:pt idx="105">
                  <c:v>45203</c:v>
                </c:pt>
                <c:pt idx="106">
                  <c:v>45196</c:v>
                </c:pt>
                <c:pt idx="107">
                  <c:v>45189</c:v>
                </c:pt>
                <c:pt idx="108">
                  <c:v>45182</c:v>
                </c:pt>
                <c:pt idx="109">
                  <c:v>45175</c:v>
                </c:pt>
                <c:pt idx="110">
                  <c:v>45168</c:v>
                </c:pt>
                <c:pt idx="111">
                  <c:v>45161</c:v>
                </c:pt>
                <c:pt idx="112">
                  <c:v>45154</c:v>
                </c:pt>
                <c:pt idx="113">
                  <c:v>45147</c:v>
                </c:pt>
                <c:pt idx="114">
                  <c:v>45140</c:v>
                </c:pt>
                <c:pt idx="115">
                  <c:v>45133</c:v>
                </c:pt>
                <c:pt idx="116">
                  <c:v>45126</c:v>
                </c:pt>
                <c:pt idx="117">
                  <c:v>45119</c:v>
                </c:pt>
                <c:pt idx="118">
                  <c:v>45112</c:v>
                </c:pt>
                <c:pt idx="119">
                  <c:v>45105</c:v>
                </c:pt>
                <c:pt idx="120">
                  <c:v>45098</c:v>
                </c:pt>
                <c:pt idx="121">
                  <c:v>45091</c:v>
                </c:pt>
                <c:pt idx="122">
                  <c:v>45084</c:v>
                </c:pt>
                <c:pt idx="123">
                  <c:v>45077</c:v>
                </c:pt>
                <c:pt idx="124">
                  <c:v>45070</c:v>
                </c:pt>
                <c:pt idx="125">
                  <c:v>45063</c:v>
                </c:pt>
                <c:pt idx="126">
                  <c:v>45056</c:v>
                </c:pt>
                <c:pt idx="127">
                  <c:v>45049</c:v>
                </c:pt>
                <c:pt idx="128">
                  <c:v>45042</c:v>
                </c:pt>
                <c:pt idx="129">
                  <c:v>45035</c:v>
                </c:pt>
                <c:pt idx="130">
                  <c:v>45028</c:v>
                </c:pt>
                <c:pt idx="131">
                  <c:v>45021</c:v>
                </c:pt>
                <c:pt idx="132">
                  <c:v>45014</c:v>
                </c:pt>
                <c:pt idx="133">
                  <c:v>45007</c:v>
                </c:pt>
                <c:pt idx="134">
                  <c:v>45000</c:v>
                </c:pt>
                <c:pt idx="135">
                  <c:v>44993</c:v>
                </c:pt>
                <c:pt idx="136">
                  <c:v>44986</c:v>
                </c:pt>
                <c:pt idx="137">
                  <c:v>44979</c:v>
                </c:pt>
                <c:pt idx="138">
                  <c:v>44972</c:v>
                </c:pt>
                <c:pt idx="139">
                  <c:v>44965</c:v>
                </c:pt>
                <c:pt idx="140">
                  <c:v>44958</c:v>
                </c:pt>
                <c:pt idx="141">
                  <c:v>44951</c:v>
                </c:pt>
                <c:pt idx="142">
                  <c:v>44944</c:v>
                </c:pt>
                <c:pt idx="143">
                  <c:v>44937</c:v>
                </c:pt>
                <c:pt idx="144">
                  <c:v>44930</c:v>
                </c:pt>
                <c:pt idx="145">
                  <c:v>44923</c:v>
                </c:pt>
                <c:pt idx="146">
                  <c:v>44916</c:v>
                </c:pt>
                <c:pt idx="147">
                  <c:v>44909</c:v>
                </c:pt>
                <c:pt idx="148">
                  <c:v>44902</c:v>
                </c:pt>
                <c:pt idx="149">
                  <c:v>44895</c:v>
                </c:pt>
                <c:pt idx="150">
                  <c:v>44888</c:v>
                </c:pt>
                <c:pt idx="151">
                  <c:v>44881</c:v>
                </c:pt>
                <c:pt idx="152">
                  <c:v>44874</c:v>
                </c:pt>
                <c:pt idx="153">
                  <c:v>44867</c:v>
                </c:pt>
                <c:pt idx="154">
                  <c:v>44860</c:v>
                </c:pt>
              </c:numCache>
            </c:numRef>
          </c:cat>
          <c:val>
            <c:numRef>
              <c:f>'Stock Data'!$K$5:$K$159</c:f>
              <c:numCache>
                <c:formatCode>0.0</c:formatCode>
                <c:ptCount val="155"/>
                <c:pt idx="0">
                  <c:v>10.901</c:v>
                </c:pt>
                <c:pt idx="1">
                  <c:v>10.901</c:v>
                </c:pt>
                <c:pt idx="2">
                  <c:v>10.839</c:v>
                </c:pt>
                <c:pt idx="3">
                  <c:v>10.8752</c:v>
                </c:pt>
                <c:pt idx="4">
                  <c:v>10.832599999999999</c:v>
                </c:pt>
                <c:pt idx="5">
                  <c:v>11.018599999999999</c:v>
                </c:pt>
                <c:pt idx="6">
                  <c:v>11.3506</c:v>
                </c:pt>
                <c:pt idx="7">
                  <c:v>11.2318</c:v>
                </c:pt>
                <c:pt idx="8">
                  <c:v>11.391999999999999</c:v>
                </c:pt>
                <c:pt idx="9">
                  <c:v>11.1426</c:v>
                </c:pt>
                <c:pt idx="10">
                  <c:v>11.2628</c:v>
                </c:pt>
                <c:pt idx="11">
                  <c:v>13.375</c:v>
                </c:pt>
                <c:pt idx="12">
                  <c:v>12.8712</c:v>
                </c:pt>
                <c:pt idx="13">
                  <c:v>13.1967</c:v>
                </c:pt>
                <c:pt idx="14">
                  <c:v>13.6347</c:v>
                </c:pt>
                <c:pt idx="15">
                  <c:v>12.448399999999999</c:v>
                </c:pt>
                <c:pt idx="16">
                  <c:v>12.4284</c:v>
                </c:pt>
                <c:pt idx="17">
                  <c:v>12.672700000000001</c:v>
                </c:pt>
                <c:pt idx="18">
                  <c:v>12.345700000000001</c:v>
                </c:pt>
                <c:pt idx="19">
                  <c:v>12.119</c:v>
                </c:pt>
                <c:pt idx="20">
                  <c:v>12.0075</c:v>
                </c:pt>
                <c:pt idx="21">
                  <c:v>12.483499999999999</c:v>
                </c:pt>
                <c:pt idx="22">
                  <c:v>11.7707</c:v>
                </c:pt>
                <c:pt idx="23">
                  <c:v>11.938599999999999</c:v>
                </c:pt>
                <c:pt idx="24">
                  <c:v>12.177899999999999</c:v>
                </c:pt>
                <c:pt idx="25">
                  <c:v>11.800800000000001</c:v>
                </c:pt>
                <c:pt idx="26">
                  <c:v>12.4848</c:v>
                </c:pt>
                <c:pt idx="27">
                  <c:v>13.805199999999999</c:v>
                </c:pt>
                <c:pt idx="28">
                  <c:v>14.042999999999999</c:v>
                </c:pt>
                <c:pt idx="29">
                  <c:v>14.860200000000001</c:v>
                </c:pt>
                <c:pt idx="30">
                  <c:v>14.5806</c:v>
                </c:pt>
                <c:pt idx="31">
                  <c:v>15.0563</c:v>
                </c:pt>
                <c:pt idx="32">
                  <c:v>14.786799999999999</c:v>
                </c:pt>
                <c:pt idx="33">
                  <c:v>14.547800000000001</c:v>
                </c:pt>
                <c:pt idx="34">
                  <c:v>14.4541</c:v>
                </c:pt>
                <c:pt idx="35">
                  <c:v>14.1556</c:v>
                </c:pt>
                <c:pt idx="36">
                  <c:v>16.923500000000001</c:v>
                </c:pt>
                <c:pt idx="37">
                  <c:v>16.767900000000001</c:v>
                </c:pt>
                <c:pt idx="38">
                  <c:v>16.1252</c:v>
                </c:pt>
                <c:pt idx="39">
                  <c:v>16.035399999999999</c:v>
                </c:pt>
                <c:pt idx="40">
                  <c:v>15.6698</c:v>
                </c:pt>
                <c:pt idx="41">
                  <c:v>17.315200000000001</c:v>
                </c:pt>
                <c:pt idx="42">
                  <c:v>16.967099999999999</c:v>
                </c:pt>
                <c:pt idx="43">
                  <c:v>17.6934</c:v>
                </c:pt>
                <c:pt idx="44">
                  <c:v>17.646799999999999</c:v>
                </c:pt>
                <c:pt idx="45">
                  <c:v>18.592300000000002</c:v>
                </c:pt>
                <c:pt idx="46">
                  <c:v>18.1004</c:v>
                </c:pt>
                <c:pt idx="47">
                  <c:v>18.318300000000001</c:v>
                </c:pt>
                <c:pt idx="48">
                  <c:v>18.351199999999999</c:v>
                </c:pt>
                <c:pt idx="49">
                  <c:v>18.334700000000002</c:v>
                </c:pt>
                <c:pt idx="50">
                  <c:v>18.007200000000001</c:v>
                </c:pt>
                <c:pt idx="51">
                  <c:v>18.6143</c:v>
                </c:pt>
                <c:pt idx="52">
                  <c:v>18.225100000000001</c:v>
                </c:pt>
                <c:pt idx="53">
                  <c:v>18.226500000000001</c:v>
                </c:pt>
                <c:pt idx="54">
                  <c:v>18.9846</c:v>
                </c:pt>
                <c:pt idx="55">
                  <c:v>18.860399999999998</c:v>
                </c:pt>
                <c:pt idx="56">
                  <c:v>18.5501</c:v>
                </c:pt>
                <c:pt idx="57">
                  <c:v>18.610700000000001</c:v>
                </c:pt>
                <c:pt idx="58">
                  <c:v>18.360900000000001</c:v>
                </c:pt>
                <c:pt idx="59">
                  <c:v>18.4634</c:v>
                </c:pt>
                <c:pt idx="60">
                  <c:v>18.2498</c:v>
                </c:pt>
                <c:pt idx="61">
                  <c:v>17.802299999999999</c:v>
                </c:pt>
                <c:pt idx="62">
                  <c:v>18.82</c:v>
                </c:pt>
                <c:pt idx="63">
                  <c:v>18.554400000000001</c:v>
                </c:pt>
                <c:pt idx="64">
                  <c:v>21.275500000000001</c:v>
                </c:pt>
                <c:pt idx="65">
                  <c:v>19.5822</c:v>
                </c:pt>
                <c:pt idx="66">
                  <c:v>19.567799999999998</c:v>
                </c:pt>
                <c:pt idx="67">
                  <c:v>17.978899999999999</c:v>
                </c:pt>
                <c:pt idx="68">
                  <c:v>17.8123</c:v>
                </c:pt>
                <c:pt idx="69">
                  <c:v>17.754999999999999</c:v>
                </c:pt>
                <c:pt idx="70">
                  <c:v>17.903400000000001</c:v>
                </c:pt>
                <c:pt idx="71">
                  <c:v>17.4922</c:v>
                </c:pt>
                <c:pt idx="72">
                  <c:v>18.7103</c:v>
                </c:pt>
                <c:pt idx="73">
                  <c:v>19.253</c:v>
                </c:pt>
                <c:pt idx="74">
                  <c:v>19.230799999999999</c:v>
                </c:pt>
                <c:pt idx="75">
                  <c:v>18.990100000000002</c:v>
                </c:pt>
                <c:pt idx="76">
                  <c:v>19.081199999999999</c:v>
                </c:pt>
                <c:pt idx="77">
                  <c:v>18.512499999999999</c:v>
                </c:pt>
                <c:pt idx="78">
                  <c:v>19.1645</c:v>
                </c:pt>
                <c:pt idx="79">
                  <c:v>19.816500000000001</c:v>
                </c:pt>
                <c:pt idx="80">
                  <c:v>17.422999999999998</c:v>
                </c:pt>
                <c:pt idx="81">
                  <c:v>18.3017</c:v>
                </c:pt>
                <c:pt idx="82">
                  <c:v>18.3017</c:v>
                </c:pt>
                <c:pt idx="83">
                  <c:v>18.040299999999998</c:v>
                </c:pt>
                <c:pt idx="84">
                  <c:v>17.475000000000001</c:v>
                </c:pt>
                <c:pt idx="85">
                  <c:v>17.534199999999998</c:v>
                </c:pt>
                <c:pt idx="86">
                  <c:v>17.055199999999999</c:v>
                </c:pt>
                <c:pt idx="87">
                  <c:v>17.412400000000002</c:v>
                </c:pt>
                <c:pt idx="88">
                  <c:v>16.780899999999999</c:v>
                </c:pt>
                <c:pt idx="89">
                  <c:v>18.5169</c:v>
                </c:pt>
                <c:pt idx="90">
                  <c:v>18.277999999999999</c:v>
                </c:pt>
                <c:pt idx="91">
                  <c:v>19.0656</c:v>
                </c:pt>
                <c:pt idx="92">
                  <c:v>18.630400000000002</c:v>
                </c:pt>
                <c:pt idx="93">
                  <c:v>15.8019</c:v>
                </c:pt>
                <c:pt idx="94">
                  <c:v>15.814</c:v>
                </c:pt>
                <c:pt idx="95">
                  <c:v>15.8432</c:v>
                </c:pt>
                <c:pt idx="96">
                  <c:v>15.6457</c:v>
                </c:pt>
                <c:pt idx="97">
                  <c:v>15.343500000000001</c:v>
                </c:pt>
                <c:pt idx="98">
                  <c:v>15.1883</c:v>
                </c:pt>
                <c:pt idx="99">
                  <c:v>14.8276</c:v>
                </c:pt>
                <c:pt idx="100">
                  <c:v>14.3017</c:v>
                </c:pt>
                <c:pt idx="101">
                  <c:v>14.085100000000001</c:v>
                </c:pt>
                <c:pt idx="102">
                  <c:v>14.8035</c:v>
                </c:pt>
                <c:pt idx="103">
                  <c:v>15.4976</c:v>
                </c:pt>
                <c:pt idx="104">
                  <c:v>15.646699999999999</c:v>
                </c:pt>
                <c:pt idx="105">
                  <c:v>15.4876</c:v>
                </c:pt>
                <c:pt idx="106">
                  <c:v>13.4269</c:v>
                </c:pt>
                <c:pt idx="107">
                  <c:v>13.887600000000001</c:v>
                </c:pt>
                <c:pt idx="108">
                  <c:v>13.9053</c:v>
                </c:pt>
                <c:pt idx="109">
                  <c:v>14.298999999999999</c:v>
                </c:pt>
                <c:pt idx="110">
                  <c:v>15.153600000000001</c:v>
                </c:pt>
                <c:pt idx="111">
                  <c:v>14.877800000000001</c:v>
                </c:pt>
                <c:pt idx="112">
                  <c:v>15.041700000000001</c:v>
                </c:pt>
                <c:pt idx="113">
                  <c:v>15.802</c:v>
                </c:pt>
                <c:pt idx="114">
                  <c:v>16.1526</c:v>
                </c:pt>
                <c:pt idx="115">
                  <c:v>16.244199999999999</c:v>
                </c:pt>
                <c:pt idx="116">
                  <c:v>16.387799999999999</c:v>
                </c:pt>
                <c:pt idx="117">
                  <c:v>16.429200000000002</c:v>
                </c:pt>
                <c:pt idx="118">
                  <c:v>15.854799999999999</c:v>
                </c:pt>
                <c:pt idx="119">
                  <c:v>14.5252</c:v>
                </c:pt>
                <c:pt idx="120">
                  <c:v>14.3573</c:v>
                </c:pt>
                <c:pt idx="121">
                  <c:v>14.460699999999999</c:v>
                </c:pt>
                <c:pt idx="122">
                  <c:v>14.1812</c:v>
                </c:pt>
                <c:pt idx="123">
                  <c:v>13.809100000000001</c:v>
                </c:pt>
                <c:pt idx="124">
                  <c:v>13.868600000000001</c:v>
                </c:pt>
                <c:pt idx="125">
                  <c:v>14.169600000000001</c:v>
                </c:pt>
                <c:pt idx="126">
                  <c:v>14.186999999999999</c:v>
                </c:pt>
                <c:pt idx="127">
                  <c:v>14.539199999999999</c:v>
                </c:pt>
                <c:pt idx="128">
                  <c:v>14.2697</c:v>
                </c:pt>
                <c:pt idx="129">
                  <c:v>16.209599999999998</c:v>
                </c:pt>
                <c:pt idx="130">
                  <c:v>15.698600000000001</c:v>
                </c:pt>
                <c:pt idx="131">
                  <c:v>15.661300000000001</c:v>
                </c:pt>
                <c:pt idx="132">
                  <c:v>14.791399999999999</c:v>
                </c:pt>
                <c:pt idx="133">
                  <c:v>14.333299999999999</c:v>
                </c:pt>
                <c:pt idx="134">
                  <c:v>14.242100000000001</c:v>
                </c:pt>
                <c:pt idx="135">
                  <c:v>14.237500000000001</c:v>
                </c:pt>
                <c:pt idx="136">
                  <c:v>14.1433</c:v>
                </c:pt>
                <c:pt idx="137">
                  <c:v>13.6434</c:v>
                </c:pt>
                <c:pt idx="138">
                  <c:v>14.4337</c:v>
                </c:pt>
                <c:pt idx="139">
                  <c:v>14.396599999999999</c:v>
                </c:pt>
                <c:pt idx="140">
                  <c:v>14.29</c:v>
                </c:pt>
                <c:pt idx="141">
                  <c:v>13.709099999999999</c:v>
                </c:pt>
                <c:pt idx="142">
                  <c:v>13.651899999999999</c:v>
                </c:pt>
                <c:pt idx="143">
                  <c:v>14.0776</c:v>
                </c:pt>
                <c:pt idx="144">
                  <c:v>13.6821</c:v>
                </c:pt>
                <c:pt idx="145">
                  <c:v>13.442399999999999</c:v>
                </c:pt>
                <c:pt idx="146">
                  <c:v>13.680099999999999</c:v>
                </c:pt>
                <c:pt idx="147">
                  <c:v>14.270899999999999</c:v>
                </c:pt>
                <c:pt idx="148">
                  <c:v>13.5245</c:v>
                </c:pt>
                <c:pt idx="149">
                  <c:v>14.6906</c:v>
                </c:pt>
                <c:pt idx="150">
                  <c:v>14.1571</c:v>
                </c:pt>
                <c:pt idx="151">
                  <c:v>13.7095</c:v>
                </c:pt>
                <c:pt idx="152">
                  <c:v>12.6991</c:v>
                </c:pt>
                <c:pt idx="153">
                  <c:v>12.7432</c:v>
                </c:pt>
                <c:pt idx="154">
                  <c:v>13.0847</c:v>
                </c:pt>
              </c:numCache>
            </c:numRef>
          </c:val>
          <c:smooth val="0"/>
          <c:extLst>
            <c:ext xmlns:c16="http://schemas.microsoft.com/office/drawing/2014/chart" uri="{C3380CC4-5D6E-409C-BE32-E72D297353CC}">
              <c16:uniqueId val="{00000001-D72A-4DDA-A333-B3FDE0305032}"/>
            </c:ext>
          </c:extLst>
        </c:ser>
        <c:ser>
          <c:idx val="2"/>
          <c:order val="2"/>
          <c:tx>
            <c:strRef>
              <c:f>Inputs!$B$22</c:f>
              <c:strCache>
                <c:ptCount val="1"/>
                <c:pt idx="0">
                  <c:v>DHL GROUP</c:v>
                </c:pt>
              </c:strCache>
            </c:strRef>
          </c:tx>
          <c:spPr>
            <a:ln w="28575" cap="rnd">
              <a:solidFill>
                <a:schemeClr val="accent3"/>
              </a:solidFill>
              <a:round/>
            </a:ln>
            <a:effectLst/>
          </c:spPr>
          <c:marker>
            <c:symbol val="none"/>
          </c:marker>
          <c:cat>
            <c:numRef>
              <c:f>'Stock Data'!$B$5:$B$159</c:f>
              <c:numCache>
                <c:formatCode>m/d/yyyy</c:formatCode>
                <c:ptCount val="155"/>
                <c:pt idx="0">
                  <c:v>45938</c:v>
                </c:pt>
                <c:pt idx="1">
                  <c:v>45931</c:v>
                </c:pt>
                <c:pt idx="2">
                  <c:v>45924</c:v>
                </c:pt>
                <c:pt idx="3">
                  <c:v>45917</c:v>
                </c:pt>
                <c:pt idx="4">
                  <c:v>45910</c:v>
                </c:pt>
                <c:pt idx="5">
                  <c:v>45903</c:v>
                </c:pt>
                <c:pt idx="6">
                  <c:v>45896</c:v>
                </c:pt>
                <c:pt idx="7">
                  <c:v>45889</c:v>
                </c:pt>
                <c:pt idx="8">
                  <c:v>45882</c:v>
                </c:pt>
                <c:pt idx="9">
                  <c:v>45875</c:v>
                </c:pt>
                <c:pt idx="10">
                  <c:v>45868</c:v>
                </c:pt>
                <c:pt idx="11">
                  <c:v>45861</c:v>
                </c:pt>
                <c:pt idx="12">
                  <c:v>45854</c:v>
                </c:pt>
                <c:pt idx="13">
                  <c:v>45847</c:v>
                </c:pt>
                <c:pt idx="14">
                  <c:v>45840</c:v>
                </c:pt>
                <c:pt idx="15">
                  <c:v>45833</c:v>
                </c:pt>
                <c:pt idx="16">
                  <c:v>45826</c:v>
                </c:pt>
                <c:pt idx="17">
                  <c:v>45819</c:v>
                </c:pt>
                <c:pt idx="18">
                  <c:v>45812</c:v>
                </c:pt>
                <c:pt idx="19">
                  <c:v>45805</c:v>
                </c:pt>
                <c:pt idx="20">
                  <c:v>45798</c:v>
                </c:pt>
                <c:pt idx="21">
                  <c:v>45791</c:v>
                </c:pt>
                <c:pt idx="22">
                  <c:v>45784</c:v>
                </c:pt>
                <c:pt idx="23">
                  <c:v>45777</c:v>
                </c:pt>
                <c:pt idx="24">
                  <c:v>45770</c:v>
                </c:pt>
                <c:pt idx="25">
                  <c:v>45763</c:v>
                </c:pt>
                <c:pt idx="26">
                  <c:v>45756</c:v>
                </c:pt>
                <c:pt idx="27">
                  <c:v>45749</c:v>
                </c:pt>
                <c:pt idx="28">
                  <c:v>45742</c:v>
                </c:pt>
                <c:pt idx="29">
                  <c:v>45735</c:v>
                </c:pt>
                <c:pt idx="30">
                  <c:v>45728</c:v>
                </c:pt>
                <c:pt idx="31">
                  <c:v>45721</c:v>
                </c:pt>
                <c:pt idx="32">
                  <c:v>45714</c:v>
                </c:pt>
                <c:pt idx="33">
                  <c:v>45707</c:v>
                </c:pt>
                <c:pt idx="34">
                  <c:v>45700</c:v>
                </c:pt>
                <c:pt idx="35">
                  <c:v>45693</c:v>
                </c:pt>
                <c:pt idx="36">
                  <c:v>45686</c:v>
                </c:pt>
                <c:pt idx="37">
                  <c:v>45679</c:v>
                </c:pt>
                <c:pt idx="38">
                  <c:v>45672</c:v>
                </c:pt>
                <c:pt idx="39">
                  <c:v>45665</c:v>
                </c:pt>
                <c:pt idx="40">
                  <c:v>45658</c:v>
                </c:pt>
                <c:pt idx="41">
                  <c:v>45651</c:v>
                </c:pt>
                <c:pt idx="42">
                  <c:v>45644</c:v>
                </c:pt>
                <c:pt idx="43">
                  <c:v>45637</c:v>
                </c:pt>
                <c:pt idx="44">
                  <c:v>45630</c:v>
                </c:pt>
                <c:pt idx="45">
                  <c:v>45623</c:v>
                </c:pt>
                <c:pt idx="46">
                  <c:v>45616</c:v>
                </c:pt>
                <c:pt idx="47">
                  <c:v>45609</c:v>
                </c:pt>
                <c:pt idx="48">
                  <c:v>45602</c:v>
                </c:pt>
                <c:pt idx="49">
                  <c:v>45595</c:v>
                </c:pt>
                <c:pt idx="50">
                  <c:v>45588</c:v>
                </c:pt>
                <c:pt idx="51">
                  <c:v>45581</c:v>
                </c:pt>
                <c:pt idx="52">
                  <c:v>45574</c:v>
                </c:pt>
                <c:pt idx="53">
                  <c:v>45567</c:v>
                </c:pt>
                <c:pt idx="54">
                  <c:v>45560</c:v>
                </c:pt>
                <c:pt idx="55">
                  <c:v>45553</c:v>
                </c:pt>
                <c:pt idx="56">
                  <c:v>45546</c:v>
                </c:pt>
                <c:pt idx="57">
                  <c:v>45539</c:v>
                </c:pt>
                <c:pt idx="58">
                  <c:v>45532</c:v>
                </c:pt>
                <c:pt idx="59">
                  <c:v>45525</c:v>
                </c:pt>
                <c:pt idx="60">
                  <c:v>45518</c:v>
                </c:pt>
                <c:pt idx="61">
                  <c:v>45511</c:v>
                </c:pt>
                <c:pt idx="62">
                  <c:v>45504</c:v>
                </c:pt>
                <c:pt idx="63">
                  <c:v>45497</c:v>
                </c:pt>
                <c:pt idx="64">
                  <c:v>45490</c:v>
                </c:pt>
                <c:pt idx="65">
                  <c:v>45483</c:v>
                </c:pt>
                <c:pt idx="66">
                  <c:v>45476</c:v>
                </c:pt>
                <c:pt idx="67">
                  <c:v>45469</c:v>
                </c:pt>
                <c:pt idx="68">
                  <c:v>45462</c:v>
                </c:pt>
                <c:pt idx="69">
                  <c:v>45455</c:v>
                </c:pt>
                <c:pt idx="70">
                  <c:v>45448</c:v>
                </c:pt>
                <c:pt idx="71">
                  <c:v>45441</c:v>
                </c:pt>
                <c:pt idx="72">
                  <c:v>45434</c:v>
                </c:pt>
                <c:pt idx="73">
                  <c:v>45427</c:v>
                </c:pt>
                <c:pt idx="74">
                  <c:v>45420</c:v>
                </c:pt>
                <c:pt idx="75">
                  <c:v>45413</c:v>
                </c:pt>
                <c:pt idx="76">
                  <c:v>45406</c:v>
                </c:pt>
                <c:pt idx="77">
                  <c:v>45399</c:v>
                </c:pt>
                <c:pt idx="78">
                  <c:v>45392</c:v>
                </c:pt>
                <c:pt idx="79">
                  <c:v>45385</c:v>
                </c:pt>
                <c:pt idx="80">
                  <c:v>45378</c:v>
                </c:pt>
                <c:pt idx="81">
                  <c:v>45371</c:v>
                </c:pt>
                <c:pt idx="82">
                  <c:v>45364</c:v>
                </c:pt>
                <c:pt idx="83">
                  <c:v>45357</c:v>
                </c:pt>
                <c:pt idx="84">
                  <c:v>45350</c:v>
                </c:pt>
                <c:pt idx="85">
                  <c:v>45343</c:v>
                </c:pt>
                <c:pt idx="86">
                  <c:v>45336</c:v>
                </c:pt>
                <c:pt idx="87">
                  <c:v>45329</c:v>
                </c:pt>
                <c:pt idx="88">
                  <c:v>45322</c:v>
                </c:pt>
                <c:pt idx="89">
                  <c:v>45315</c:v>
                </c:pt>
                <c:pt idx="90">
                  <c:v>45308</c:v>
                </c:pt>
                <c:pt idx="91">
                  <c:v>45301</c:v>
                </c:pt>
                <c:pt idx="92">
                  <c:v>45294</c:v>
                </c:pt>
                <c:pt idx="93">
                  <c:v>45287</c:v>
                </c:pt>
                <c:pt idx="94">
                  <c:v>45280</c:v>
                </c:pt>
                <c:pt idx="95">
                  <c:v>45273</c:v>
                </c:pt>
                <c:pt idx="96">
                  <c:v>45266</c:v>
                </c:pt>
                <c:pt idx="97">
                  <c:v>45259</c:v>
                </c:pt>
                <c:pt idx="98">
                  <c:v>45252</c:v>
                </c:pt>
                <c:pt idx="99">
                  <c:v>45245</c:v>
                </c:pt>
                <c:pt idx="100">
                  <c:v>45238</c:v>
                </c:pt>
                <c:pt idx="101">
                  <c:v>45231</c:v>
                </c:pt>
                <c:pt idx="102">
                  <c:v>45224</c:v>
                </c:pt>
                <c:pt idx="103">
                  <c:v>45217</c:v>
                </c:pt>
                <c:pt idx="104">
                  <c:v>45210</c:v>
                </c:pt>
                <c:pt idx="105">
                  <c:v>45203</c:v>
                </c:pt>
                <c:pt idx="106">
                  <c:v>45196</c:v>
                </c:pt>
                <c:pt idx="107">
                  <c:v>45189</c:v>
                </c:pt>
                <c:pt idx="108">
                  <c:v>45182</c:v>
                </c:pt>
                <c:pt idx="109">
                  <c:v>45175</c:v>
                </c:pt>
                <c:pt idx="110">
                  <c:v>45168</c:v>
                </c:pt>
                <c:pt idx="111">
                  <c:v>45161</c:v>
                </c:pt>
                <c:pt idx="112">
                  <c:v>45154</c:v>
                </c:pt>
                <c:pt idx="113">
                  <c:v>45147</c:v>
                </c:pt>
                <c:pt idx="114">
                  <c:v>45140</c:v>
                </c:pt>
                <c:pt idx="115">
                  <c:v>45133</c:v>
                </c:pt>
                <c:pt idx="116">
                  <c:v>45126</c:v>
                </c:pt>
                <c:pt idx="117">
                  <c:v>45119</c:v>
                </c:pt>
                <c:pt idx="118">
                  <c:v>45112</c:v>
                </c:pt>
                <c:pt idx="119">
                  <c:v>45105</c:v>
                </c:pt>
                <c:pt idx="120">
                  <c:v>45098</c:v>
                </c:pt>
                <c:pt idx="121">
                  <c:v>45091</c:v>
                </c:pt>
                <c:pt idx="122">
                  <c:v>45084</c:v>
                </c:pt>
                <c:pt idx="123">
                  <c:v>45077</c:v>
                </c:pt>
                <c:pt idx="124">
                  <c:v>45070</c:v>
                </c:pt>
                <c:pt idx="125">
                  <c:v>45063</c:v>
                </c:pt>
                <c:pt idx="126">
                  <c:v>45056</c:v>
                </c:pt>
                <c:pt idx="127">
                  <c:v>45049</c:v>
                </c:pt>
                <c:pt idx="128">
                  <c:v>45042</c:v>
                </c:pt>
                <c:pt idx="129">
                  <c:v>45035</c:v>
                </c:pt>
                <c:pt idx="130">
                  <c:v>45028</c:v>
                </c:pt>
                <c:pt idx="131">
                  <c:v>45021</c:v>
                </c:pt>
                <c:pt idx="132">
                  <c:v>45014</c:v>
                </c:pt>
                <c:pt idx="133">
                  <c:v>45007</c:v>
                </c:pt>
                <c:pt idx="134">
                  <c:v>45000</c:v>
                </c:pt>
                <c:pt idx="135">
                  <c:v>44993</c:v>
                </c:pt>
                <c:pt idx="136">
                  <c:v>44986</c:v>
                </c:pt>
                <c:pt idx="137">
                  <c:v>44979</c:v>
                </c:pt>
                <c:pt idx="138">
                  <c:v>44972</c:v>
                </c:pt>
                <c:pt idx="139">
                  <c:v>44965</c:v>
                </c:pt>
                <c:pt idx="140">
                  <c:v>44958</c:v>
                </c:pt>
                <c:pt idx="141">
                  <c:v>44951</c:v>
                </c:pt>
                <c:pt idx="142">
                  <c:v>44944</c:v>
                </c:pt>
                <c:pt idx="143">
                  <c:v>44937</c:v>
                </c:pt>
                <c:pt idx="144">
                  <c:v>44930</c:v>
                </c:pt>
                <c:pt idx="145">
                  <c:v>44923</c:v>
                </c:pt>
                <c:pt idx="146">
                  <c:v>44916</c:v>
                </c:pt>
                <c:pt idx="147">
                  <c:v>44909</c:v>
                </c:pt>
                <c:pt idx="148">
                  <c:v>44902</c:v>
                </c:pt>
                <c:pt idx="149">
                  <c:v>44895</c:v>
                </c:pt>
                <c:pt idx="150">
                  <c:v>44888</c:v>
                </c:pt>
                <c:pt idx="151">
                  <c:v>44881</c:v>
                </c:pt>
                <c:pt idx="152">
                  <c:v>44874</c:v>
                </c:pt>
                <c:pt idx="153">
                  <c:v>44867</c:v>
                </c:pt>
                <c:pt idx="154">
                  <c:v>44860</c:v>
                </c:pt>
              </c:numCache>
            </c:numRef>
          </c:cat>
          <c:val>
            <c:numRef>
              <c:f>'Stock Data'!$L$5:$L$159</c:f>
              <c:numCache>
                <c:formatCode>0.0</c:formatCode>
                <c:ptCount val="155"/>
                <c:pt idx="0">
                  <c:v>12.9695</c:v>
                </c:pt>
                <c:pt idx="1">
                  <c:v>12.809100000000001</c:v>
                </c:pt>
                <c:pt idx="2">
                  <c:v>12.635400000000001</c:v>
                </c:pt>
                <c:pt idx="3">
                  <c:v>12.782400000000001</c:v>
                </c:pt>
                <c:pt idx="4">
                  <c:v>12.799099999999999</c:v>
                </c:pt>
                <c:pt idx="5">
                  <c:v>12.8459</c:v>
                </c:pt>
                <c:pt idx="6">
                  <c:v>13.0731</c:v>
                </c:pt>
                <c:pt idx="7">
                  <c:v>13.8217</c:v>
                </c:pt>
                <c:pt idx="8">
                  <c:v>13.9186</c:v>
                </c:pt>
                <c:pt idx="9">
                  <c:v>12.9796</c:v>
                </c:pt>
                <c:pt idx="10">
                  <c:v>13.250299999999999</c:v>
                </c:pt>
                <c:pt idx="11">
                  <c:v>13.5076</c:v>
                </c:pt>
                <c:pt idx="12">
                  <c:v>12.946199999999999</c:v>
                </c:pt>
                <c:pt idx="13">
                  <c:v>13.3438</c:v>
                </c:pt>
                <c:pt idx="14">
                  <c:v>13.1266</c:v>
                </c:pt>
                <c:pt idx="15">
                  <c:v>13.1747</c:v>
                </c:pt>
                <c:pt idx="16">
                  <c:v>13.9335</c:v>
                </c:pt>
                <c:pt idx="17">
                  <c:v>13.9473</c:v>
                </c:pt>
                <c:pt idx="18">
                  <c:v>13.7722</c:v>
                </c:pt>
                <c:pt idx="19">
                  <c:v>13.3224</c:v>
                </c:pt>
                <c:pt idx="20">
                  <c:v>13.288</c:v>
                </c:pt>
                <c:pt idx="21">
                  <c:v>13.3567</c:v>
                </c:pt>
                <c:pt idx="22">
                  <c:v>12.618499999999999</c:v>
                </c:pt>
                <c:pt idx="23">
                  <c:v>12.951499999999999</c:v>
                </c:pt>
                <c:pt idx="24">
                  <c:v>12.680300000000001</c:v>
                </c:pt>
                <c:pt idx="25">
                  <c:v>12.271699999999999</c:v>
                </c:pt>
                <c:pt idx="26">
                  <c:v>12.237399999999999</c:v>
                </c:pt>
                <c:pt idx="27">
                  <c:v>13.47</c:v>
                </c:pt>
                <c:pt idx="28">
                  <c:v>14.065099999999999</c:v>
                </c:pt>
                <c:pt idx="29">
                  <c:v>14.9735</c:v>
                </c:pt>
                <c:pt idx="30">
                  <c:v>14.466900000000001</c:v>
                </c:pt>
                <c:pt idx="31">
                  <c:v>13.583</c:v>
                </c:pt>
                <c:pt idx="32">
                  <c:v>13.233700000000001</c:v>
                </c:pt>
                <c:pt idx="33">
                  <c:v>12.671200000000001</c:v>
                </c:pt>
                <c:pt idx="34">
                  <c:v>12.4511</c:v>
                </c:pt>
                <c:pt idx="35">
                  <c:v>11.9969</c:v>
                </c:pt>
                <c:pt idx="36">
                  <c:v>12.507</c:v>
                </c:pt>
                <c:pt idx="37">
                  <c:v>12.178599999999999</c:v>
                </c:pt>
                <c:pt idx="38">
                  <c:v>12.0528</c:v>
                </c:pt>
                <c:pt idx="39">
                  <c:v>12.0563</c:v>
                </c:pt>
                <c:pt idx="40">
                  <c:v>11.839700000000001</c:v>
                </c:pt>
                <c:pt idx="41">
                  <c:v>12.0517</c:v>
                </c:pt>
                <c:pt idx="42">
                  <c:v>12.0517</c:v>
                </c:pt>
                <c:pt idx="43">
                  <c:v>12.890599999999999</c:v>
                </c:pt>
                <c:pt idx="44">
                  <c:v>12.5017</c:v>
                </c:pt>
                <c:pt idx="45">
                  <c:v>12.408099999999999</c:v>
                </c:pt>
                <c:pt idx="46">
                  <c:v>12.5702</c:v>
                </c:pt>
                <c:pt idx="47">
                  <c:v>12.3721</c:v>
                </c:pt>
                <c:pt idx="48">
                  <c:v>12.458500000000001</c:v>
                </c:pt>
                <c:pt idx="49">
                  <c:v>13.387499999999999</c:v>
                </c:pt>
                <c:pt idx="50">
                  <c:v>13.2867</c:v>
                </c:pt>
                <c:pt idx="51">
                  <c:v>13.661199999999999</c:v>
                </c:pt>
                <c:pt idx="52">
                  <c:v>13.852</c:v>
                </c:pt>
                <c:pt idx="53">
                  <c:v>13.9024</c:v>
                </c:pt>
                <c:pt idx="54">
                  <c:v>13.648199999999999</c:v>
                </c:pt>
                <c:pt idx="55">
                  <c:v>14.1523</c:v>
                </c:pt>
                <c:pt idx="56">
                  <c:v>14.0032</c:v>
                </c:pt>
                <c:pt idx="57">
                  <c:v>13.8293</c:v>
                </c:pt>
                <c:pt idx="58">
                  <c:v>13.616300000000001</c:v>
                </c:pt>
                <c:pt idx="59">
                  <c:v>13.460100000000001</c:v>
                </c:pt>
                <c:pt idx="60">
                  <c:v>12.917</c:v>
                </c:pt>
                <c:pt idx="61">
                  <c:v>13.0626</c:v>
                </c:pt>
                <c:pt idx="62">
                  <c:v>14.517899999999999</c:v>
                </c:pt>
                <c:pt idx="63">
                  <c:v>14.1274</c:v>
                </c:pt>
                <c:pt idx="64">
                  <c:v>14.202</c:v>
                </c:pt>
                <c:pt idx="65">
                  <c:v>14.187799999999999</c:v>
                </c:pt>
                <c:pt idx="66">
                  <c:v>14.028</c:v>
                </c:pt>
                <c:pt idx="67">
                  <c:v>12.896599999999999</c:v>
                </c:pt>
                <c:pt idx="68">
                  <c:v>12.697900000000001</c:v>
                </c:pt>
                <c:pt idx="69">
                  <c:v>13.122400000000001</c:v>
                </c:pt>
                <c:pt idx="70">
                  <c:v>13.2234</c:v>
                </c:pt>
                <c:pt idx="71">
                  <c:v>12.9168</c:v>
                </c:pt>
                <c:pt idx="72">
                  <c:v>13.1594</c:v>
                </c:pt>
                <c:pt idx="73">
                  <c:v>13.331200000000001</c:v>
                </c:pt>
                <c:pt idx="74">
                  <c:v>12.8596</c:v>
                </c:pt>
                <c:pt idx="75">
                  <c:v>13.348100000000001</c:v>
                </c:pt>
                <c:pt idx="76">
                  <c:v>12.9505</c:v>
                </c:pt>
                <c:pt idx="77">
                  <c:v>12.930300000000001</c:v>
                </c:pt>
                <c:pt idx="78">
                  <c:v>13.1594</c:v>
                </c:pt>
                <c:pt idx="79">
                  <c:v>13.354799999999999</c:v>
                </c:pt>
                <c:pt idx="80">
                  <c:v>13.0656</c:v>
                </c:pt>
                <c:pt idx="81">
                  <c:v>12.6137</c:v>
                </c:pt>
                <c:pt idx="82">
                  <c:v>12.5588</c:v>
                </c:pt>
                <c:pt idx="83">
                  <c:v>12.6137</c:v>
                </c:pt>
                <c:pt idx="84">
                  <c:v>13.909599999999999</c:v>
                </c:pt>
                <c:pt idx="85">
                  <c:v>13.907999999999999</c:v>
                </c:pt>
                <c:pt idx="86">
                  <c:v>13.603</c:v>
                </c:pt>
                <c:pt idx="87">
                  <c:v>13.567500000000001</c:v>
                </c:pt>
                <c:pt idx="88">
                  <c:v>14.2598</c:v>
                </c:pt>
                <c:pt idx="89">
                  <c:v>14.4648</c:v>
                </c:pt>
                <c:pt idx="90">
                  <c:v>14.0581</c:v>
                </c:pt>
                <c:pt idx="91">
                  <c:v>14.4147</c:v>
                </c:pt>
                <c:pt idx="92">
                  <c:v>14.2727</c:v>
                </c:pt>
                <c:pt idx="93">
                  <c:v>13.3147</c:v>
                </c:pt>
                <c:pt idx="94">
                  <c:v>13.204800000000001</c:v>
                </c:pt>
                <c:pt idx="95">
                  <c:v>13.7677</c:v>
                </c:pt>
                <c:pt idx="96">
                  <c:v>13.237500000000001</c:v>
                </c:pt>
                <c:pt idx="97">
                  <c:v>12.737</c:v>
                </c:pt>
                <c:pt idx="98">
                  <c:v>12.1652</c:v>
                </c:pt>
                <c:pt idx="99">
                  <c:v>11.938000000000001</c:v>
                </c:pt>
                <c:pt idx="100">
                  <c:v>11.3171</c:v>
                </c:pt>
                <c:pt idx="101">
                  <c:v>10.9444</c:v>
                </c:pt>
                <c:pt idx="102">
                  <c:v>10.8642</c:v>
                </c:pt>
                <c:pt idx="103">
                  <c:v>11.358700000000001</c:v>
                </c:pt>
                <c:pt idx="104">
                  <c:v>11.594900000000001</c:v>
                </c:pt>
                <c:pt idx="105">
                  <c:v>11.297800000000001</c:v>
                </c:pt>
                <c:pt idx="106">
                  <c:v>10.2906</c:v>
                </c:pt>
                <c:pt idx="107">
                  <c:v>10.6518</c:v>
                </c:pt>
                <c:pt idx="108">
                  <c:v>11.016999999999999</c:v>
                </c:pt>
                <c:pt idx="109">
                  <c:v>11.117100000000001</c:v>
                </c:pt>
                <c:pt idx="110">
                  <c:v>11.6351</c:v>
                </c:pt>
                <c:pt idx="111">
                  <c:v>11.518800000000001</c:v>
                </c:pt>
                <c:pt idx="112">
                  <c:v>11.712199999999999</c:v>
                </c:pt>
                <c:pt idx="113">
                  <c:v>11.789300000000001</c:v>
                </c:pt>
                <c:pt idx="114">
                  <c:v>11.7311</c:v>
                </c:pt>
                <c:pt idx="115">
                  <c:v>12.312799999999999</c:v>
                </c:pt>
                <c:pt idx="116">
                  <c:v>12.389900000000001</c:v>
                </c:pt>
                <c:pt idx="117">
                  <c:v>12.2681</c:v>
                </c:pt>
                <c:pt idx="118">
                  <c:v>12.099</c:v>
                </c:pt>
                <c:pt idx="119">
                  <c:v>10.766500000000001</c:v>
                </c:pt>
                <c:pt idx="120">
                  <c:v>10.4381</c:v>
                </c:pt>
                <c:pt idx="121">
                  <c:v>10.6066</c:v>
                </c:pt>
                <c:pt idx="122">
                  <c:v>10.2501</c:v>
                </c:pt>
                <c:pt idx="123">
                  <c:v>10.328200000000001</c:v>
                </c:pt>
                <c:pt idx="124">
                  <c:v>10.012</c:v>
                </c:pt>
                <c:pt idx="125">
                  <c:v>10.0145</c:v>
                </c:pt>
                <c:pt idx="126">
                  <c:v>10.141400000000001</c:v>
                </c:pt>
                <c:pt idx="127">
                  <c:v>10.733499999999999</c:v>
                </c:pt>
                <c:pt idx="128">
                  <c:v>10.1854</c:v>
                </c:pt>
                <c:pt idx="129">
                  <c:v>10.6371</c:v>
                </c:pt>
                <c:pt idx="130">
                  <c:v>10.3429</c:v>
                </c:pt>
                <c:pt idx="131">
                  <c:v>10.3185</c:v>
                </c:pt>
                <c:pt idx="132">
                  <c:v>9.4598999999999993</c:v>
                </c:pt>
                <c:pt idx="133">
                  <c:v>9.4215999999999998</c:v>
                </c:pt>
                <c:pt idx="134">
                  <c:v>9.0314999999999994</c:v>
                </c:pt>
                <c:pt idx="135">
                  <c:v>9.2119</c:v>
                </c:pt>
                <c:pt idx="136">
                  <c:v>9.1047999999999991</c:v>
                </c:pt>
                <c:pt idx="137">
                  <c:v>9.1150000000000002</c:v>
                </c:pt>
                <c:pt idx="138">
                  <c:v>9.2851999999999997</c:v>
                </c:pt>
                <c:pt idx="139">
                  <c:v>9.3369999999999997</c:v>
                </c:pt>
                <c:pt idx="140">
                  <c:v>9.1645000000000003</c:v>
                </c:pt>
                <c:pt idx="141">
                  <c:v>8.9504000000000001</c:v>
                </c:pt>
                <c:pt idx="142">
                  <c:v>9.1227999999999998</c:v>
                </c:pt>
                <c:pt idx="143">
                  <c:v>8.4657</c:v>
                </c:pt>
                <c:pt idx="144">
                  <c:v>8.2660999999999998</c:v>
                </c:pt>
                <c:pt idx="145">
                  <c:v>7.7538999999999998</c:v>
                </c:pt>
                <c:pt idx="146">
                  <c:v>7.8612000000000002</c:v>
                </c:pt>
                <c:pt idx="147">
                  <c:v>8.5307999999999993</c:v>
                </c:pt>
                <c:pt idx="148">
                  <c:v>8.4777000000000005</c:v>
                </c:pt>
                <c:pt idx="149">
                  <c:v>8.4710000000000001</c:v>
                </c:pt>
                <c:pt idx="150">
                  <c:v>8.3912999999999993</c:v>
                </c:pt>
                <c:pt idx="151">
                  <c:v>8.4809999999999999</c:v>
                </c:pt>
                <c:pt idx="152">
                  <c:v>7.8634000000000004</c:v>
                </c:pt>
                <c:pt idx="153">
                  <c:v>7.7583000000000002</c:v>
                </c:pt>
                <c:pt idx="154">
                  <c:v>7.9718999999999998</c:v>
                </c:pt>
              </c:numCache>
            </c:numRef>
          </c:val>
          <c:smooth val="0"/>
          <c:extLst>
            <c:ext xmlns:c16="http://schemas.microsoft.com/office/drawing/2014/chart" uri="{C3380CC4-5D6E-409C-BE32-E72D297353CC}">
              <c16:uniqueId val="{00000002-D72A-4DDA-A333-B3FDE0305032}"/>
            </c:ext>
          </c:extLst>
        </c:ser>
        <c:ser>
          <c:idx val="3"/>
          <c:order val="3"/>
          <c:tx>
            <c:strRef>
              <c:f>Inputs!$B$23</c:f>
              <c:strCache>
                <c:ptCount val="1"/>
                <c:pt idx="0">
                  <c:v>OLD DOMINION FRT</c:v>
                </c:pt>
              </c:strCache>
            </c:strRef>
          </c:tx>
          <c:spPr>
            <a:ln w="28575" cap="rnd">
              <a:solidFill>
                <a:schemeClr val="accent4"/>
              </a:solidFill>
              <a:round/>
            </a:ln>
            <a:effectLst/>
          </c:spPr>
          <c:marker>
            <c:symbol val="none"/>
          </c:marker>
          <c:cat>
            <c:numRef>
              <c:f>'Stock Data'!$B$5:$B$159</c:f>
              <c:numCache>
                <c:formatCode>m/d/yyyy</c:formatCode>
                <c:ptCount val="155"/>
                <c:pt idx="0">
                  <c:v>45938</c:v>
                </c:pt>
                <c:pt idx="1">
                  <c:v>45931</c:v>
                </c:pt>
                <c:pt idx="2">
                  <c:v>45924</c:v>
                </c:pt>
                <c:pt idx="3">
                  <c:v>45917</c:v>
                </c:pt>
                <c:pt idx="4">
                  <c:v>45910</c:v>
                </c:pt>
                <c:pt idx="5">
                  <c:v>45903</c:v>
                </c:pt>
                <c:pt idx="6">
                  <c:v>45896</c:v>
                </c:pt>
                <c:pt idx="7">
                  <c:v>45889</c:v>
                </c:pt>
                <c:pt idx="8">
                  <c:v>45882</c:v>
                </c:pt>
                <c:pt idx="9">
                  <c:v>45875</c:v>
                </c:pt>
                <c:pt idx="10">
                  <c:v>45868</c:v>
                </c:pt>
                <c:pt idx="11">
                  <c:v>45861</c:v>
                </c:pt>
                <c:pt idx="12">
                  <c:v>45854</c:v>
                </c:pt>
                <c:pt idx="13">
                  <c:v>45847</c:v>
                </c:pt>
                <c:pt idx="14">
                  <c:v>45840</c:v>
                </c:pt>
                <c:pt idx="15">
                  <c:v>45833</c:v>
                </c:pt>
                <c:pt idx="16">
                  <c:v>45826</c:v>
                </c:pt>
                <c:pt idx="17">
                  <c:v>45819</c:v>
                </c:pt>
                <c:pt idx="18">
                  <c:v>45812</c:v>
                </c:pt>
                <c:pt idx="19">
                  <c:v>45805</c:v>
                </c:pt>
                <c:pt idx="20">
                  <c:v>45798</c:v>
                </c:pt>
                <c:pt idx="21">
                  <c:v>45791</c:v>
                </c:pt>
                <c:pt idx="22">
                  <c:v>45784</c:v>
                </c:pt>
                <c:pt idx="23">
                  <c:v>45777</c:v>
                </c:pt>
                <c:pt idx="24">
                  <c:v>45770</c:v>
                </c:pt>
                <c:pt idx="25">
                  <c:v>45763</c:v>
                </c:pt>
                <c:pt idx="26">
                  <c:v>45756</c:v>
                </c:pt>
                <c:pt idx="27">
                  <c:v>45749</c:v>
                </c:pt>
                <c:pt idx="28">
                  <c:v>45742</c:v>
                </c:pt>
                <c:pt idx="29">
                  <c:v>45735</c:v>
                </c:pt>
                <c:pt idx="30">
                  <c:v>45728</c:v>
                </c:pt>
                <c:pt idx="31">
                  <c:v>45721</c:v>
                </c:pt>
                <c:pt idx="32">
                  <c:v>45714</c:v>
                </c:pt>
                <c:pt idx="33">
                  <c:v>45707</c:v>
                </c:pt>
                <c:pt idx="34">
                  <c:v>45700</c:v>
                </c:pt>
                <c:pt idx="35">
                  <c:v>45693</c:v>
                </c:pt>
                <c:pt idx="36">
                  <c:v>45686</c:v>
                </c:pt>
                <c:pt idx="37">
                  <c:v>45679</c:v>
                </c:pt>
                <c:pt idx="38">
                  <c:v>45672</c:v>
                </c:pt>
                <c:pt idx="39">
                  <c:v>45665</c:v>
                </c:pt>
                <c:pt idx="40">
                  <c:v>45658</c:v>
                </c:pt>
                <c:pt idx="41">
                  <c:v>45651</c:v>
                </c:pt>
                <c:pt idx="42">
                  <c:v>45644</c:v>
                </c:pt>
                <c:pt idx="43">
                  <c:v>45637</c:v>
                </c:pt>
                <c:pt idx="44">
                  <c:v>45630</c:v>
                </c:pt>
                <c:pt idx="45">
                  <c:v>45623</c:v>
                </c:pt>
                <c:pt idx="46">
                  <c:v>45616</c:v>
                </c:pt>
                <c:pt idx="47">
                  <c:v>45609</c:v>
                </c:pt>
                <c:pt idx="48">
                  <c:v>45602</c:v>
                </c:pt>
                <c:pt idx="49">
                  <c:v>45595</c:v>
                </c:pt>
                <c:pt idx="50">
                  <c:v>45588</c:v>
                </c:pt>
                <c:pt idx="51">
                  <c:v>45581</c:v>
                </c:pt>
                <c:pt idx="52">
                  <c:v>45574</c:v>
                </c:pt>
                <c:pt idx="53">
                  <c:v>45567</c:v>
                </c:pt>
                <c:pt idx="54">
                  <c:v>45560</c:v>
                </c:pt>
                <c:pt idx="55">
                  <c:v>45553</c:v>
                </c:pt>
                <c:pt idx="56">
                  <c:v>45546</c:v>
                </c:pt>
                <c:pt idx="57">
                  <c:v>45539</c:v>
                </c:pt>
                <c:pt idx="58">
                  <c:v>45532</c:v>
                </c:pt>
                <c:pt idx="59">
                  <c:v>45525</c:v>
                </c:pt>
                <c:pt idx="60">
                  <c:v>45518</c:v>
                </c:pt>
                <c:pt idx="61">
                  <c:v>45511</c:v>
                </c:pt>
                <c:pt idx="62">
                  <c:v>45504</c:v>
                </c:pt>
                <c:pt idx="63">
                  <c:v>45497</c:v>
                </c:pt>
                <c:pt idx="64">
                  <c:v>45490</c:v>
                </c:pt>
                <c:pt idx="65">
                  <c:v>45483</c:v>
                </c:pt>
                <c:pt idx="66">
                  <c:v>45476</c:v>
                </c:pt>
                <c:pt idx="67">
                  <c:v>45469</c:v>
                </c:pt>
                <c:pt idx="68">
                  <c:v>45462</c:v>
                </c:pt>
                <c:pt idx="69">
                  <c:v>45455</c:v>
                </c:pt>
                <c:pt idx="70">
                  <c:v>45448</c:v>
                </c:pt>
                <c:pt idx="71">
                  <c:v>45441</c:v>
                </c:pt>
                <c:pt idx="72">
                  <c:v>45434</c:v>
                </c:pt>
                <c:pt idx="73">
                  <c:v>45427</c:v>
                </c:pt>
                <c:pt idx="74">
                  <c:v>45420</c:v>
                </c:pt>
                <c:pt idx="75">
                  <c:v>45413</c:v>
                </c:pt>
                <c:pt idx="76">
                  <c:v>45406</c:v>
                </c:pt>
                <c:pt idx="77">
                  <c:v>45399</c:v>
                </c:pt>
                <c:pt idx="78">
                  <c:v>45392</c:v>
                </c:pt>
                <c:pt idx="79">
                  <c:v>45385</c:v>
                </c:pt>
                <c:pt idx="80">
                  <c:v>45378</c:v>
                </c:pt>
                <c:pt idx="81">
                  <c:v>45371</c:v>
                </c:pt>
                <c:pt idx="82">
                  <c:v>45364</c:v>
                </c:pt>
                <c:pt idx="83">
                  <c:v>45357</c:v>
                </c:pt>
                <c:pt idx="84">
                  <c:v>45350</c:v>
                </c:pt>
                <c:pt idx="85">
                  <c:v>45343</c:v>
                </c:pt>
                <c:pt idx="86">
                  <c:v>45336</c:v>
                </c:pt>
                <c:pt idx="87">
                  <c:v>45329</c:v>
                </c:pt>
                <c:pt idx="88">
                  <c:v>45322</c:v>
                </c:pt>
                <c:pt idx="89">
                  <c:v>45315</c:v>
                </c:pt>
                <c:pt idx="90">
                  <c:v>45308</c:v>
                </c:pt>
                <c:pt idx="91">
                  <c:v>45301</c:v>
                </c:pt>
                <c:pt idx="92">
                  <c:v>45294</c:v>
                </c:pt>
                <c:pt idx="93">
                  <c:v>45287</c:v>
                </c:pt>
                <c:pt idx="94">
                  <c:v>45280</c:v>
                </c:pt>
                <c:pt idx="95">
                  <c:v>45273</c:v>
                </c:pt>
                <c:pt idx="96">
                  <c:v>45266</c:v>
                </c:pt>
                <c:pt idx="97">
                  <c:v>45259</c:v>
                </c:pt>
                <c:pt idx="98">
                  <c:v>45252</c:v>
                </c:pt>
                <c:pt idx="99">
                  <c:v>45245</c:v>
                </c:pt>
                <c:pt idx="100">
                  <c:v>45238</c:v>
                </c:pt>
                <c:pt idx="101">
                  <c:v>45231</c:v>
                </c:pt>
                <c:pt idx="102">
                  <c:v>45224</c:v>
                </c:pt>
                <c:pt idx="103">
                  <c:v>45217</c:v>
                </c:pt>
                <c:pt idx="104">
                  <c:v>45210</c:v>
                </c:pt>
                <c:pt idx="105">
                  <c:v>45203</c:v>
                </c:pt>
                <c:pt idx="106">
                  <c:v>45196</c:v>
                </c:pt>
                <c:pt idx="107">
                  <c:v>45189</c:v>
                </c:pt>
                <c:pt idx="108">
                  <c:v>45182</c:v>
                </c:pt>
                <c:pt idx="109">
                  <c:v>45175</c:v>
                </c:pt>
                <c:pt idx="110">
                  <c:v>45168</c:v>
                </c:pt>
                <c:pt idx="111">
                  <c:v>45161</c:v>
                </c:pt>
                <c:pt idx="112">
                  <c:v>45154</c:v>
                </c:pt>
                <c:pt idx="113">
                  <c:v>45147</c:v>
                </c:pt>
                <c:pt idx="114">
                  <c:v>45140</c:v>
                </c:pt>
                <c:pt idx="115">
                  <c:v>45133</c:v>
                </c:pt>
                <c:pt idx="116">
                  <c:v>45126</c:v>
                </c:pt>
                <c:pt idx="117">
                  <c:v>45119</c:v>
                </c:pt>
                <c:pt idx="118">
                  <c:v>45112</c:v>
                </c:pt>
                <c:pt idx="119">
                  <c:v>45105</c:v>
                </c:pt>
                <c:pt idx="120">
                  <c:v>45098</c:v>
                </c:pt>
                <c:pt idx="121">
                  <c:v>45091</c:v>
                </c:pt>
                <c:pt idx="122">
                  <c:v>45084</c:v>
                </c:pt>
                <c:pt idx="123">
                  <c:v>45077</c:v>
                </c:pt>
                <c:pt idx="124">
                  <c:v>45070</c:v>
                </c:pt>
                <c:pt idx="125">
                  <c:v>45063</c:v>
                </c:pt>
                <c:pt idx="126">
                  <c:v>45056</c:v>
                </c:pt>
                <c:pt idx="127">
                  <c:v>45049</c:v>
                </c:pt>
                <c:pt idx="128">
                  <c:v>45042</c:v>
                </c:pt>
                <c:pt idx="129">
                  <c:v>45035</c:v>
                </c:pt>
                <c:pt idx="130">
                  <c:v>45028</c:v>
                </c:pt>
                <c:pt idx="131">
                  <c:v>45021</c:v>
                </c:pt>
                <c:pt idx="132">
                  <c:v>45014</c:v>
                </c:pt>
                <c:pt idx="133">
                  <c:v>45007</c:v>
                </c:pt>
                <c:pt idx="134">
                  <c:v>45000</c:v>
                </c:pt>
                <c:pt idx="135">
                  <c:v>44993</c:v>
                </c:pt>
                <c:pt idx="136">
                  <c:v>44986</c:v>
                </c:pt>
                <c:pt idx="137">
                  <c:v>44979</c:v>
                </c:pt>
                <c:pt idx="138">
                  <c:v>44972</c:v>
                </c:pt>
                <c:pt idx="139">
                  <c:v>44965</c:v>
                </c:pt>
                <c:pt idx="140">
                  <c:v>44958</c:v>
                </c:pt>
                <c:pt idx="141">
                  <c:v>44951</c:v>
                </c:pt>
                <c:pt idx="142">
                  <c:v>44944</c:v>
                </c:pt>
                <c:pt idx="143">
                  <c:v>44937</c:v>
                </c:pt>
                <c:pt idx="144">
                  <c:v>44930</c:v>
                </c:pt>
                <c:pt idx="145">
                  <c:v>44923</c:v>
                </c:pt>
                <c:pt idx="146">
                  <c:v>44916</c:v>
                </c:pt>
                <c:pt idx="147">
                  <c:v>44909</c:v>
                </c:pt>
                <c:pt idx="148">
                  <c:v>44902</c:v>
                </c:pt>
                <c:pt idx="149">
                  <c:v>44895</c:v>
                </c:pt>
                <c:pt idx="150">
                  <c:v>44888</c:v>
                </c:pt>
                <c:pt idx="151">
                  <c:v>44881</c:v>
                </c:pt>
                <c:pt idx="152">
                  <c:v>44874</c:v>
                </c:pt>
                <c:pt idx="153">
                  <c:v>44867</c:v>
                </c:pt>
                <c:pt idx="154">
                  <c:v>44860</c:v>
                </c:pt>
              </c:numCache>
            </c:numRef>
          </c:cat>
          <c:val>
            <c:numRef>
              <c:f>'Stock Data'!$M$5:$M$159</c:f>
              <c:numCache>
                <c:formatCode>0.0</c:formatCode>
                <c:ptCount val="155"/>
                <c:pt idx="0">
                  <c:v>27.1816</c:v>
                </c:pt>
                <c:pt idx="1">
                  <c:v>27.1816</c:v>
                </c:pt>
                <c:pt idx="2">
                  <c:v>27.536899999999999</c:v>
                </c:pt>
                <c:pt idx="3">
                  <c:v>27.679400000000001</c:v>
                </c:pt>
                <c:pt idx="4">
                  <c:v>28.561800000000002</c:v>
                </c:pt>
                <c:pt idx="5">
                  <c:v>28.9132</c:v>
                </c:pt>
                <c:pt idx="6">
                  <c:v>30.027799999999999</c:v>
                </c:pt>
                <c:pt idx="7">
                  <c:v>29.329000000000001</c:v>
                </c:pt>
                <c:pt idx="8">
                  <c:v>29.957599999999999</c:v>
                </c:pt>
                <c:pt idx="9">
                  <c:v>29.2685</c:v>
                </c:pt>
                <c:pt idx="10">
                  <c:v>28.591100000000001</c:v>
                </c:pt>
                <c:pt idx="11">
                  <c:v>32.403599999999997</c:v>
                </c:pt>
                <c:pt idx="12">
                  <c:v>31.3963</c:v>
                </c:pt>
                <c:pt idx="13">
                  <c:v>32.797899999999998</c:v>
                </c:pt>
                <c:pt idx="14">
                  <c:v>33.1571</c:v>
                </c:pt>
                <c:pt idx="15">
                  <c:v>30.115200000000002</c:v>
                </c:pt>
                <c:pt idx="16">
                  <c:v>29.303899999999999</c:v>
                </c:pt>
                <c:pt idx="17">
                  <c:v>30.445699999999999</c:v>
                </c:pt>
                <c:pt idx="18">
                  <c:v>30.3293</c:v>
                </c:pt>
                <c:pt idx="19">
                  <c:v>30.505800000000001</c:v>
                </c:pt>
                <c:pt idx="20">
                  <c:v>30.836400000000001</c:v>
                </c:pt>
                <c:pt idx="21">
                  <c:v>32.237400000000001</c:v>
                </c:pt>
                <c:pt idx="22">
                  <c:v>29.2212</c:v>
                </c:pt>
                <c:pt idx="23">
                  <c:v>28.787400000000002</c:v>
                </c:pt>
                <c:pt idx="24">
                  <c:v>28.777999999999999</c:v>
                </c:pt>
                <c:pt idx="25">
                  <c:v>27.767600000000002</c:v>
                </c:pt>
                <c:pt idx="26">
                  <c:v>31.080500000000001</c:v>
                </c:pt>
                <c:pt idx="27">
                  <c:v>31.946300000000001</c:v>
                </c:pt>
                <c:pt idx="28">
                  <c:v>30.831299999999999</c:v>
                </c:pt>
                <c:pt idx="29">
                  <c:v>29.692499999999999</c:v>
                </c:pt>
                <c:pt idx="30">
                  <c:v>30.0764</c:v>
                </c:pt>
                <c:pt idx="31">
                  <c:v>32.266199999999998</c:v>
                </c:pt>
                <c:pt idx="32">
                  <c:v>32.1145</c:v>
                </c:pt>
                <c:pt idx="33">
                  <c:v>37.492199999999997</c:v>
                </c:pt>
                <c:pt idx="34">
                  <c:v>37.110199999999999</c:v>
                </c:pt>
                <c:pt idx="35">
                  <c:v>35.397399999999998</c:v>
                </c:pt>
                <c:pt idx="36">
                  <c:v>33.969799999999999</c:v>
                </c:pt>
                <c:pt idx="37">
                  <c:v>34.509</c:v>
                </c:pt>
                <c:pt idx="38">
                  <c:v>34.156300000000002</c:v>
                </c:pt>
                <c:pt idx="39">
                  <c:v>32.825499999999998</c:v>
                </c:pt>
                <c:pt idx="40">
                  <c:v>32.1218</c:v>
                </c:pt>
                <c:pt idx="41">
                  <c:v>32.0336</c:v>
                </c:pt>
                <c:pt idx="42">
                  <c:v>33.857300000000002</c:v>
                </c:pt>
                <c:pt idx="43">
                  <c:v>36.159599999999998</c:v>
                </c:pt>
                <c:pt idx="44">
                  <c:v>37.2577</c:v>
                </c:pt>
                <c:pt idx="45">
                  <c:v>39.567</c:v>
                </c:pt>
                <c:pt idx="46">
                  <c:v>37.840400000000002</c:v>
                </c:pt>
                <c:pt idx="47">
                  <c:v>39.830100000000002</c:v>
                </c:pt>
                <c:pt idx="48">
                  <c:v>40.6387</c:v>
                </c:pt>
                <c:pt idx="49">
                  <c:v>35.9848</c:v>
                </c:pt>
                <c:pt idx="50">
                  <c:v>33.31</c:v>
                </c:pt>
                <c:pt idx="51">
                  <c:v>35.926499999999997</c:v>
                </c:pt>
                <c:pt idx="52">
                  <c:v>34.328699999999998</c:v>
                </c:pt>
                <c:pt idx="53">
                  <c:v>34.162799999999997</c:v>
                </c:pt>
                <c:pt idx="54">
                  <c:v>34.523800000000001</c:v>
                </c:pt>
                <c:pt idx="55">
                  <c:v>34.054699999999997</c:v>
                </c:pt>
                <c:pt idx="56">
                  <c:v>32.6873</c:v>
                </c:pt>
                <c:pt idx="57">
                  <c:v>33.8626</c:v>
                </c:pt>
                <c:pt idx="58">
                  <c:v>33.613399999999999</c:v>
                </c:pt>
                <c:pt idx="59">
                  <c:v>35.119199999999999</c:v>
                </c:pt>
                <c:pt idx="60">
                  <c:v>33.405700000000003</c:v>
                </c:pt>
                <c:pt idx="61">
                  <c:v>33.431600000000003</c:v>
                </c:pt>
                <c:pt idx="62">
                  <c:v>36.379300000000001</c:v>
                </c:pt>
                <c:pt idx="63">
                  <c:v>33.686100000000003</c:v>
                </c:pt>
                <c:pt idx="64">
                  <c:v>34.388800000000003</c:v>
                </c:pt>
                <c:pt idx="65">
                  <c:v>31.522500000000001</c:v>
                </c:pt>
                <c:pt idx="66">
                  <c:v>31.479199999999999</c:v>
                </c:pt>
                <c:pt idx="67">
                  <c:v>31.340199999999999</c:v>
                </c:pt>
                <c:pt idx="68">
                  <c:v>31.092700000000001</c:v>
                </c:pt>
                <c:pt idx="69">
                  <c:v>31.117599999999999</c:v>
                </c:pt>
                <c:pt idx="70">
                  <c:v>31.279599999999999</c:v>
                </c:pt>
                <c:pt idx="71">
                  <c:v>30.496300000000002</c:v>
                </c:pt>
                <c:pt idx="72">
                  <c:v>30.708200000000001</c:v>
                </c:pt>
                <c:pt idx="73">
                  <c:v>32.743000000000002</c:v>
                </c:pt>
                <c:pt idx="74">
                  <c:v>32.347799999999999</c:v>
                </c:pt>
                <c:pt idx="75">
                  <c:v>32.488500000000002</c:v>
                </c:pt>
                <c:pt idx="76">
                  <c:v>34.726300000000002</c:v>
                </c:pt>
                <c:pt idx="77">
                  <c:v>37.530200000000001</c:v>
                </c:pt>
                <c:pt idx="78">
                  <c:v>38.283299999999997</c:v>
                </c:pt>
                <c:pt idx="79">
                  <c:v>39.137799999999999</c:v>
                </c:pt>
                <c:pt idx="80">
                  <c:v>38.561399999999999</c:v>
                </c:pt>
                <c:pt idx="81">
                  <c:v>39.130000000000003</c:v>
                </c:pt>
                <c:pt idx="82">
                  <c:v>39.090299999999999</c:v>
                </c:pt>
                <c:pt idx="83">
                  <c:v>39.238100000000003</c:v>
                </c:pt>
                <c:pt idx="84">
                  <c:v>39.007399999999997</c:v>
                </c:pt>
                <c:pt idx="85">
                  <c:v>38.243299999999998</c:v>
                </c:pt>
                <c:pt idx="86">
                  <c:v>38.847900000000003</c:v>
                </c:pt>
                <c:pt idx="87">
                  <c:v>38.966900000000003</c:v>
                </c:pt>
                <c:pt idx="88">
                  <c:v>35.233699999999999</c:v>
                </c:pt>
                <c:pt idx="89">
                  <c:v>35.293199999999999</c:v>
                </c:pt>
                <c:pt idx="90">
                  <c:v>34.047899999999998</c:v>
                </c:pt>
                <c:pt idx="91">
                  <c:v>35.233699999999999</c:v>
                </c:pt>
                <c:pt idx="92">
                  <c:v>34.702100000000002</c:v>
                </c:pt>
                <c:pt idx="93">
                  <c:v>36.9724</c:v>
                </c:pt>
                <c:pt idx="94">
                  <c:v>35.938099999999999</c:v>
                </c:pt>
                <c:pt idx="95">
                  <c:v>34.331699999999998</c:v>
                </c:pt>
                <c:pt idx="96">
                  <c:v>33.333199999999998</c:v>
                </c:pt>
                <c:pt idx="97">
                  <c:v>34.318300000000001</c:v>
                </c:pt>
                <c:pt idx="98">
                  <c:v>36.091900000000003</c:v>
                </c:pt>
                <c:pt idx="99">
                  <c:v>36.001600000000003</c:v>
                </c:pt>
                <c:pt idx="100">
                  <c:v>34.876100000000001</c:v>
                </c:pt>
                <c:pt idx="101">
                  <c:v>34.9208</c:v>
                </c:pt>
                <c:pt idx="102">
                  <c:v>33.165199999999999</c:v>
                </c:pt>
                <c:pt idx="103">
                  <c:v>35.922899999999998</c:v>
                </c:pt>
                <c:pt idx="104">
                  <c:v>38.059399999999997</c:v>
                </c:pt>
                <c:pt idx="105">
                  <c:v>36.039099999999998</c:v>
                </c:pt>
                <c:pt idx="106">
                  <c:v>34.893300000000004</c:v>
                </c:pt>
                <c:pt idx="107">
                  <c:v>35.590499999999999</c:v>
                </c:pt>
                <c:pt idx="108">
                  <c:v>36.276400000000002</c:v>
                </c:pt>
                <c:pt idx="109">
                  <c:v>36.984900000000003</c:v>
                </c:pt>
                <c:pt idx="110">
                  <c:v>37.547699999999999</c:v>
                </c:pt>
                <c:pt idx="111">
                  <c:v>36.006700000000002</c:v>
                </c:pt>
                <c:pt idx="112">
                  <c:v>35.522500000000001</c:v>
                </c:pt>
                <c:pt idx="113">
                  <c:v>35.028599999999997</c:v>
                </c:pt>
                <c:pt idx="114">
                  <c:v>35.651600000000002</c:v>
                </c:pt>
                <c:pt idx="115">
                  <c:v>36.713500000000003</c:v>
                </c:pt>
                <c:pt idx="116">
                  <c:v>34.484099999999998</c:v>
                </c:pt>
                <c:pt idx="117">
                  <c:v>32.787799999999997</c:v>
                </c:pt>
                <c:pt idx="118">
                  <c:v>32.0871</c:v>
                </c:pt>
                <c:pt idx="119">
                  <c:v>30.553599999999999</c:v>
                </c:pt>
                <c:pt idx="120">
                  <c:v>26.9527</c:v>
                </c:pt>
                <c:pt idx="121">
                  <c:v>26.4634</c:v>
                </c:pt>
                <c:pt idx="122">
                  <c:v>26.0822</c:v>
                </c:pt>
                <c:pt idx="123">
                  <c:v>25.615200000000002</c:v>
                </c:pt>
                <c:pt idx="124">
                  <c:v>24.793399999999998</c:v>
                </c:pt>
                <c:pt idx="125">
                  <c:v>25.064</c:v>
                </c:pt>
                <c:pt idx="126">
                  <c:v>25.942799999999998</c:v>
                </c:pt>
                <c:pt idx="127">
                  <c:v>26.459299999999999</c:v>
                </c:pt>
                <c:pt idx="128">
                  <c:v>25.209199999999999</c:v>
                </c:pt>
                <c:pt idx="129">
                  <c:v>28.5502</c:v>
                </c:pt>
                <c:pt idx="130">
                  <c:v>28.059200000000001</c:v>
                </c:pt>
                <c:pt idx="131">
                  <c:v>26.8141</c:v>
                </c:pt>
                <c:pt idx="132">
                  <c:v>27.2469</c:v>
                </c:pt>
                <c:pt idx="133">
                  <c:v>27.200900000000001</c:v>
                </c:pt>
                <c:pt idx="134">
                  <c:v>27.336500000000001</c:v>
                </c:pt>
                <c:pt idx="135">
                  <c:v>28.8141</c:v>
                </c:pt>
                <c:pt idx="136">
                  <c:v>27.8414</c:v>
                </c:pt>
                <c:pt idx="137">
                  <c:v>28.120899999999999</c:v>
                </c:pt>
                <c:pt idx="138">
                  <c:v>29.370699999999999</c:v>
                </c:pt>
                <c:pt idx="139">
                  <c:v>30.0852</c:v>
                </c:pt>
                <c:pt idx="140">
                  <c:v>30.226700000000001</c:v>
                </c:pt>
                <c:pt idx="141">
                  <c:v>26.357299999999999</c:v>
                </c:pt>
                <c:pt idx="142">
                  <c:v>25.9544</c:v>
                </c:pt>
                <c:pt idx="143">
                  <c:v>25.7422</c:v>
                </c:pt>
                <c:pt idx="144">
                  <c:v>23.745000000000001</c:v>
                </c:pt>
                <c:pt idx="145">
                  <c:v>24.2285</c:v>
                </c:pt>
                <c:pt idx="146">
                  <c:v>24.6629</c:v>
                </c:pt>
                <c:pt idx="147">
                  <c:v>26.559100000000001</c:v>
                </c:pt>
                <c:pt idx="148">
                  <c:v>24.606200000000001</c:v>
                </c:pt>
                <c:pt idx="149">
                  <c:v>25.976199999999999</c:v>
                </c:pt>
                <c:pt idx="150">
                  <c:v>25.497199999999999</c:v>
                </c:pt>
                <c:pt idx="151">
                  <c:v>26.367699999999999</c:v>
                </c:pt>
                <c:pt idx="152">
                  <c:v>24.195</c:v>
                </c:pt>
                <c:pt idx="153">
                  <c:v>22.352</c:v>
                </c:pt>
                <c:pt idx="154">
                  <c:v>23.563300000000002</c:v>
                </c:pt>
              </c:numCache>
            </c:numRef>
          </c:val>
          <c:smooth val="0"/>
          <c:extLst>
            <c:ext xmlns:c16="http://schemas.microsoft.com/office/drawing/2014/chart" uri="{C3380CC4-5D6E-409C-BE32-E72D297353CC}">
              <c16:uniqueId val="{00000003-D72A-4DDA-A333-B3FDE0305032}"/>
            </c:ext>
          </c:extLst>
        </c:ser>
        <c:ser>
          <c:idx val="4"/>
          <c:order val="4"/>
          <c:tx>
            <c:strRef>
              <c:f>Inputs!$B$24</c:f>
              <c:strCache>
                <c:ptCount val="1"/>
                <c:pt idx="0">
                  <c:v>XPO INC</c:v>
                </c:pt>
              </c:strCache>
            </c:strRef>
          </c:tx>
          <c:spPr>
            <a:ln w="28575" cap="rnd">
              <a:solidFill>
                <a:schemeClr val="accent5"/>
              </a:solidFill>
              <a:round/>
            </a:ln>
            <a:effectLst/>
          </c:spPr>
          <c:marker>
            <c:symbol val="none"/>
          </c:marker>
          <c:cat>
            <c:numRef>
              <c:f>'Stock Data'!$B$5:$B$159</c:f>
              <c:numCache>
                <c:formatCode>m/d/yyyy</c:formatCode>
                <c:ptCount val="155"/>
                <c:pt idx="0">
                  <c:v>45938</c:v>
                </c:pt>
                <c:pt idx="1">
                  <c:v>45931</c:v>
                </c:pt>
                <c:pt idx="2">
                  <c:v>45924</c:v>
                </c:pt>
                <c:pt idx="3">
                  <c:v>45917</c:v>
                </c:pt>
                <c:pt idx="4">
                  <c:v>45910</c:v>
                </c:pt>
                <c:pt idx="5">
                  <c:v>45903</c:v>
                </c:pt>
                <c:pt idx="6">
                  <c:v>45896</c:v>
                </c:pt>
                <c:pt idx="7">
                  <c:v>45889</c:v>
                </c:pt>
                <c:pt idx="8">
                  <c:v>45882</c:v>
                </c:pt>
                <c:pt idx="9">
                  <c:v>45875</c:v>
                </c:pt>
                <c:pt idx="10">
                  <c:v>45868</c:v>
                </c:pt>
                <c:pt idx="11">
                  <c:v>45861</c:v>
                </c:pt>
                <c:pt idx="12">
                  <c:v>45854</c:v>
                </c:pt>
                <c:pt idx="13">
                  <c:v>45847</c:v>
                </c:pt>
                <c:pt idx="14">
                  <c:v>45840</c:v>
                </c:pt>
                <c:pt idx="15">
                  <c:v>45833</c:v>
                </c:pt>
                <c:pt idx="16">
                  <c:v>45826</c:v>
                </c:pt>
                <c:pt idx="17">
                  <c:v>45819</c:v>
                </c:pt>
                <c:pt idx="18">
                  <c:v>45812</c:v>
                </c:pt>
                <c:pt idx="19">
                  <c:v>45805</c:v>
                </c:pt>
                <c:pt idx="20">
                  <c:v>45798</c:v>
                </c:pt>
                <c:pt idx="21">
                  <c:v>45791</c:v>
                </c:pt>
                <c:pt idx="22">
                  <c:v>45784</c:v>
                </c:pt>
                <c:pt idx="23">
                  <c:v>45777</c:v>
                </c:pt>
                <c:pt idx="24">
                  <c:v>45770</c:v>
                </c:pt>
                <c:pt idx="25">
                  <c:v>45763</c:v>
                </c:pt>
                <c:pt idx="26">
                  <c:v>45756</c:v>
                </c:pt>
                <c:pt idx="27">
                  <c:v>45749</c:v>
                </c:pt>
                <c:pt idx="28">
                  <c:v>45742</c:v>
                </c:pt>
                <c:pt idx="29">
                  <c:v>45735</c:v>
                </c:pt>
                <c:pt idx="30">
                  <c:v>45728</c:v>
                </c:pt>
                <c:pt idx="31">
                  <c:v>45721</c:v>
                </c:pt>
                <c:pt idx="32">
                  <c:v>45714</c:v>
                </c:pt>
                <c:pt idx="33">
                  <c:v>45707</c:v>
                </c:pt>
                <c:pt idx="34">
                  <c:v>45700</c:v>
                </c:pt>
                <c:pt idx="35">
                  <c:v>45693</c:v>
                </c:pt>
                <c:pt idx="36">
                  <c:v>45686</c:v>
                </c:pt>
                <c:pt idx="37">
                  <c:v>45679</c:v>
                </c:pt>
                <c:pt idx="38">
                  <c:v>45672</c:v>
                </c:pt>
                <c:pt idx="39">
                  <c:v>45665</c:v>
                </c:pt>
                <c:pt idx="40">
                  <c:v>45658</c:v>
                </c:pt>
                <c:pt idx="41">
                  <c:v>45651</c:v>
                </c:pt>
                <c:pt idx="42">
                  <c:v>45644</c:v>
                </c:pt>
                <c:pt idx="43">
                  <c:v>45637</c:v>
                </c:pt>
                <c:pt idx="44">
                  <c:v>45630</c:v>
                </c:pt>
                <c:pt idx="45">
                  <c:v>45623</c:v>
                </c:pt>
                <c:pt idx="46">
                  <c:v>45616</c:v>
                </c:pt>
                <c:pt idx="47">
                  <c:v>45609</c:v>
                </c:pt>
                <c:pt idx="48">
                  <c:v>45602</c:v>
                </c:pt>
                <c:pt idx="49">
                  <c:v>45595</c:v>
                </c:pt>
                <c:pt idx="50">
                  <c:v>45588</c:v>
                </c:pt>
                <c:pt idx="51">
                  <c:v>45581</c:v>
                </c:pt>
                <c:pt idx="52">
                  <c:v>45574</c:v>
                </c:pt>
                <c:pt idx="53">
                  <c:v>45567</c:v>
                </c:pt>
                <c:pt idx="54">
                  <c:v>45560</c:v>
                </c:pt>
                <c:pt idx="55">
                  <c:v>45553</c:v>
                </c:pt>
                <c:pt idx="56">
                  <c:v>45546</c:v>
                </c:pt>
                <c:pt idx="57">
                  <c:v>45539</c:v>
                </c:pt>
                <c:pt idx="58">
                  <c:v>45532</c:v>
                </c:pt>
                <c:pt idx="59">
                  <c:v>45525</c:v>
                </c:pt>
                <c:pt idx="60">
                  <c:v>45518</c:v>
                </c:pt>
                <c:pt idx="61">
                  <c:v>45511</c:v>
                </c:pt>
                <c:pt idx="62">
                  <c:v>45504</c:v>
                </c:pt>
                <c:pt idx="63">
                  <c:v>45497</c:v>
                </c:pt>
                <c:pt idx="64">
                  <c:v>45490</c:v>
                </c:pt>
                <c:pt idx="65">
                  <c:v>45483</c:v>
                </c:pt>
                <c:pt idx="66">
                  <c:v>45476</c:v>
                </c:pt>
                <c:pt idx="67">
                  <c:v>45469</c:v>
                </c:pt>
                <c:pt idx="68">
                  <c:v>45462</c:v>
                </c:pt>
                <c:pt idx="69">
                  <c:v>45455</c:v>
                </c:pt>
                <c:pt idx="70">
                  <c:v>45448</c:v>
                </c:pt>
                <c:pt idx="71">
                  <c:v>45441</c:v>
                </c:pt>
                <c:pt idx="72">
                  <c:v>45434</c:v>
                </c:pt>
                <c:pt idx="73">
                  <c:v>45427</c:v>
                </c:pt>
                <c:pt idx="74">
                  <c:v>45420</c:v>
                </c:pt>
                <c:pt idx="75">
                  <c:v>45413</c:v>
                </c:pt>
                <c:pt idx="76">
                  <c:v>45406</c:v>
                </c:pt>
                <c:pt idx="77">
                  <c:v>45399</c:v>
                </c:pt>
                <c:pt idx="78">
                  <c:v>45392</c:v>
                </c:pt>
                <c:pt idx="79">
                  <c:v>45385</c:v>
                </c:pt>
                <c:pt idx="80">
                  <c:v>45378</c:v>
                </c:pt>
                <c:pt idx="81">
                  <c:v>45371</c:v>
                </c:pt>
                <c:pt idx="82">
                  <c:v>45364</c:v>
                </c:pt>
                <c:pt idx="83">
                  <c:v>45357</c:v>
                </c:pt>
                <c:pt idx="84">
                  <c:v>45350</c:v>
                </c:pt>
                <c:pt idx="85">
                  <c:v>45343</c:v>
                </c:pt>
                <c:pt idx="86">
                  <c:v>45336</c:v>
                </c:pt>
                <c:pt idx="87">
                  <c:v>45329</c:v>
                </c:pt>
                <c:pt idx="88">
                  <c:v>45322</c:v>
                </c:pt>
                <c:pt idx="89">
                  <c:v>45315</c:v>
                </c:pt>
                <c:pt idx="90">
                  <c:v>45308</c:v>
                </c:pt>
                <c:pt idx="91">
                  <c:v>45301</c:v>
                </c:pt>
                <c:pt idx="92">
                  <c:v>45294</c:v>
                </c:pt>
                <c:pt idx="93">
                  <c:v>45287</c:v>
                </c:pt>
                <c:pt idx="94">
                  <c:v>45280</c:v>
                </c:pt>
                <c:pt idx="95">
                  <c:v>45273</c:v>
                </c:pt>
                <c:pt idx="96">
                  <c:v>45266</c:v>
                </c:pt>
                <c:pt idx="97">
                  <c:v>45259</c:v>
                </c:pt>
                <c:pt idx="98">
                  <c:v>45252</c:v>
                </c:pt>
                <c:pt idx="99">
                  <c:v>45245</c:v>
                </c:pt>
                <c:pt idx="100">
                  <c:v>45238</c:v>
                </c:pt>
                <c:pt idx="101">
                  <c:v>45231</c:v>
                </c:pt>
                <c:pt idx="102">
                  <c:v>45224</c:v>
                </c:pt>
                <c:pt idx="103">
                  <c:v>45217</c:v>
                </c:pt>
                <c:pt idx="104">
                  <c:v>45210</c:v>
                </c:pt>
                <c:pt idx="105">
                  <c:v>45203</c:v>
                </c:pt>
                <c:pt idx="106">
                  <c:v>45196</c:v>
                </c:pt>
                <c:pt idx="107">
                  <c:v>45189</c:v>
                </c:pt>
                <c:pt idx="108">
                  <c:v>45182</c:v>
                </c:pt>
                <c:pt idx="109">
                  <c:v>45175</c:v>
                </c:pt>
                <c:pt idx="110">
                  <c:v>45168</c:v>
                </c:pt>
                <c:pt idx="111">
                  <c:v>45161</c:v>
                </c:pt>
                <c:pt idx="112">
                  <c:v>45154</c:v>
                </c:pt>
                <c:pt idx="113">
                  <c:v>45147</c:v>
                </c:pt>
                <c:pt idx="114">
                  <c:v>45140</c:v>
                </c:pt>
                <c:pt idx="115">
                  <c:v>45133</c:v>
                </c:pt>
                <c:pt idx="116">
                  <c:v>45126</c:v>
                </c:pt>
                <c:pt idx="117">
                  <c:v>45119</c:v>
                </c:pt>
                <c:pt idx="118">
                  <c:v>45112</c:v>
                </c:pt>
                <c:pt idx="119">
                  <c:v>45105</c:v>
                </c:pt>
                <c:pt idx="120">
                  <c:v>45098</c:v>
                </c:pt>
                <c:pt idx="121">
                  <c:v>45091</c:v>
                </c:pt>
                <c:pt idx="122">
                  <c:v>45084</c:v>
                </c:pt>
                <c:pt idx="123">
                  <c:v>45077</c:v>
                </c:pt>
                <c:pt idx="124">
                  <c:v>45070</c:v>
                </c:pt>
                <c:pt idx="125">
                  <c:v>45063</c:v>
                </c:pt>
                <c:pt idx="126">
                  <c:v>45056</c:v>
                </c:pt>
                <c:pt idx="127">
                  <c:v>45049</c:v>
                </c:pt>
                <c:pt idx="128">
                  <c:v>45042</c:v>
                </c:pt>
                <c:pt idx="129">
                  <c:v>45035</c:v>
                </c:pt>
                <c:pt idx="130">
                  <c:v>45028</c:v>
                </c:pt>
                <c:pt idx="131">
                  <c:v>45021</c:v>
                </c:pt>
                <c:pt idx="132">
                  <c:v>45014</c:v>
                </c:pt>
                <c:pt idx="133">
                  <c:v>45007</c:v>
                </c:pt>
                <c:pt idx="134">
                  <c:v>45000</c:v>
                </c:pt>
                <c:pt idx="135">
                  <c:v>44993</c:v>
                </c:pt>
                <c:pt idx="136">
                  <c:v>44986</c:v>
                </c:pt>
                <c:pt idx="137">
                  <c:v>44979</c:v>
                </c:pt>
                <c:pt idx="138">
                  <c:v>44972</c:v>
                </c:pt>
                <c:pt idx="139">
                  <c:v>44965</c:v>
                </c:pt>
                <c:pt idx="140">
                  <c:v>44958</c:v>
                </c:pt>
                <c:pt idx="141">
                  <c:v>44951</c:v>
                </c:pt>
                <c:pt idx="142">
                  <c:v>44944</c:v>
                </c:pt>
                <c:pt idx="143">
                  <c:v>44937</c:v>
                </c:pt>
                <c:pt idx="144">
                  <c:v>44930</c:v>
                </c:pt>
                <c:pt idx="145">
                  <c:v>44923</c:v>
                </c:pt>
                <c:pt idx="146">
                  <c:v>44916</c:v>
                </c:pt>
                <c:pt idx="147">
                  <c:v>44909</c:v>
                </c:pt>
                <c:pt idx="148">
                  <c:v>44902</c:v>
                </c:pt>
                <c:pt idx="149">
                  <c:v>44895</c:v>
                </c:pt>
                <c:pt idx="150">
                  <c:v>44888</c:v>
                </c:pt>
                <c:pt idx="151">
                  <c:v>44881</c:v>
                </c:pt>
                <c:pt idx="152">
                  <c:v>44874</c:v>
                </c:pt>
                <c:pt idx="153">
                  <c:v>44867</c:v>
                </c:pt>
                <c:pt idx="154">
                  <c:v>44860</c:v>
                </c:pt>
              </c:numCache>
            </c:numRef>
          </c:cat>
          <c:val>
            <c:numRef>
              <c:f>'Stock Data'!$N$5:$N$159</c:f>
              <c:numCache>
                <c:formatCode>0.0</c:formatCode>
                <c:ptCount val="155"/>
                <c:pt idx="0">
                  <c:v>41.918300000000002</c:v>
                </c:pt>
                <c:pt idx="1">
                  <c:v>41.918300000000002</c:v>
                </c:pt>
                <c:pt idx="2">
                  <c:v>42.968499999999999</c:v>
                </c:pt>
                <c:pt idx="3">
                  <c:v>42.843000000000004</c:v>
                </c:pt>
                <c:pt idx="4">
                  <c:v>43.027900000000002</c:v>
                </c:pt>
                <c:pt idx="5">
                  <c:v>41.561599999999999</c:v>
                </c:pt>
                <c:pt idx="6">
                  <c:v>43.628999999999998</c:v>
                </c:pt>
                <c:pt idx="7">
                  <c:v>41.8324</c:v>
                </c:pt>
                <c:pt idx="8">
                  <c:v>43.034500000000001</c:v>
                </c:pt>
                <c:pt idx="9">
                  <c:v>40.636899999999997</c:v>
                </c:pt>
                <c:pt idx="10">
                  <c:v>43.688400000000001</c:v>
                </c:pt>
                <c:pt idx="11">
                  <c:v>44.583399999999997</c:v>
                </c:pt>
                <c:pt idx="12">
                  <c:v>42.436799999999998</c:v>
                </c:pt>
                <c:pt idx="13">
                  <c:v>43.635599999999997</c:v>
                </c:pt>
                <c:pt idx="14">
                  <c:v>43.757800000000003</c:v>
                </c:pt>
                <c:pt idx="15">
                  <c:v>39.9313</c:v>
                </c:pt>
                <c:pt idx="16">
                  <c:v>38.833500000000001</c:v>
                </c:pt>
                <c:pt idx="17">
                  <c:v>38.823799999999999</c:v>
                </c:pt>
                <c:pt idx="18">
                  <c:v>37.001600000000003</c:v>
                </c:pt>
                <c:pt idx="19">
                  <c:v>38.093000000000004</c:v>
                </c:pt>
                <c:pt idx="20">
                  <c:v>38.8367</c:v>
                </c:pt>
                <c:pt idx="21">
                  <c:v>41.119300000000003</c:v>
                </c:pt>
                <c:pt idx="22">
                  <c:v>35.246899999999997</c:v>
                </c:pt>
                <c:pt idx="23">
                  <c:v>34.165199999999999</c:v>
                </c:pt>
                <c:pt idx="24">
                  <c:v>32.182000000000002</c:v>
                </c:pt>
                <c:pt idx="25">
                  <c:v>30.099</c:v>
                </c:pt>
                <c:pt idx="26">
                  <c:v>33.984900000000003</c:v>
                </c:pt>
                <c:pt idx="27">
                  <c:v>35.836100000000002</c:v>
                </c:pt>
                <c:pt idx="28">
                  <c:v>34.820900000000002</c:v>
                </c:pt>
                <c:pt idx="29">
                  <c:v>35.024999999999999</c:v>
                </c:pt>
                <c:pt idx="30">
                  <c:v>34.246099999999998</c:v>
                </c:pt>
                <c:pt idx="31">
                  <c:v>35.405099999999997</c:v>
                </c:pt>
                <c:pt idx="32">
                  <c:v>38.432699999999997</c:v>
                </c:pt>
                <c:pt idx="33">
                  <c:v>43.153100000000002</c:v>
                </c:pt>
                <c:pt idx="34">
                  <c:v>45.480400000000003</c:v>
                </c:pt>
                <c:pt idx="35">
                  <c:v>42.8108</c:v>
                </c:pt>
                <c:pt idx="36">
                  <c:v>42.697699999999998</c:v>
                </c:pt>
                <c:pt idx="37">
                  <c:v>42.939599999999999</c:v>
                </c:pt>
                <c:pt idx="38">
                  <c:v>42.835900000000002</c:v>
                </c:pt>
                <c:pt idx="39">
                  <c:v>43.084000000000003</c:v>
                </c:pt>
                <c:pt idx="40">
                  <c:v>41.614199999999997</c:v>
                </c:pt>
                <c:pt idx="41">
                  <c:v>40.238599999999998</c:v>
                </c:pt>
                <c:pt idx="42">
                  <c:v>44.5655</c:v>
                </c:pt>
                <c:pt idx="43">
                  <c:v>47.780500000000004</c:v>
                </c:pt>
                <c:pt idx="44">
                  <c:v>46.874000000000002</c:v>
                </c:pt>
                <c:pt idx="45">
                  <c:v>45.3904</c:v>
                </c:pt>
                <c:pt idx="46">
                  <c:v>44.275399999999998</c:v>
                </c:pt>
                <c:pt idx="47">
                  <c:v>45.175899999999999</c:v>
                </c:pt>
                <c:pt idx="48">
                  <c:v>45.843699999999998</c:v>
                </c:pt>
                <c:pt idx="49">
                  <c:v>40.486400000000003</c:v>
                </c:pt>
                <c:pt idx="50">
                  <c:v>33.077399999999997</c:v>
                </c:pt>
                <c:pt idx="51">
                  <c:v>35.301299999999998</c:v>
                </c:pt>
                <c:pt idx="52">
                  <c:v>32.947499999999998</c:v>
                </c:pt>
                <c:pt idx="53">
                  <c:v>32.467100000000002</c:v>
                </c:pt>
                <c:pt idx="54">
                  <c:v>35.704799999999999</c:v>
                </c:pt>
                <c:pt idx="55">
                  <c:v>34.961599999999997</c:v>
                </c:pt>
                <c:pt idx="56">
                  <c:v>32.261600000000001</c:v>
                </c:pt>
                <c:pt idx="57">
                  <c:v>35.642000000000003</c:v>
                </c:pt>
                <c:pt idx="58">
                  <c:v>36.946599999999997</c:v>
                </c:pt>
                <c:pt idx="59">
                  <c:v>38.335700000000003</c:v>
                </c:pt>
                <c:pt idx="60">
                  <c:v>36.629800000000003</c:v>
                </c:pt>
                <c:pt idx="61">
                  <c:v>34.372</c:v>
                </c:pt>
                <c:pt idx="62">
                  <c:v>36.027700000000003</c:v>
                </c:pt>
                <c:pt idx="63">
                  <c:v>34.494300000000003</c:v>
                </c:pt>
                <c:pt idx="64">
                  <c:v>35.786299999999997</c:v>
                </c:pt>
                <c:pt idx="65">
                  <c:v>31.976199999999999</c:v>
                </c:pt>
                <c:pt idx="66">
                  <c:v>33.584899999999998</c:v>
                </c:pt>
                <c:pt idx="67">
                  <c:v>37.819499999999998</c:v>
                </c:pt>
                <c:pt idx="68">
                  <c:v>37.826700000000002</c:v>
                </c:pt>
                <c:pt idx="69">
                  <c:v>38.348700000000001</c:v>
                </c:pt>
                <c:pt idx="70">
                  <c:v>39.061599999999999</c:v>
                </c:pt>
                <c:pt idx="71">
                  <c:v>38.669199999999996</c:v>
                </c:pt>
                <c:pt idx="72">
                  <c:v>37.985100000000003</c:v>
                </c:pt>
                <c:pt idx="73">
                  <c:v>41.063299999999998</c:v>
                </c:pt>
                <c:pt idx="74">
                  <c:v>40.307200000000002</c:v>
                </c:pt>
                <c:pt idx="75">
                  <c:v>38.298299999999998</c:v>
                </c:pt>
                <c:pt idx="76">
                  <c:v>42.294499999999999</c:v>
                </c:pt>
                <c:pt idx="77">
                  <c:v>42.845300000000002</c:v>
                </c:pt>
                <c:pt idx="78">
                  <c:v>45.257399999999997</c:v>
                </c:pt>
                <c:pt idx="79">
                  <c:v>44.537399999999998</c:v>
                </c:pt>
                <c:pt idx="80">
                  <c:v>47.683399999999999</c:v>
                </c:pt>
                <c:pt idx="81">
                  <c:v>49.04</c:v>
                </c:pt>
                <c:pt idx="82">
                  <c:v>48.405099999999997</c:v>
                </c:pt>
                <c:pt idx="83">
                  <c:v>49.4146</c:v>
                </c:pt>
                <c:pt idx="84">
                  <c:v>46.429400000000001</c:v>
                </c:pt>
                <c:pt idx="85">
                  <c:v>47.017000000000003</c:v>
                </c:pt>
                <c:pt idx="86">
                  <c:v>47.431100000000001</c:v>
                </c:pt>
                <c:pt idx="87">
                  <c:v>45.956200000000003</c:v>
                </c:pt>
                <c:pt idx="88">
                  <c:v>33.692300000000003</c:v>
                </c:pt>
                <c:pt idx="89">
                  <c:v>33.132300000000001</c:v>
                </c:pt>
                <c:pt idx="90">
                  <c:v>32.0321</c:v>
                </c:pt>
                <c:pt idx="91">
                  <c:v>33.566099999999999</c:v>
                </c:pt>
                <c:pt idx="92">
                  <c:v>32.564500000000002</c:v>
                </c:pt>
                <c:pt idx="93">
                  <c:v>38.435000000000002</c:v>
                </c:pt>
                <c:pt idx="94">
                  <c:v>37.054400000000001</c:v>
                </c:pt>
                <c:pt idx="95">
                  <c:v>36.460299999999997</c:v>
                </c:pt>
                <c:pt idx="96">
                  <c:v>34.818899999999999</c:v>
                </c:pt>
                <c:pt idx="97">
                  <c:v>36.750900000000001</c:v>
                </c:pt>
                <c:pt idx="98">
                  <c:v>37.994799999999998</c:v>
                </c:pt>
                <c:pt idx="99">
                  <c:v>36.622700000000002</c:v>
                </c:pt>
                <c:pt idx="100">
                  <c:v>34.96</c:v>
                </c:pt>
                <c:pt idx="101">
                  <c:v>33.327199999999998</c:v>
                </c:pt>
                <c:pt idx="102">
                  <c:v>29.625599999999999</c:v>
                </c:pt>
                <c:pt idx="103">
                  <c:v>31.604600000000001</c:v>
                </c:pt>
                <c:pt idx="104">
                  <c:v>33.861499999999999</c:v>
                </c:pt>
                <c:pt idx="105">
                  <c:v>31.758500000000002</c:v>
                </c:pt>
                <c:pt idx="106">
                  <c:v>29.224499999999999</c:v>
                </c:pt>
                <c:pt idx="107">
                  <c:v>28.778199999999998</c:v>
                </c:pt>
                <c:pt idx="108">
                  <c:v>29.712399999999999</c:v>
                </c:pt>
                <c:pt idx="109">
                  <c:v>30.312999999999999</c:v>
                </c:pt>
                <c:pt idx="110">
                  <c:v>30.655000000000001</c:v>
                </c:pt>
                <c:pt idx="111">
                  <c:v>29.316199999999998</c:v>
                </c:pt>
                <c:pt idx="112">
                  <c:v>30.104500000000002</c:v>
                </c:pt>
                <c:pt idx="113">
                  <c:v>30.755099999999999</c:v>
                </c:pt>
                <c:pt idx="114">
                  <c:v>28.482099999999999</c:v>
                </c:pt>
                <c:pt idx="115">
                  <c:v>29.883400000000002</c:v>
                </c:pt>
                <c:pt idx="116">
                  <c:v>28.544599999999999</c:v>
                </c:pt>
                <c:pt idx="117">
                  <c:v>24.67</c:v>
                </c:pt>
                <c:pt idx="118">
                  <c:v>24.382200000000001</c:v>
                </c:pt>
                <c:pt idx="119">
                  <c:v>20.5442</c:v>
                </c:pt>
                <c:pt idx="120">
                  <c:v>18.249099999999999</c:v>
                </c:pt>
                <c:pt idx="121">
                  <c:v>17.9968</c:v>
                </c:pt>
                <c:pt idx="122">
                  <c:v>17.274999999999999</c:v>
                </c:pt>
                <c:pt idx="123">
                  <c:v>16.444500000000001</c:v>
                </c:pt>
                <c:pt idx="124">
                  <c:v>16.381399999999999</c:v>
                </c:pt>
                <c:pt idx="125">
                  <c:v>16.511099999999999</c:v>
                </c:pt>
                <c:pt idx="126">
                  <c:v>16.581199999999999</c:v>
                </c:pt>
                <c:pt idx="127">
                  <c:v>15.558</c:v>
                </c:pt>
                <c:pt idx="128">
                  <c:v>14.615399999999999</c:v>
                </c:pt>
                <c:pt idx="129">
                  <c:v>12.117000000000001</c:v>
                </c:pt>
                <c:pt idx="130">
                  <c:v>11.4092</c:v>
                </c:pt>
                <c:pt idx="131">
                  <c:v>10.4526</c:v>
                </c:pt>
                <c:pt idx="132">
                  <c:v>11.2308</c:v>
                </c:pt>
                <c:pt idx="133">
                  <c:v>11.4955</c:v>
                </c:pt>
                <c:pt idx="134">
                  <c:v>11.9595</c:v>
                </c:pt>
                <c:pt idx="135">
                  <c:v>12.796900000000001</c:v>
                </c:pt>
                <c:pt idx="136">
                  <c:v>12.5069</c:v>
                </c:pt>
                <c:pt idx="137">
                  <c:v>12.554</c:v>
                </c:pt>
                <c:pt idx="138">
                  <c:v>13.688700000000001</c:v>
                </c:pt>
                <c:pt idx="139">
                  <c:v>15.9436</c:v>
                </c:pt>
                <c:pt idx="140">
                  <c:v>15.6463</c:v>
                </c:pt>
                <c:pt idx="141">
                  <c:v>13.775700000000001</c:v>
                </c:pt>
                <c:pt idx="142">
                  <c:v>13.5944</c:v>
                </c:pt>
                <c:pt idx="143">
                  <c:v>13.6814</c:v>
                </c:pt>
                <c:pt idx="144">
                  <c:v>12.1081</c:v>
                </c:pt>
                <c:pt idx="145">
                  <c:v>11.1851</c:v>
                </c:pt>
                <c:pt idx="146">
                  <c:v>11.694599999999999</c:v>
                </c:pt>
                <c:pt idx="147">
                  <c:v>12.597</c:v>
                </c:pt>
                <c:pt idx="148">
                  <c:v>11.894399999999999</c:v>
                </c:pt>
                <c:pt idx="149">
                  <c:v>12.860099999999999</c:v>
                </c:pt>
                <c:pt idx="150">
                  <c:v>12.5204</c:v>
                </c:pt>
                <c:pt idx="151">
                  <c:v>12.5671</c:v>
                </c:pt>
                <c:pt idx="152">
                  <c:v>11.4482</c:v>
                </c:pt>
                <c:pt idx="153">
                  <c:v>10.622400000000001</c:v>
                </c:pt>
                <c:pt idx="154">
                  <c:v>9.9611000000000001</c:v>
                </c:pt>
              </c:numCache>
            </c:numRef>
          </c:val>
          <c:smooth val="0"/>
          <c:extLst>
            <c:ext xmlns:c16="http://schemas.microsoft.com/office/drawing/2014/chart" uri="{C3380CC4-5D6E-409C-BE32-E72D297353CC}">
              <c16:uniqueId val="{00000004-D72A-4DDA-A333-B3FDE0305032}"/>
            </c:ext>
          </c:extLst>
        </c:ser>
        <c:ser>
          <c:idx val="5"/>
          <c:order val="5"/>
          <c:tx>
            <c:strRef>
              <c:f>Inputs!$B$25</c:f>
              <c:strCache>
                <c:ptCount val="1"/>
                <c:pt idx="0">
                  <c:v>HUNT (JB) TRANS</c:v>
                </c:pt>
              </c:strCache>
            </c:strRef>
          </c:tx>
          <c:spPr>
            <a:ln w="28575" cap="rnd">
              <a:solidFill>
                <a:schemeClr val="accent6"/>
              </a:solidFill>
              <a:round/>
            </a:ln>
            <a:effectLst/>
          </c:spPr>
          <c:marker>
            <c:symbol val="none"/>
          </c:marker>
          <c:cat>
            <c:numRef>
              <c:f>'Stock Data'!$B$5:$B$159</c:f>
              <c:numCache>
                <c:formatCode>m/d/yyyy</c:formatCode>
                <c:ptCount val="155"/>
                <c:pt idx="0">
                  <c:v>45938</c:v>
                </c:pt>
                <c:pt idx="1">
                  <c:v>45931</c:v>
                </c:pt>
                <c:pt idx="2">
                  <c:v>45924</c:v>
                </c:pt>
                <c:pt idx="3">
                  <c:v>45917</c:v>
                </c:pt>
                <c:pt idx="4">
                  <c:v>45910</c:v>
                </c:pt>
                <c:pt idx="5">
                  <c:v>45903</c:v>
                </c:pt>
                <c:pt idx="6">
                  <c:v>45896</c:v>
                </c:pt>
                <c:pt idx="7">
                  <c:v>45889</c:v>
                </c:pt>
                <c:pt idx="8">
                  <c:v>45882</c:v>
                </c:pt>
                <c:pt idx="9">
                  <c:v>45875</c:v>
                </c:pt>
                <c:pt idx="10">
                  <c:v>45868</c:v>
                </c:pt>
                <c:pt idx="11">
                  <c:v>45861</c:v>
                </c:pt>
                <c:pt idx="12">
                  <c:v>45854</c:v>
                </c:pt>
                <c:pt idx="13">
                  <c:v>45847</c:v>
                </c:pt>
                <c:pt idx="14">
                  <c:v>45840</c:v>
                </c:pt>
                <c:pt idx="15">
                  <c:v>45833</c:v>
                </c:pt>
                <c:pt idx="16">
                  <c:v>45826</c:v>
                </c:pt>
                <c:pt idx="17">
                  <c:v>45819</c:v>
                </c:pt>
                <c:pt idx="18">
                  <c:v>45812</c:v>
                </c:pt>
                <c:pt idx="19">
                  <c:v>45805</c:v>
                </c:pt>
                <c:pt idx="20">
                  <c:v>45798</c:v>
                </c:pt>
                <c:pt idx="21">
                  <c:v>45791</c:v>
                </c:pt>
                <c:pt idx="22">
                  <c:v>45784</c:v>
                </c:pt>
                <c:pt idx="23">
                  <c:v>45777</c:v>
                </c:pt>
                <c:pt idx="24">
                  <c:v>45770</c:v>
                </c:pt>
                <c:pt idx="25">
                  <c:v>45763</c:v>
                </c:pt>
                <c:pt idx="26">
                  <c:v>45756</c:v>
                </c:pt>
                <c:pt idx="27">
                  <c:v>45749</c:v>
                </c:pt>
                <c:pt idx="28">
                  <c:v>45742</c:v>
                </c:pt>
                <c:pt idx="29">
                  <c:v>45735</c:v>
                </c:pt>
                <c:pt idx="30">
                  <c:v>45728</c:v>
                </c:pt>
                <c:pt idx="31">
                  <c:v>45721</c:v>
                </c:pt>
                <c:pt idx="32">
                  <c:v>45714</c:v>
                </c:pt>
                <c:pt idx="33">
                  <c:v>45707</c:v>
                </c:pt>
                <c:pt idx="34">
                  <c:v>45700</c:v>
                </c:pt>
                <c:pt idx="35">
                  <c:v>45693</c:v>
                </c:pt>
                <c:pt idx="36">
                  <c:v>45686</c:v>
                </c:pt>
                <c:pt idx="37">
                  <c:v>45679</c:v>
                </c:pt>
                <c:pt idx="38">
                  <c:v>45672</c:v>
                </c:pt>
                <c:pt idx="39">
                  <c:v>45665</c:v>
                </c:pt>
                <c:pt idx="40">
                  <c:v>45658</c:v>
                </c:pt>
                <c:pt idx="41">
                  <c:v>45651</c:v>
                </c:pt>
                <c:pt idx="42">
                  <c:v>45644</c:v>
                </c:pt>
                <c:pt idx="43">
                  <c:v>45637</c:v>
                </c:pt>
                <c:pt idx="44">
                  <c:v>45630</c:v>
                </c:pt>
                <c:pt idx="45">
                  <c:v>45623</c:v>
                </c:pt>
                <c:pt idx="46">
                  <c:v>45616</c:v>
                </c:pt>
                <c:pt idx="47">
                  <c:v>45609</c:v>
                </c:pt>
                <c:pt idx="48">
                  <c:v>45602</c:v>
                </c:pt>
                <c:pt idx="49">
                  <c:v>45595</c:v>
                </c:pt>
                <c:pt idx="50">
                  <c:v>45588</c:v>
                </c:pt>
                <c:pt idx="51">
                  <c:v>45581</c:v>
                </c:pt>
                <c:pt idx="52">
                  <c:v>45574</c:v>
                </c:pt>
                <c:pt idx="53">
                  <c:v>45567</c:v>
                </c:pt>
                <c:pt idx="54">
                  <c:v>45560</c:v>
                </c:pt>
                <c:pt idx="55">
                  <c:v>45553</c:v>
                </c:pt>
                <c:pt idx="56">
                  <c:v>45546</c:v>
                </c:pt>
                <c:pt idx="57">
                  <c:v>45539</c:v>
                </c:pt>
                <c:pt idx="58">
                  <c:v>45532</c:v>
                </c:pt>
                <c:pt idx="59">
                  <c:v>45525</c:v>
                </c:pt>
                <c:pt idx="60">
                  <c:v>45518</c:v>
                </c:pt>
                <c:pt idx="61">
                  <c:v>45511</c:v>
                </c:pt>
                <c:pt idx="62">
                  <c:v>45504</c:v>
                </c:pt>
                <c:pt idx="63">
                  <c:v>45497</c:v>
                </c:pt>
                <c:pt idx="64">
                  <c:v>45490</c:v>
                </c:pt>
                <c:pt idx="65">
                  <c:v>45483</c:v>
                </c:pt>
                <c:pt idx="66">
                  <c:v>45476</c:v>
                </c:pt>
                <c:pt idx="67">
                  <c:v>45469</c:v>
                </c:pt>
                <c:pt idx="68">
                  <c:v>45462</c:v>
                </c:pt>
                <c:pt idx="69">
                  <c:v>45455</c:v>
                </c:pt>
                <c:pt idx="70">
                  <c:v>45448</c:v>
                </c:pt>
                <c:pt idx="71">
                  <c:v>45441</c:v>
                </c:pt>
                <c:pt idx="72">
                  <c:v>45434</c:v>
                </c:pt>
                <c:pt idx="73">
                  <c:v>45427</c:v>
                </c:pt>
                <c:pt idx="74">
                  <c:v>45420</c:v>
                </c:pt>
                <c:pt idx="75">
                  <c:v>45413</c:v>
                </c:pt>
                <c:pt idx="76">
                  <c:v>45406</c:v>
                </c:pt>
                <c:pt idx="77">
                  <c:v>45399</c:v>
                </c:pt>
                <c:pt idx="78">
                  <c:v>45392</c:v>
                </c:pt>
                <c:pt idx="79">
                  <c:v>45385</c:v>
                </c:pt>
                <c:pt idx="80">
                  <c:v>45378</c:v>
                </c:pt>
                <c:pt idx="81">
                  <c:v>45371</c:v>
                </c:pt>
                <c:pt idx="82">
                  <c:v>45364</c:v>
                </c:pt>
                <c:pt idx="83">
                  <c:v>45357</c:v>
                </c:pt>
                <c:pt idx="84">
                  <c:v>45350</c:v>
                </c:pt>
                <c:pt idx="85">
                  <c:v>45343</c:v>
                </c:pt>
                <c:pt idx="86">
                  <c:v>45336</c:v>
                </c:pt>
                <c:pt idx="87">
                  <c:v>45329</c:v>
                </c:pt>
                <c:pt idx="88">
                  <c:v>45322</c:v>
                </c:pt>
                <c:pt idx="89">
                  <c:v>45315</c:v>
                </c:pt>
                <c:pt idx="90">
                  <c:v>45308</c:v>
                </c:pt>
                <c:pt idx="91">
                  <c:v>45301</c:v>
                </c:pt>
                <c:pt idx="92">
                  <c:v>45294</c:v>
                </c:pt>
                <c:pt idx="93">
                  <c:v>45287</c:v>
                </c:pt>
                <c:pt idx="94">
                  <c:v>45280</c:v>
                </c:pt>
                <c:pt idx="95">
                  <c:v>45273</c:v>
                </c:pt>
                <c:pt idx="96">
                  <c:v>45266</c:v>
                </c:pt>
                <c:pt idx="97">
                  <c:v>45259</c:v>
                </c:pt>
                <c:pt idx="98">
                  <c:v>45252</c:v>
                </c:pt>
                <c:pt idx="99">
                  <c:v>45245</c:v>
                </c:pt>
                <c:pt idx="100">
                  <c:v>45238</c:v>
                </c:pt>
                <c:pt idx="101">
                  <c:v>45231</c:v>
                </c:pt>
                <c:pt idx="102">
                  <c:v>45224</c:v>
                </c:pt>
                <c:pt idx="103">
                  <c:v>45217</c:v>
                </c:pt>
                <c:pt idx="104">
                  <c:v>45210</c:v>
                </c:pt>
                <c:pt idx="105">
                  <c:v>45203</c:v>
                </c:pt>
                <c:pt idx="106">
                  <c:v>45196</c:v>
                </c:pt>
                <c:pt idx="107">
                  <c:v>45189</c:v>
                </c:pt>
                <c:pt idx="108">
                  <c:v>45182</c:v>
                </c:pt>
                <c:pt idx="109">
                  <c:v>45175</c:v>
                </c:pt>
                <c:pt idx="110">
                  <c:v>45168</c:v>
                </c:pt>
                <c:pt idx="111">
                  <c:v>45161</c:v>
                </c:pt>
                <c:pt idx="112">
                  <c:v>45154</c:v>
                </c:pt>
                <c:pt idx="113">
                  <c:v>45147</c:v>
                </c:pt>
                <c:pt idx="114">
                  <c:v>45140</c:v>
                </c:pt>
                <c:pt idx="115">
                  <c:v>45133</c:v>
                </c:pt>
                <c:pt idx="116">
                  <c:v>45126</c:v>
                </c:pt>
                <c:pt idx="117">
                  <c:v>45119</c:v>
                </c:pt>
                <c:pt idx="118">
                  <c:v>45112</c:v>
                </c:pt>
                <c:pt idx="119">
                  <c:v>45105</c:v>
                </c:pt>
                <c:pt idx="120">
                  <c:v>45098</c:v>
                </c:pt>
                <c:pt idx="121">
                  <c:v>45091</c:v>
                </c:pt>
                <c:pt idx="122">
                  <c:v>45084</c:v>
                </c:pt>
                <c:pt idx="123">
                  <c:v>45077</c:v>
                </c:pt>
                <c:pt idx="124">
                  <c:v>45070</c:v>
                </c:pt>
                <c:pt idx="125">
                  <c:v>45063</c:v>
                </c:pt>
                <c:pt idx="126">
                  <c:v>45056</c:v>
                </c:pt>
                <c:pt idx="127">
                  <c:v>45049</c:v>
                </c:pt>
                <c:pt idx="128">
                  <c:v>45042</c:v>
                </c:pt>
                <c:pt idx="129">
                  <c:v>45035</c:v>
                </c:pt>
                <c:pt idx="130">
                  <c:v>45028</c:v>
                </c:pt>
                <c:pt idx="131">
                  <c:v>45021</c:v>
                </c:pt>
                <c:pt idx="132">
                  <c:v>45014</c:v>
                </c:pt>
                <c:pt idx="133">
                  <c:v>45007</c:v>
                </c:pt>
                <c:pt idx="134">
                  <c:v>45000</c:v>
                </c:pt>
                <c:pt idx="135">
                  <c:v>44993</c:v>
                </c:pt>
                <c:pt idx="136">
                  <c:v>44986</c:v>
                </c:pt>
                <c:pt idx="137">
                  <c:v>44979</c:v>
                </c:pt>
                <c:pt idx="138">
                  <c:v>44972</c:v>
                </c:pt>
                <c:pt idx="139">
                  <c:v>44965</c:v>
                </c:pt>
                <c:pt idx="140">
                  <c:v>44958</c:v>
                </c:pt>
                <c:pt idx="141">
                  <c:v>44951</c:v>
                </c:pt>
                <c:pt idx="142">
                  <c:v>44944</c:v>
                </c:pt>
                <c:pt idx="143">
                  <c:v>44937</c:v>
                </c:pt>
                <c:pt idx="144">
                  <c:v>44930</c:v>
                </c:pt>
                <c:pt idx="145">
                  <c:v>44923</c:v>
                </c:pt>
                <c:pt idx="146">
                  <c:v>44916</c:v>
                </c:pt>
                <c:pt idx="147">
                  <c:v>44909</c:v>
                </c:pt>
                <c:pt idx="148">
                  <c:v>44902</c:v>
                </c:pt>
                <c:pt idx="149">
                  <c:v>44895</c:v>
                </c:pt>
                <c:pt idx="150">
                  <c:v>44888</c:v>
                </c:pt>
                <c:pt idx="151">
                  <c:v>44881</c:v>
                </c:pt>
                <c:pt idx="152">
                  <c:v>44874</c:v>
                </c:pt>
                <c:pt idx="153">
                  <c:v>44867</c:v>
                </c:pt>
                <c:pt idx="154">
                  <c:v>44860</c:v>
                </c:pt>
              </c:numCache>
            </c:numRef>
          </c:cat>
          <c:val>
            <c:numRef>
              <c:f>'Stock Data'!$O$5:$O$159</c:f>
              <c:numCache>
                <c:formatCode>0.0</c:formatCode>
                <c:ptCount val="155"/>
                <c:pt idx="0">
                  <c:v>23.262699999999999</c:v>
                </c:pt>
                <c:pt idx="1">
                  <c:v>23.262699999999999</c:v>
                </c:pt>
                <c:pt idx="2">
                  <c:v>23.295999999999999</c:v>
                </c:pt>
                <c:pt idx="3">
                  <c:v>23.5853</c:v>
                </c:pt>
                <c:pt idx="4">
                  <c:v>24.009599999999999</c:v>
                </c:pt>
                <c:pt idx="5">
                  <c:v>25.4893</c:v>
                </c:pt>
                <c:pt idx="6">
                  <c:v>25.561199999999999</c:v>
                </c:pt>
                <c:pt idx="7">
                  <c:v>24.989699999999999</c:v>
                </c:pt>
                <c:pt idx="8">
                  <c:v>25.5718</c:v>
                </c:pt>
                <c:pt idx="9">
                  <c:v>25.1615</c:v>
                </c:pt>
                <c:pt idx="10">
                  <c:v>25.224599999999999</c:v>
                </c:pt>
                <c:pt idx="11">
                  <c:v>26.2713</c:v>
                </c:pt>
                <c:pt idx="12">
                  <c:v>26.5518</c:v>
                </c:pt>
                <c:pt idx="13">
                  <c:v>26.767499999999998</c:v>
                </c:pt>
                <c:pt idx="14">
                  <c:v>26.828900000000001</c:v>
                </c:pt>
                <c:pt idx="15">
                  <c:v>24.9101</c:v>
                </c:pt>
                <c:pt idx="16">
                  <c:v>24.2592</c:v>
                </c:pt>
                <c:pt idx="17">
                  <c:v>24.588999999999999</c:v>
                </c:pt>
                <c:pt idx="18">
                  <c:v>24.4512</c:v>
                </c:pt>
                <c:pt idx="19">
                  <c:v>24.194600000000001</c:v>
                </c:pt>
                <c:pt idx="20">
                  <c:v>24.321999999999999</c:v>
                </c:pt>
                <c:pt idx="21">
                  <c:v>25.808900000000001</c:v>
                </c:pt>
                <c:pt idx="22">
                  <c:v>23.201599999999999</c:v>
                </c:pt>
                <c:pt idx="23">
                  <c:v>22.788</c:v>
                </c:pt>
                <c:pt idx="24">
                  <c:v>22.749600000000001</c:v>
                </c:pt>
                <c:pt idx="25">
                  <c:v>21.767099999999999</c:v>
                </c:pt>
                <c:pt idx="26">
                  <c:v>24.719899999999999</c:v>
                </c:pt>
                <c:pt idx="27">
                  <c:v>26.662199999999999</c:v>
                </c:pt>
                <c:pt idx="28">
                  <c:v>26.171800000000001</c:v>
                </c:pt>
                <c:pt idx="29">
                  <c:v>25.421500000000002</c:v>
                </c:pt>
                <c:pt idx="30">
                  <c:v>26.700800000000001</c:v>
                </c:pt>
                <c:pt idx="31">
                  <c:v>27.667200000000001</c:v>
                </c:pt>
                <c:pt idx="32">
                  <c:v>27.715599999999998</c:v>
                </c:pt>
                <c:pt idx="33">
                  <c:v>29.259399999999999</c:v>
                </c:pt>
                <c:pt idx="34">
                  <c:v>28.460699999999999</c:v>
                </c:pt>
                <c:pt idx="35">
                  <c:v>29.472000000000001</c:v>
                </c:pt>
                <c:pt idx="36">
                  <c:v>29.7227</c:v>
                </c:pt>
                <c:pt idx="37">
                  <c:v>30.236999999999998</c:v>
                </c:pt>
                <c:pt idx="38">
                  <c:v>32.2502</c:v>
                </c:pt>
                <c:pt idx="39">
                  <c:v>30.742699999999999</c:v>
                </c:pt>
                <c:pt idx="40">
                  <c:v>29.596499999999999</c:v>
                </c:pt>
                <c:pt idx="41">
                  <c:v>30.274999999999999</c:v>
                </c:pt>
                <c:pt idx="42">
                  <c:v>29.972200000000001</c:v>
                </c:pt>
                <c:pt idx="43">
                  <c:v>32.0351</c:v>
                </c:pt>
                <c:pt idx="44">
                  <c:v>32.584200000000003</c:v>
                </c:pt>
                <c:pt idx="45">
                  <c:v>33.495899999999999</c:v>
                </c:pt>
                <c:pt idx="46">
                  <c:v>31.959399999999999</c:v>
                </c:pt>
                <c:pt idx="47">
                  <c:v>33.3005</c:v>
                </c:pt>
                <c:pt idx="48">
                  <c:v>33.9377</c:v>
                </c:pt>
                <c:pt idx="49">
                  <c:v>32.0122</c:v>
                </c:pt>
                <c:pt idx="50">
                  <c:v>30.880400000000002</c:v>
                </c:pt>
                <c:pt idx="51">
                  <c:v>31.707699999999999</c:v>
                </c:pt>
                <c:pt idx="52">
                  <c:v>29.233000000000001</c:v>
                </c:pt>
                <c:pt idx="53">
                  <c:v>29.593800000000002</c:v>
                </c:pt>
                <c:pt idx="54">
                  <c:v>28.4178</c:v>
                </c:pt>
                <c:pt idx="55">
                  <c:v>28.022400000000001</c:v>
                </c:pt>
                <c:pt idx="56">
                  <c:v>28.0075</c:v>
                </c:pt>
                <c:pt idx="57">
                  <c:v>28.596499999999999</c:v>
                </c:pt>
                <c:pt idx="58">
                  <c:v>28.819900000000001</c:v>
                </c:pt>
                <c:pt idx="59">
                  <c:v>29.04</c:v>
                </c:pt>
                <c:pt idx="60">
                  <c:v>27.075900000000001</c:v>
                </c:pt>
                <c:pt idx="61">
                  <c:v>26.953399999999998</c:v>
                </c:pt>
                <c:pt idx="62">
                  <c:v>28.651199999999999</c:v>
                </c:pt>
                <c:pt idx="63">
                  <c:v>27.103999999999999</c:v>
                </c:pt>
                <c:pt idx="64">
                  <c:v>27.1206</c:v>
                </c:pt>
                <c:pt idx="65">
                  <c:v>26.438800000000001</c:v>
                </c:pt>
                <c:pt idx="66">
                  <c:v>26.261800000000001</c:v>
                </c:pt>
                <c:pt idx="67">
                  <c:v>24.099399999999999</c:v>
                </c:pt>
                <c:pt idx="68">
                  <c:v>23.829499999999999</c:v>
                </c:pt>
                <c:pt idx="69">
                  <c:v>24.688400000000001</c:v>
                </c:pt>
                <c:pt idx="70">
                  <c:v>24.410799999999998</c:v>
                </c:pt>
                <c:pt idx="71">
                  <c:v>23.719100000000001</c:v>
                </c:pt>
                <c:pt idx="72">
                  <c:v>24.229800000000001</c:v>
                </c:pt>
                <c:pt idx="73">
                  <c:v>25.703700000000001</c:v>
                </c:pt>
                <c:pt idx="74">
                  <c:v>25.728300000000001</c:v>
                </c:pt>
                <c:pt idx="75">
                  <c:v>25.079499999999999</c:v>
                </c:pt>
                <c:pt idx="76">
                  <c:v>25.249700000000001</c:v>
                </c:pt>
                <c:pt idx="77">
                  <c:v>25.7865</c:v>
                </c:pt>
                <c:pt idx="78">
                  <c:v>28.863199999999999</c:v>
                </c:pt>
                <c:pt idx="79">
                  <c:v>30.242000000000001</c:v>
                </c:pt>
                <c:pt idx="80">
                  <c:v>27.184999999999999</c:v>
                </c:pt>
                <c:pt idx="81">
                  <c:v>27.165500000000002</c:v>
                </c:pt>
                <c:pt idx="82">
                  <c:v>28.058199999999999</c:v>
                </c:pt>
                <c:pt idx="83">
                  <c:v>27.828399999999998</c:v>
                </c:pt>
                <c:pt idx="84">
                  <c:v>28.5776</c:v>
                </c:pt>
                <c:pt idx="85">
                  <c:v>28.296299999999999</c:v>
                </c:pt>
                <c:pt idx="86">
                  <c:v>30.298999999999999</c:v>
                </c:pt>
                <c:pt idx="87">
                  <c:v>29.828299999999999</c:v>
                </c:pt>
                <c:pt idx="88">
                  <c:v>27.989899999999999</c:v>
                </c:pt>
                <c:pt idx="89">
                  <c:v>28.370100000000001</c:v>
                </c:pt>
                <c:pt idx="90">
                  <c:v>26.698899999999998</c:v>
                </c:pt>
                <c:pt idx="91">
                  <c:v>26.874400000000001</c:v>
                </c:pt>
                <c:pt idx="92">
                  <c:v>26.732299999999999</c:v>
                </c:pt>
                <c:pt idx="93">
                  <c:v>26.906700000000001</c:v>
                </c:pt>
                <c:pt idx="94">
                  <c:v>26.285399999999999</c:v>
                </c:pt>
                <c:pt idx="95">
                  <c:v>26.076499999999999</c:v>
                </c:pt>
                <c:pt idx="96">
                  <c:v>25.0215</c:v>
                </c:pt>
                <c:pt idx="97">
                  <c:v>24.2193</c:v>
                </c:pt>
                <c:pt idx="98">
                  <c:v>24.098299999999998</c:v>
                </c:pt>
                <c:pt idx="99">
                  <c:v>24.204699999999999</c:v>
                </c:pt>
                <c:pt idx="100">
                  <c:v>23.281400000000001</c:v>
                </c:pt>
                <c:pt idx="101">
                  <c:v>23.008700000000001</c:v>
                </c:pt>
                <c:pt idx="102">
                  <c:v>22.621600000000001</c:v>
                </c:pt>
                <c:pt idx="103">
                  <c:v>23.7697</c:v>
                </c:pt>
                <c:pt idx="104">
                  <c:v>25.777200000000001</c:v>
                </c:pt>
                <c:pt idx="105">
                  <c:v>24.920400000000001</c:v>
                </c:pt>
                <c:pt idx="106">
                  <c:v>22.554400000000001</c:v>
                </c:pt>
                <c:pt idx="107">
                  <c:v>23.537500000000001</c:v>
                </c:pt>
                <c:pt idx="108">
                  <c:v>23.011299999999999</c:v>
                </c:pt>
                <c:pt idx="109">
                  <c:v>22.5532</c:v>
                </c:pt>
                <c:pt idx="110">
                  <c:v>23.0915</c:v>
                </c:pt>
                <c:pt idx="111">
                  <c:v>23.1572</c:v>
                </c:pt>
                <c:pt idx="112">
                  <c:v>23.418399999999998</c:v>
                </c:pt>
                <c:pt idx="113">
                  <c:v>24.7224</c:v>
                </c:pt>
                <c:pt idx="114">
                  <c:v>24.899899999999999</c:v>
                </c:pt>
                <c:pt idx="115">
                  <c:v>24.6495</c:v>
                </c:pt>
                <c:pt idx="116">
                  <c:v>23.725899999999999</c:v>
                </c:pt>
                <c:pt idx="117">
                  <c:v>22.445</c:v>
                </c:pt>
                <c:pt idx="118">
                  <c:v>21.813099999999999</c:v>
                </c:pt>
                <c:pt idx="119">
                  <c:v>20.040600000000001</c:v>
                </c:pt>
                <c:pt idx="120">
                  <c:v>19.761600000000001</c:v>
                </c:pt>
                <c:pt idx="121">
                  <c:v>19.540900000000001</c:v>
                </c:pt>
                <c:pt idx="122">
                  <c:v>19.648399999999999</c:v>
                </c:pt>
                <c:pt idx="123">
                  <c:v>18.709399999999999</c:v>
                </c:pt>
                <c:pt idx="124">
                  <c:v>18.852900000000002</c:v>
                </c:pt>
                <c:pt idx="125">
                  <c:v>19.2865</c:v>
                </c:pt>
                <c:pt idx="126">
                  <c:v>19.7896</c:v>
                </c:pt>
                <c:pt idx="127">
                  <c:v>19.602499999999999</c:v>
                </c:pt>
                <c:pt idx="128">
                  <c:v>18.558199999999999</c:v>
                </c:pt>
                <c:pt idx="129">
                  <c:v>19.991299999999999</c:v>
                </c:pt>
                <c:pt idx="130">
                  <c:v>19.661899999999999</c:v>
                </c:pt>
                <c:pt idx="131">
                  <c:v>19.078099999999999</c:v>
                </c:pt>
                <c:pt idx="132">
                  <c:v>18.694500000000001</c:v>
                </c:pt>
                <c:pt idx="133">
                  <c:v>18.250800000000002</c:v>
                </c:pt>
                <c:pt idx="134">
                  <c:v>18.444299999999998</c:v>
                </c:pt>
                <c:pt idx="135">
                  <c:v>20.0639</c:v>
                </c:pt>
                <c:pt idx="136">
                  <c:v>19.906500000000001</c:v>
                </c:pt>
                <c:pt idx="137">
                  <c:v>19.953499999999998</c:v>
                </c:pt>
                <c:pt idx="138">
                  <c:v>21.026700000000002</c:v>
                </c:pt>
                <c:pt idx="139">
                  <c:v>21.609200000000001</c:v>
                </c:pt>
                <c:pt idx="140">
                  <c:v>21.415800000000001</c:v>
                </c:pt>
                <c:pt idx="141">
                  <c:v>20.612500000000001</c:v>
                </c:pt>
                <c:pt idx="142">
                  <c:v>20.220199999999998</c:v>
                </c:pt>
                <c:pt idx="143">
                  <c:v>19.745899999999999</c:v>
                </c:pt>
                <c:pt idx="144">
                  <c:v>19.122900000000001</c:v>
                </c:pt>
                <c:pt idx="145">
                  <c:v>18.237400000000001</c:v>
                </c:pt>
                <c:pt idx="146">
                  <c:v>18.604299999999999</c:v>
                </c:pt>
                <c:pt idx="147">
                  <c:v>19.576499999999999</c:v>
                </c:pt>
                <c:pt idx="148">
                  <c:v>18.4297</c:v>
                </c:pt>
                <c:pt idx="149">
                  <c:v>19.223099999999999</c:v>
                </c:pt>
                <c:pt idx="150">
                  <c:v>18.854099999999999</c:v>
                </c:pt>
                <c:pt idx="151">
                  <c:v>18.859300000000001</c:v>
                </c:pt>
                <c:pt idx="152">
                  <c:v>17.839099999999998</c:v>
                </c:pt>
                <c:pt idx="153">
                  <c:v>17.522300000000001</c:v>
                </c:pt>
                <c:pt idx="154">
                  <c:v>17.7272</c:v>
                </c:pt>
              </c:numCache>
            </c:numRef>
          </c:val>
          <c:smooth val="0"/>
          <c:extLst>
            <c:ext xmlns:c16="http://schemas.microsoft.com/office/drawing/2014/chart" uri="{C3380CC4-5D6E-409C-BE32-E72D297353CC}">
              <c16:uniqueId val="{00000005-D72A-4DDA-A333-B3FDE0305032}"/>
            </c:ext>
          </c:extLst>
        </c:ser>
        <c:dLbls>
          <c:showLegendKey val="0"/>
          <c:showVal val="0"/>
          <c:showCatName val="0"/>
          <c:showSerName val="0"/>
          <c:showPercent val="0"/>
          <c:showBubbleSize val="0"/>
        </c:dLbls>
        <c:smooth val="0"/>
        <c:axId val="1000053640"/>
        <c:axId val="1000054296"/>
      </c:lineChart>
      <c:dateAx>
        <c:axId val="100005364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0054296"/>
        <c:crosses val="autoZero"/>
        <c:auto val="1"/>
        <c:lblOffset val="100"/>
        <c:baseTimeUnit val="days"/>
      </c:dateAx>
      <c:valAx>
        <c:axId val="10000542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0053640"/>
        <c:crosses val="autoZero"/>
        <c:crossBetween val="between"/>
      </c:valAx>
      <c:spPr>
        <a:noFill/>
        <a:ln>
          <a:noFill/>
        </a:ln>
        <a:effectLst/>
      </c:spPr>
    </c:plotArea>
    <c:legend>
      <c:legendPos val="b"/>
      <c:layout>
        <c:manualLayout>
          <c:xMode val="edge"/>
          <c:yMode val="edge"/>
          <c:x val="0"/>
          <c:y val="0.8997184117325594"/>
          <c:w val="0.99565370984190071"/>
          <c:h val="8.698150398121092E-2"/>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WACC</c:v>
          </c:tx>
          <c:spPr>
            <a:ln w="28575" cap="rnd">
              <a:solidFill>
                <a:schemeClr val="accent1"/>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WACC!$D$39:$H$39</c:f>
              <c:numCache>
                <c:formatCode>0.00%</c:formatCode>
                <c:ptCount val="5"/>
                <c:pt idx="0">
                  <c:v>6.2472448230574115E-2</c:v>
                </c:pt>
                <c:pt idx="1">
                  <c:v>6.3325385367437675E-2</c:v>
                </c:pt>
                <c:pt idx="2">
                  <c:v>5.8373738870424595E-2</c:v>
                </c:pt>
                <c:pt idx="3">
                  <c:v>5.8527004830483204E-2</c:v>
                </c:pt>
                <c:pt idx="4">
                  <c:v>6.034349756128618E-2</c:v>
                </c:pt>
              </c:numCache>
            </c:numRef>
          </c:val>
          <c:smooth val="0"/>
          <c:extLst>
            <c:ext xmlns:c16="http://schemas.microsoft.com/office/drawing/2014/chart" uri="{C3380CC4-5D6E-409C-BE32-E72D297353CC}">
              <c16:uniqueId val="{00000000-F72C-4B80-A6C6-9C2F6C2F1E75}"/>
            </c:ext>
          </c:extLst>
        </c:ser>
        <c:ser>
          <c:idx val="1"/>
          <c:order val="1"/>
          <c:tx>
            <c:v>ROIC</c:v>
          </c:tx>
          <c:spPr>
            <a:ln w="28575" cap="rnd">
              <a:solidFill>
                <a:schemeClr val="accent2"/>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WACC!$D$45:$H$45</c:f>
              <c:numCache>
                <c:formatCode>0.00%</c:formatCode>
                <c:ptCount val="5"/>
                <c:pt idx="0">
                  <c:v>4.5759350553698758E-2</c:v>
                </c:pt>
                <c:pt idx="1">
                  <c:v>3.2358127260746175E-2</c:v>
                </c:pt>
                <c:pt idx="2">
                  <c:v>3.9077790406114733E-2</c:v>
                </c:pt>
                <c:pt idx="3">
                  <c:v>5.0958839969529365E-2</c:v>
                </c:pt>
                <c:pt idx="4">
                  <c:v>6.2719611308806628E-2</c:v>
                </c:pt>
              </c:numCache>
            </c:numRef>
          </c:val>
          <c:smooth val="0"/>
          <c:extLst>
            <c:ext xmlns:c16="http://schemas.microsoft.com/office/drawing/2014/chart" uri="{C3380CC4-5D6E-409C-BE32-E72D297353CC}">
              <c16:uniqueId val="{00000001-F72C-4B80-A6C6-9C2F6C2F1E75}"/>
            </c:ext>
          </c:extLst>
        </c:ser>
        <c:dLbls>
          <c:showLegendKey val="0"/>
          <c:showVal val="0"/>
          <c:showCatName val="0"/>
          <c:showSerName val="0"/>
          <c:showPercent val="0"/>
          <c:showBubbleSize val="0"/>
        </c:dLbls>
        <c:smooth val="0"/>
        <c:axId val="1098581088"/>
        <c:axId val="1098581568"/>
      </c:lineChart>
      <c:catAx>
        <c:axId val="109858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098581568"/>
        <c:crosses val="autoZero"/>
        <c:auto val="1"/>
        <c:lblAlgn val="ctr"/>
        <c:lblOffset val="100"/>
        <c:noMultiLvlLbl val="0"/>
      </c:catAx>
      <c:valAx>
        <c:axId val="1098581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098581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legend>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BE606D"/>
            </a:solidFill>
            <a:ln>
              <a:noFill/>
            </a:ln>
            <a:effectLst/>
          </c:spPr>
          <c:invertIfNegative val="0"/>
          <c:cat>
            <c:strRef>
              <c:f>Sensitivity!$AD$28:$AD$34</c:f>
              <c:strCache>
                <c:ptCount val="7"/>
                <c:pt idx="0">
                  <c:v>SG&amp;A Margin</c:v>
                </c:pt>
                <c:pt idx="1">
                  <c:v>Terminal g</c:v>
                </c:pt>
                <c:pt idx="2">
                  <c:v>Capex Intensity</c:v>
                </c:pt>
                <c:pt idx="3">
                  <c:v>WACC</c:v>
                </c:pt>
                <c:pt idx="4">
                  <c:v>COGS Margin</c:v>
                </c:pt>
                <c:pt idx="5">
                  <c:v>EBITDA Exit</c:v>
                </c:pt>
                <c:pt idx="6">
                  <c:v>Revenue Exit</c:v>
                </c:pt>
              </c:strCache>
            </c:strRef>
          </c:cat>
          <c:val>
            <c:numRef>
              <c:f>Sensitivity!$AJ$28:$AJ$34</c:f>
              <c:numCache>
                <c:formatCode>General</c:formatCode>
                <c:ptCount val="7"/>
                <c:pt idx="0">
                  <c:v>-35.779999999999973</c:v>
                </c:pt>
                <c:pt idx="1">
                  <c:v>-33.95999999999998</c:v>
                </c:pt>
                <c:pt idx="2">
                  <c:v>-43.689999999999969</c:v>
                </c:pt>
                <c:pt idx="3">
                  <c:v>-53.919999999999959</c:v>
                </c:pt>
                <c:pt idx="4">
                  <c:v>-68.769999999999982</c:v>
                </c:pt>
                <c:pt idx="5">
                  <c:v>-116.44999999999996</c:v>
                </c:pt>
                <c:pt idx="6">
                  <c:v>-163.01999999999998</c:v>
                </c:pt>
              </c:numCache>
            </c:numRef>
          </c:val>
          <c:extLst>
            <c:ext xmlns:c16="http://schemas.microsoft.com/office/drawing/2014/chart" uri="{C3380CC4-5D6E-409C-BE32-E72D297353CC}">
              <c16:uniqueId val="{00000000-F77E-4420-9A9D-82C0544507CB}"/>
            </c:ext>
          </c:extLst>
        </c:ser>
        <c:ser>
          <c:idx val="1"/>
          <c:order val="1"/>
          <c:spPr>
            <a:solidFill>
              <a:srgbClr val="7B1314"/>
            </a:solidFill>
            <a:ln>
              <a:noFill/>
            </a:ln>
            <a:effectLst/>
          </c:spPr>
          <c:invertIfNegative val="0"/>
          <c:cat>
            <c:strRef>
              <c:f>Sensitivity!$AD$28:$AD$34</c:f>
              <c:strCache>
                <c:ptCount val="7"/>
                <c:pt idx="0">
                  <c:v>SG&amp;A Margin</c:v>
                </c:pt>
                <c:pt idx="1">
                  <c:v>Terminal g</c:v>
                </c:pt>
                <c:pt idx="2">
                  <c:v>Capex Intensity</c:v>
                </c:pt>
                <c:pt idx="3">
                  <c:v>WACC</c:v>
                </c:pt>
                <c:pt idx="4">
                  <c:v>COGS Margin</c:v>
                </c:pt>
                <c:pt idx="5">
                  <c:v>EBITDA Exit</c:v>
                </c:pt>
                <c:pt idx="6">
                  <c:v>Revenue Exit</c:v>
                </c:pt>
              </c:strCache>
            </c:strRef>
          </c:cat>
          <c:val>
            <c:numRef>
              <c:f>Sensitivity!$AK$28:$AK$34</c:f>
              <c:numCache>
                <c:formatCode>General</c:formatCode>
                <c:ptCount val="7"/>
                <c:pt idx="0">
                  <c:v>35.770000000000039</c:v>
                </c:pt>
                <c:pt idx="1">
                  <c:v>42.5</c:v>
                </c:pt>
                <c:pt idx="2">
                  <c:v>43.680000000000007</c:v>
                </c:pt>
                <c:pt idx="3">
                  <c:v>68.670000000000016</c:v>
                </c:pt>
                <c:pt idx="4">
                  <c:v>68.760000000000048</c:v>
                </c:pt>
                <c:pt idx="5">
                  <c:v>113.91000000000003</c:v>
                </c:pt>
                <c:pt idx="6">
                  <c:v>154.73000000000002</c:v>
                </c:pt>
              </c:numCache>
            </c:numRef>
          </c:val>
          <c:extLst>
            <c:ext xmlns:c16="http://schemas.microsoft.com/office/drawing/2014/chart" uri="{C3380CC4-5D6E-409C-BE32-E72D297353CC}">
              <c16:uniqueId val="{00000001-F77E-4420-9A9D-82C0544507CB}"/>
            </c:ext>
          </c:extLst>
        </c:ser>
        <c:dLbls>
          <c:showLegendKey val="0"/>
          <c:showVal val="0"/>
          <c:showCatName val="0"/>
          <c:showSerName val="0"/>
          <c:showPercent val="0"/>
          <c:showBubbleSize val="0"/>
        </c:dLbls>
        <c:gapWidth val="50"/>
        <c:overlap val="100"/>
        <c:axId val="1326461311"/>
        <c:axId val="1326463231"/>
      </c:barChart>
      <c:catAx>
        <c:axId val="1326461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326463231"/>
        <c:crosses val="autoZero"/>
        <c:auto val="1"/>
        <c:lblAlgn val="ctr"/>
        <c:lblOffset val="100"/>
        <c:noMultiLvlLbl val="0"/>
      </c:catAx>
      <c:valAx>
        <c:axId val="13264632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32646131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'Stock Data'!$U$4</c:f>
              <c:strCache>
                <c:ptCount val="1"/>
                <c:pt idx="0">
                  <c:v>FDX US Equity</c:v>
                </c:pt>
              </c:strCache>
            </c:strRef>
          </c:tx>
          <c:spPr>
            <a:ln w="28575" cap="rnd">
              <a:solidFill>
                <a:schemeClr val="accent1"/>
              </a:solidFill>
              <a:round/>
            </a:ln>
            <a:effectLst/>
          </c:spPr>
          <c:marker>
            <c:symbol val="none"/>
          </c:marker>
          <c:cat>
            <c:numRef>
              <c:f>'Stock Data'!$Q$5:$Q$159</c:f>
              <c:numCache>
                <c:formatCode>m/d/yyyy</c:formatCode>
                <c:ptCount val="155"/>
                <c:pt idx="0">
                  <c:v>45938</c:v>
                </c:pt>
                <c:pt idx="1">
                  <c:v>45931</c:v>
                </c:pt>
                <c:pt idx="2">
                  <c:v>45924</c:v>
                </c:pt>
                <c:pt idx="3">
                  <c:v>45917</c:v>
                </c:pt>
                <c:pt idx="4">
                  <c:v>45910</c:v>
                </c:pt>
                <c:pt idx="5">
                  <c:v>45903</c:v>
                </c:pt>
                <c:pt idx="6">
                  <c:v>45896</c:v>
                </c:pt>
                <c:pt idx="7">
                  <c:v>45889</c:v>
                </c:pt>
                <c:pt idx="8">
                  <c:v>45882</c:v>
                </c:pt>
                <c:pt idx="9">
                  <c:v>45875</c:v>
                </c:pt>
                <c:pt idx="10">
                  <c:v>45868</c:v>
                </c:pt>
                <c:pt idx="11">
                  <c:v>45861</c:v>
                </c:pt>
                <c:pt idx="12">
                  <c:v>45854</c:v>
                </c:pt>
                <c:pt idx="13">
                  <c:v>45847</c:v>
                </c:pt>
                <c:pt idx="14">
                  <c:v>45840</c:v>
                </c:pt>
                <c:pt idx="15">
                  <c:v>45833</c:v>
                </c:pt>
                <c:pt idx="16">
                  <c:v>45826</c:v>
                </c:pt>
                <c:pt idx="17">
                  <c:v>45819</c:v>
                </c:pt>
                <c:pt idx="18">
                  <c:v>45812</c:v>
                </c:pt>
                <c:pt idx="19">
                  <c:v>45805</c:v>
                </c:pt>
                <c:pt idx="20">
                  <c:v>45798</c:v>
                </c:pt>
                <c:pt idx="21">
                  <c:v>45791</c:v>
                </c:pt>
                <c:pt idx="22">
                  <c:v>45784</c:v>
                </c:pt>
                <c:pt idx="23">
                  <c:v>45777</c:v>
                </c:pt>
                <c:pt idx="24">
                  <c:v>45770</c:v>
                </c:pt>
                <c:pt idx="25">
                  <c:v>45763</c:v>
                </c:pt>
                <c:pt idx="26">
                  <c:v>45756</c:v>
                </c:pt>
                <c:pt idx="27">
                  <c:v>45749</c:v>
                </c:pt>
                <c:pt idx="28">
                  <c:v>45742</c:v>
                </c:pt>
                <c:pt idx="29">
                  <c:v>45735</c:v>
                </c:pt>
                <c:pt idx="30">
                  <c:v>45728</c:v>
                </c:pt>
                <c:pt idx="31">
                  <c:v>45721</c:v>
                </c:pt>
                <c:pt idx="32">
                  <c:v>45714</c:v>
                </c:pt>
                <c:pt idx="33">
                  <c:v>45707</c:v>
                </c:pt>
                <c:pt idx="34">
                  <c:v>45700</c:v>
                </c:pt>
                <c:pt idx="35">
                  <c:v>45693</c:v>
                </c:pt>
                <c:pt idx="36">
                  <c:v>45686</c:v>
                </c:pt>
                <c:pt idx="37">
                  <c:v>45679</c:v>
                </c:pt>
                <c:pt idx="38">
                  <c:v>45672</c:v>
                </c:pt>
                <c:pt idx="39">
                  <c:v>45665</c:v>
                </c:pt>
                <c:pt idx="40">
                  <c:v>45658</c:v>
                </c:pt>
                <c:pt idx="41">
                  <c:v>45651</c:v>
                </c:pt>
                <c:pt idx="42">
                  <c:v>45644</c:v>
                </c:pt>
                <c:pt idx="43">
                  <c:v>45637</c:v>
                </c:pt>
                <c:pt idx="44">
                  <c:v>45630</c:v>
                </c:pt>
                <c:pt idx="45">
                  <c:v>45623</c:v>
                </c:pt>
                <c:pt idx="46">
                  <c:v>45616</c:v>
                </c:pt>
                <c:pt idx="47">
                  <c:v>45609</c:v>
                </c:pt>
                <c:pt idx="48">
                  <c:v>45602</c:v>
                </c:pt>
                <c:pt idx="49">
                  <c:v>45595</c:v>
                </c:pt>
                <c:pt idx="50">
                  <c:v>45588</c:v>
                </c:pt>
                <c:pt idx="51">
                  <c:v>45581</c:v>
                </c:pt>
                <c:pt idx="52">
                  <c:v>45574</c:v>
                </c:pt>
                <c:pt idx="53">
                  <c:v>45567</c:v>
                </c:pt>
                <c:pt idx="54">
                  <c:v>45560</c:v>
                </c:pt>
                <c:pt idx="55">
                  <c:v>45553</c:v>
                </c:pt>
                <c:pt idx="56">
                  <c:v>45546</c:v>
                </c:pt>
                <c:pt idx="57">
                  <c:v>45539</c:v>
                </c:pt>
                <c:pt idx="58">
                  <c:v>45532</c:v>
                </c:pt>
                <c:pt idx="59">
                  <c:v>45525</c:v>
                </c:pt>
                <c:pt idx="60">
                  <c:v>45518</c:v>
                </c:pt>
                <c:pt idx="61">
                  <c:v>45511</c:v>
                </c:pt>
                <c:pt idx="62">
                  <c:v>45504</c:v>
                </c:pt>
                <c:pt idx="63">
                  <c:v>45497</c:v>
                </c:pt>
                <c:pt idx="64">
                  <c:v>45490</c:v>
                </c:pt>
                <c:pt idx="65">
                  <c:v>45483</c:v>
                </c:pt>
                <c:pt idx="66">
                  <c:v>45476</c:v>
                </c:pt>
                <c:pt idx="67">
                  <c:v>45469</c:v>
                </c:pt>
                <c:pt idx="68">
                  <c:v>45462</c:v>
                </c:pt>
                <c:pt idx="69">
                  <c:v>45455</c:v>
                </c:pt>
                <c:pt idx="70">
                  <c:v>45448</c:v>
                </c:pt>
                <c:pt idx="71">
                  <c:v>45441</c:v>
                </c:pt>
                <c:pt idx="72">
                  <c:v>45434</c:v>
                </c:pt>
                <c:pt idx="73">
                  <c:v>45427</c:v>
                </c:pt>
                <c:pt idx="74">
                  <c:v>45420</c:v>
                </c:pt>
                <c:pt idx="75">
                  <c:v>45413</c:v>
                </c:pt>
                <c:pt idx="76">
                  <c:v>45406</c:v>
                </c:pt>
                <c:pt idx="77">
                  <c:v>45399</c:v>
                </c:pt>
                <c:pt idx="78">
                  <c:v>45392</c:v>
                </c:pt>
                <c:pt idx="79">
                  <c:v>45385</c:v>
                </c:pt>
                <c:pt idx="80">
                  <c:v>45378</c:v>
                </c:pt>
                <c:pt idx="81">
                  <c:v>45371</c:v>
                </c:pt>
                <c:pt idx="82">
                  <c:v>45364</c:v>
                </c:pt>
                <c:pt idx="83">
                  <c:v>45357</c:v>
                </c:pt>
                <c:pt idx="84">
                  <c:v>45350</c:v>
                </c:pt>
                <c:pt idx="85">
                  <c:v>45343</c:v>
                </c:pt>
                <c:pt idx="86">
                  <c:v>45336</c:v>
                </c:pt>
                <c:pt idx="87">
                  <c:v>45329</c:v>
                </c:pt>
                <c:pt idx="88">
                  <c:v>45322</c:v>
                </c:pt>
                <c:pt idx="89">
                  <c:v>45315</c:v>
                </c:pt>
                <c:pt idx="90">
                  <c:v>45308</c:v>
                </c:pt>
                <c:pt idx="91">
                  <c:v>45301</c:v>
                </c:pt>
                <c:pt idx="92">
                  <c:v>45294</c:v>
                </c:pt>
                <c:pt idx="93">
                  <c:v>45287</c:v>
                </c:pt>
                <c:pt idx="94">
                  <c:v>45280</c:v>
                </c:pt>
                <c:pt idx="95">
                  <c:v>45273</c:v>
                </c:pt>
                <c:pt idx="96">
                  <c:v>45266</c:v>
                </c:pt>
                <c:pt idx="97">
                  <c:v>45259</c:v>
                </c:pt>
                <c:pt idx="98">
                  <c:v>45252</c:v>
                </c:pt>
                <c:pt idx="99">
                  <c:v>45245</c:v>
                </c:pt>
                <c:pt idx="100">
                  <c:v>45238</c:v>
                </c:pt>
                <c:pt idx="101">
                  <c:v>45231</c:v>
                </c:pt>
                <c:pt idx="102">
                  <c:v>45224</c:v>
                </c:pt>
                <c:pt idx="103">
                  <c:v>45217</c:v>
                </c:pt>
                <c:pt idx="104">
                  <c:v>45210</c:v>
                </c:pt>
                <c:pt idx="105">
                  <c:v>45203</c:v>
                </c:pt>
                <c:pt idx="106">
                  <c:v>45196</c:v>
                </c:pt>
                <c:pt idx="107">
                  <c:v>45189</c:v>
                </c:pt>
                <c:pt idx="108">
                  <c:v>45182</c:v>
                </c:pt>
                <c:pt idx="109">
                  <c:v>45175</c:v>
                </c:pt>
                <c:pt idx="110">
                  <c:v>45168</c:v>
                </c:pt>
                <c:pt idx="111">
                  <c:v>45161</c:v>
                </c:pt>
                <c:pt idx="112">
                  <c:v>45154</c:v>
                </c:pt>
                <c:pt idx="113">
                  <c:v>45147</c:v>
                </c:pt>
                <c:pt idx="114">
                  <c:v>45140</c:v>
                </c:pt>
                <c:pt idx="115">
                  <c:v>45133</c:v>
                </c:pt>
                <c:pt idx="116">
                  <c:v>45126</c:v>
                </c:pt>
                <c:pt idx="117">
                  <c:v>45119</c:v>
                </c:pt>
                <c:pt idx="118">
                  <c:v>45112</c:v>
                </c:pt>
                <c:pt idx="119">
                  <c:v>45105</c:v>
                </c:pt>
                <c:pt idx="120">
                  <c:v>45098</c:v>
                </c:pt>
                <c:pt idx="121">
                  <c:v>45091</c:v>
                </c:pt>
                <c:pt idx="122">
                  <c:v>45084</c:v>
                </c:pt>
                <c:pt idx="123">
                  <c:v>45077</c:v>
                </c:pt>
                <c:pt idx="124">
                  <c:v>45070</c:v>
                </c:pt>
                <c:pt idx="125">
                  <c:v>45063</c:v>
                </c:pt>
                <c:pt idx="126">
                  <c:v>45056</c:v>
                </c:pt>
                <c:pt idx="127">
                  <c:v>45049</c:v>
                </c:pt>
                <c:pt idx="128">
                  <c:v>45042</c:v>
                </c:pt>
                <c:pt idx="129">
                  <c:v>45035</c:v>
                </c:pt>
                <c:pt idx="130">
                  <c:v>45028</c:v>
                </c:pt>
                <c:pt idx="131">
                  <c:v>45021</c:v>
                </c:pt>
                <c:pt idx="132">
                  <c:v>45014</c:v>
                </c:pt>
                <c:pt idx="133">
                  <c:v>45007</c:v>
                </c:pt>
                <c:pt idx="134">
                  <c:v>45000</c:v>
                </c:pt>
                <c:pt idx="135">
                  <c:v>44993</c:v>
                </c:pt>
                <c:pt idx="136">
                  <c:v>44986</c:v>
                </c:pt>
                <c:pt idx="137">
                  <c:v>44979</c:v>
                </c:pt>
                <c:pt idx="138">
                  <c:v>44972</c:v>
                </c:pt>
                <c:pt idx="139">
                  <c:v>44965</c:v>
                </c:pt>
                <c:pt idx="140">
                  <c:v>44958</c:v>
                </c:pt>
                <c:pt idx="141">
                  <c:v>44951</c:v>
                </c:pt>
                <c:pt idx="142">
                  <c:v>44944</c:v>
                </c:pt>
                <c:pt idx="143">
                  <c:v>44937</c:v>
                </c:pt>
                <c:pt idx="144">
                  <c:v>44930</c:v>
                </c:pt>
                <c:pt idx="145">
                  <c:v>44923</c:v>
                </c:pt>
                <c:pt idx="146">
                  <c:v>44916</c:v>
                </c:pt>
                <c:pt idx="147">
                  <c:v>44909</c:v>
                </c:pt>
                <c:pt idx="148">
                  <c:v>44902</c:v>
                </c:pt>
                <c:pt idx="149">
                  <c:v>44895</c:v>
                </c:pt>
                <c:pt idx="150">
                  <c:v>44888</c:v>
                </c:pt>
                <c:pt idx="151">
                  <c:v>44881</c:v>
                </c:pt>
                <c:pt idx="152">
                  <c:v>44874</c:v>
                </c:pt>
                <c:pt idx="153">
                  <c:v>44867</c:v>
                </c:pt>
                <c:pt idx="154">
                  <c:v>44860</c:v>
                </c:pt>
              </c:numCache>
            </c:numRef>
          </c:cat>
          <c:val>
            <c:numRef>
              <c:f>'Stock Data'!$U$5:$U$159</c:f>
              <c:numCache>
                <c:formatCode>General</c:formatCode>
                <c:ptCount val="155"/>
                <c:pt idx="0">
                  <c:v>1.5466022766471199</c:v>
                </c:pt>
                <c:pt idx="1">
                  <c:v>1.5466022766471199</c:v>
                </c:pt>
                <c:pt idx="2">
                  <c:v>1.5943428768540877</c:v>
                </c:pt>
                <c:pt idx="3">
                  <c:v>1.6083477061055538</c:v>
                </c:pt>
                <c:pt idx="4">
                  <c:v>1.5896516040013797</c:v>
                </c:pt>
                <c:pt idx="5">
                  <c:v>1.534391169368748</c:v>
                </c:pt>
                <c:pt idx="6">
                  <c:v>1.6180751983442567</c:v>
                </c:pt>
                <c:pt idx="7">
                  <c:v>1.5984822352535357</c:v>
                </c:pt>
                <c:pt idx="8">
                  <c:v>1.5913073473611592</c:v>
                </c:pt>
                <c:pt idx="9">
                  <c:v>1.6468437392204209</c:v>
                </c:pt>
                <c:pt idx="10">
                  <c:v>1.61662642290445</c:v>
                </c:pt>
                <c:pt idx="11">
                  <c:v>1.5833735770955502</c:v>
                </c:pt>
                <c:pt idx="12">
                  <c:v>1.5352190410486375</c:v>
                </c:pt>
                <c:pt idx="13">
                  <c:v>1.5726802345636428</c:v>
                </c:pt>
                <c:pt idx="14">
                  <c:v>1.5162469817178339</c:v>
                </c:pt>
                <c:pt idx="15">
                  <c:v>1.5161090031045188</c:v>
                </c:pt>
                <c:pt idx="16">
                  <c:v>1.5256295274232494</c:v>
                </c:pt>
                <c:pt idx="17">
                  <c:v>1.5946878233873751</c:v>
                </c:pt>
                <c:pt idx="18">
                  <c:v>1.4723007933770267</c:v>
                </c:pt>
                <c:pt idx="19">
                  <c:v>1.4477406002069679</c:v>
                </c:pt>
                <c:pt idx="20">
                  <c:v>1.4251121076233184</c:v>
                </c:pt>
                <c:pt idx="21">
                  <c:v>1.430493273542601</c:v>
                </c:pt>
                <c:pt idx="22">
                  <c:v>1.3664711969644705</c:v>
                </c:pt>
                <c:pt idx="23">
                  <c:v>1.669403242497413</c:v>
                </c:pt>
                <c:pt idx="24">
                  <c:v>1.6631252155915834</c:v>
                </c:pt>
                <c:pt idx="25">
                  <c:v>1.6957571576405659</c:v>
                </c:pt>
                <c:pt idx="26">
                  <c:v>1.6761641945498449</c:v>
                </c:pt>
                <c:pt idx="27">
                  <c:v>1.7091410831321148</c:v>
                </c:pt>
                <c:pt idx="28">
                  <c:v>1.7694377371507419</c:v>
                </c:pt>
                <c:pt idx="29">
                  <c:v>1.8451190065539842</c:v>
                </c:pt>
                <c:pt idx="30">
                  <c:v>1.8024146257330114</c:v>
                </c:pt>
                <c:pt idx="31">
                  <c:v>1.7312866505691618</c:v>
                </c:pt>
                <c:pt idx="32">
                  <c:v>1.9223870300103485</c:v>
                </c:pt>
                <c:pt idx="33">
                  <c:v>1.9011383235598482</c:v>
                </c:pt>
                <c:pt idx="34">
                  <c:v>1.9152811314246294</c:v>
                </c:pt>
                <c:pt idx="35">
                  <c:v>1.8972059330803728</c:v>
                </c:pt>
                <c:pt idx="36">
                  <c:v>1.9408761641945498</c:v>
                </c:pt>
                <c:pt idx="37">
                  <c:v>1.8754053121766125</c:v>
                </c:pt>
                <c:pt idx="38">
                  <c:v>1.9139703345981376</c:v>
                </c:pt>
                <c:pt idx="39">
                  <c:v>1.9270093135563988</c:v>
                </c:pt>
                <c:pt idx="40">
                  <c:v>1.9513625388064852</c:v>
                </c:pt>
                <c:pt idx="41">
                  <c:v>2.0902380131079688</c:v>
                </c:pt>
                <c:pt idx="42">
                  <c:v>2.0218006209037602</c:v>
                </c:pt>
                <c:pt idx="43">
                  <c:v>1.9818558123490859</c:v>
                </c:pt>
                <c:pt idx="44">
                  <c:v>1.9001034839599864</c:v>
                </c:pt>
                <c:pt idx="45">
                  <c:v>1.8974818903070028</c:v>
                </c:pt>
                <c:pt idx="46">
                  <c:v>1.861262504311832</c:v>
                </c:pt>
                <c:pt idx="47">
                  <c:v>1.8345636426353917</c:v>
                </c:pt>
                <c:pt idx="48">
                  <c:v>1.803380476026216</c:v>
                </c:pt>
                <c:pt idx="49">
                  <c:v>1.85967575025871</c:v>
                </c:pt>
                <c:pt idx="50">
                  <c:v>1.8429113487409452</c:v>
                </c:pt>
                <c:pt idx="51">
                  <c:v>2.0513280441531561</c:v>
                </c:pt>
                <c:pt idx="52">
                  <c:v>1.958261469472232</c:v>
                </c:pt>
                <c:pt idx="53">
                  <c:v>2.0246981717833741</c:v>
                </c:pt>
                <c:pt idx="54">
                  <c:v>2.0344946533287342</c:v>
                </c:pt>
                <c:pt idx="55">
                  <c:v>1.9899275612280098</c:v>
                </c:pt>
                <c:pt idx="56">
                  <c:v>1.9530872714729219</c:v>
                </c:pt>
                <c:pt idx="57">
                  <c:v>1.971231459123836</c:v>
                </c:pt>
                <c:pt idx="58">
                  <c:v>2.0757502587098999</c:v>
                </c:pt>
                <c:pt idx="59">
                  <c:v>2.0751983442566404</c:v>
                </c:pt>
                <c:pt idx="60">
                  <c:v>2.1629527423249395</c:v>
                </c:pt>
                <c:pt idx="61">
                  <c:v>2.0195239737840636</c:v>
                </c:pt>
                <c:pt idx="62">
                  <c:v>2.057399103139014</c:v>
                </c:pt>
                <c:pt idx="63">
                  <c:v>1.7687478440841671</c:v>
                </c:pt>
                <c:pt idx="64">
                  <c:v>1.7115557088651261</c:v>
                </c:pt>
                <c:pt idx="65">
                  <c:v>1.7414970679544672</c:v>
                </c:pt>
                <c:pt idx="66">
                  <c:v>1.6967919972404277</c:v>
                </c:pt>
                <c:pt idx="67">
                  <c:v>1.7112107623318387</c:v>
                </c:pt>
                <c:pt idx="68">
                  <c:v>1.7408071748878926</c:v>
                </c:pt>
                <c:pt idx="69">
                  <c:v>1.7870989996550537</c:v>
                </c:pt>
                <c:pt idx="70">
                  <c:v>1.790065539841325</c:v>
                </c:pt>
                <c:pt idx="71">
                  <c:v>1.8060020696791996</c:v>
                </c:pt>
                <c:pt idx="72">
                  <c:v>1.8747844084166956</c:v>
                </c:pt>
                <c:pt idx="73">
                  <c:v>1.8278026905829599</c:v>
                </c:pt>
                <c:pt idx="74">
                  <c:v>1.906657468092446</c:v>
                </c:pt>
                <c:pt idx="75">
                  <c:v>1.8992066229734395</c:v>
                </c:pt>
                <c:pt idx="76">
                  <c:v>1.9937219730941707</c:v>
                </c:pt>
                <c:pt idx="77">
                  <c:v>1.7704035874439463</c:v>
                </c:pt>
                <c:pt idx="78">
                  <c:v>1.7538461538461541</c:v>
                </c:pt>
                <c:pt idx="79">
                  <c:v>1.7159020351845464</c:v>
                </c:pt>
                <c:pt idx="80">
                  <c:v>1.6654018627112799</c:v>
                </c:pt>
                <c:pt idx="81">
                  <c:v>1.6525698516729908</c:v>
                </c:pt>
                <c:pt idx="82">
                  <c:v>1.6308382200758882</c:v>
                </c:pt>
                <c:pt idx="83">
                  <c:v>1.6648499482580201</c:v>
                </c:pt>
                <c:pt idx="84">
                  <c:v>1.6817523283890998</c:v>
                </c:pt>
                <c:pt idx="85">
                  <c:v>1.7305967575025871</c:v>
                </c:pt>
                <c:pt idx="86">
                  <c:v>1.6905139703345982</c:v>
                </c:pt>
                <c:pt idx="87">
                  <c:v>1.7057606071058988</c:v>
                </c:pt>
                <c:pt idx="88">
                  <c:v>1.7401862711279754</c:v>
                </c:pt>
                <c:pt idx="89">
                  <c:v>1.7384615384615387</c:v>
                </c:pt>
                <c:pt idx="90">
                  <c:v>1.9317005864091068</c:v>
                </c:pt>
                <c:pt idx="91">
                  <c:v>1.8834770610555365</c:v>
                </c:pt>
                <c:pt idx="92">
                  <c:v>1.835667471541911</c:v>
                </c:pt>
                <c:pt idx="93">
                  <c:v>1.7482580200068991</c:v>
                </c:pt>
                <c:pt idx="94">
                  <c:v>1.7651604001379788</c:v>
                </c:pt>
                <c:pt idx="95">
                  <c:v>1.7535701966195241</c:v>
                </c:pt>
                <c:pt idx="96">
                  <c:v>1.6847188685753709</c:v>
                </c:pt>
                <c:pt idx="97">
                  <c:v>1.656433252845809</c:v>
                </c:pt>
                <c:pt idx="98">
                  <c:v>1.6673335632976891</c:v>
                </c:pt>
                <c:pt idx="99">
                  <c:v>1.7111417730251812</c:v>
                </c:pt>
                <c:pt idx="100">
                  <c:v>1.7715764056571235</c:v>
                </c:pt>
                <c:pt idx="101">
                  <c:v>1.7950327699206625</c:v>
                </c:pt>
                <c:pt idx="102">
                  <c:v>1.8033114867195585</c:v>
                </c:pt>
                <c:pt idx="103">
                  <c:v>1.724663677130045</c:v>
                </c:pt>
                <c:pt idx="104">
                  <c:v>1.7348740945153502</c:v>
                </c:pt>
                <c:pt idx="105">
                  <c:v>1.7704035874439463</c:v>
                </c:pt>
                <c:pt idx="106">
                  <c:v>1.7977233528803036</c:v>
                </c:pt>
                <c:pt idx="107">
                  <c:v>1.7866850638151088</c:v>
                </c:pt>
                <c:pt idx="108">
                  <c:v>1.8320110382890653</c:v>
                </c:pt>
                <c:pt idx="109">
                  <c:v>1.8507071403932391</c:v>
                </c:pt>
                <c:pt idx="110">
                  <c:v>1.8500172473266647</c:v>
                </c:pt>
                <c:pt idx="111">
                  <c:v>1.7913763366678168</c:v>
                </c:pt>
                <c:pt idx="112">
                  <c:v>1.8073128665056919</c:v>
                </c:pt>
                <c:pt idx="113">
                  <c:v>1.7826836840289755</c:v>
                </c:pt>
                <c:pt idx="114">
                  <c:v>1.7023801310796827</c:v>
                </c:pt>
                <c:pt idx="115">
                  <c:v>1.7023801310796827</c:v>
                </c:pt>
                <c:pt idx="116">
                  <c:v>1.5981372887202485</c:v>
                </c:pt>
                <c:pt idx="117">
                  <c:v>1.5789582614694724</c:v>
                </c:pt>
                <c:pt idx="118">
                  <c:v>1.5143152811314247</c:v>
                </c:pt>
                <c:pt idx="119">
                  <c:v>1.5601241807519834</c:v>
                </c:pt>
                <c:pt idx="120">
                  <c:v>1.5635736460848568</c:v>
                </c:pt>
                <c:pt idx="121">
                  <c:v>1.5265263884097966</c:v>
                </c:pt>
                <c:pt idx="122">
                  <c:v>1.5773025181096931</c:v>
                </c:pt>
                <c:pt idx="123">
                  <c:v>1.5757157640565713</c:v>
                </c:pt>
                <c:pt idx="124">
                  <c:v>1.5555018972059331</c:v>
                </c:pt>
                <c:pt idx="125">
                  <c:v>1.5813038978958263</c:v>
                </c:pt>
                <c:pt idx="126">
                  <c:v>1.5973094170403588</c:v>
                </c:pt>
                <c:pt idx="127">
                  <c:v>1.562538806484995</c:v>
                </c:pt>
                <c:pt idx="128">
                  <c:v>1.5208002759572268</c:v>
                </c:pt>
                <c:pt idx="129">
                  <c:v>1.5165919282511213</c:v>
                </c:pt>
                <c:pt idx="130">
                  <c:v>1.3652293894446361</c:v>
                </c:pt>
                <c:pt idx="131">
                  <c:v>1.4233873749568817</c:v>
                </c:pt>
                <c:pt idx="132">
                  <c:v>1.4020006898930666</c:v>
                </c:pt>
                <c:pt idx="133">
                  <c:v>1.4187650914108314</c:v>
                </c:pt>
                <c:pt idx="134">
                  <c:v>1.4671955846843741</c:v>
                </c:pt>
                <c:pt idx="135">
                  <c:v>1.4481545360469128</c:v>
                </c:pt>
                <c:pt idx="136">
                  <c:v>1.3374266988616765</c:v>
                </c:pt>
                <c:pt idx="137">
                  <c:v>1.3056226284925838</c:v>
                </c:pt>
                <c:pt idx="138">
                  <c:v>1.2978958261469473</c:v>
                </c:pt>
                <c:pt idx="139">
                  <c:v>1.302104173853053</c:v>
                </c:pt>
                <c:pt idx="140">
                  <c:v>1.2229734391169371</c:v>
                </c:pt>
                <c:pt idx="141">
                  <c:v>1.2214556743704728</c:v>
                </c:pt>
                <c:pt idx="142">
                  <c:v>1.1338392549154881</c:v>
                </c:pt>
                <c:pt idx="143">
                  <c:v>1.2202828561572956</c:v>
                </c:pt>
                <c:pt idx="144">
                  <c:v>1.1938599517074855</c:v>
                </c:pt>
                <c:pt idx="145">
                  <c:v>1.2267678509830977</c:v>
                </c:pt>
                <c:pt idx="146">
                  <c:v>1.2119351500517419</c:v>
                </c:pt>
                <c:pt idx="147">
                  <c:v>1.2160055191445327</c:v>
                </c:pt>
                <c:pt idx="148">
                  <c:v>1.1006553984132459</c:v>
                </c:pt>
                <c:pt idx="149">
                  <c:v>1.0913418420144878</c:v>
                </c:pt>
                <c:pt idx="150">
                  <c:v>1.074853397723353</c:v>
                </c:pt>
                <c:pt idx="151">
                  <c:v>1.0783028630562264</c:v>
                </c:pt>
                <c:pt idx="152">
                  <c:v>1.0491893756467749</c:v>
                </c:pt>
                <c:pt idx="153">
                  <c:v>1.0977578475336325</c:v>
                </c:pt>
                <c:pt idx="154">
                  <c:v>1</c:v>
                </c:pt>
              </c:numCache>
            </c:numRef>
          </c:val>
          <c:smooth val="0"/>
          <c:extLst>
            <c:ext xmlns:c16="http://schemas.microsoft.com/office/drawing/2014/chart" uri="{C3380CC4-5D6E-409C-BE32-E72D297353CC}">
              <c16:uniqueId val="{00000000-0BFC-4092-BBEE-7B7B9EC025B0}"/>
            </c:ext>
          </c:extLst>
        </c:ser>
        <c:ser>
          <c:idx val="1"/>
          <c:order val="1"/>
          <c:tx>
            <c:strRef>
              <c:f>'Stock Data'!$V$4</c:f>
              <c:strCache>
                <c:ptCount val="1"/>
                <c:pt idx="0">
                  <c:v>NDX Index</c:v>
                </c:pt>
              </c:strCache>
            </c:strRef>
          </c:tx>
          <c:spPr>
            <a:ln w="28575" cap="rnd">
              <a:solidFill>
                <a:schemeClr val="accent3"/>
              </a:solidFill>
              <a:round/>
            </a:ln>
            <a:effectLst/>
          </c:spPr>
          <c:marker>
            <c:symbol val="none"/>
          </c:marker>
          <c:cat>
            <c:numRef>
              <c:f>'Stock Data'!$Q$5:$Q$159</c:f>
              <c:numCache>
                <c:formatCode>m/d/yyyy</c:formatCode>
                <c:ptCount val="155"/>
                <c:pt idx="0">
                  <c:v>45938</c:v>
                </c:pt>
                <c:pt idx="1">
                  <c:v>45931</c:v>
                </c:pt>
                <c:pt idx="2">
                  <c:v>45924</c:v>
                </c:pt>
                <c:pt idx="3">
                  <c:v>45917</c:v>
                </c:pt>
                <c:pt idx="4">
                  <c:v>45910</c:v>
                </c:pt>
                <c:pt idx="5">
                  <c:v>45903</c:v>
                </c:pt>
                <c:pt idx="6">
                  <c:v>45896</c:v>
                </c:pt>
                <c:pt idx="7">
                  <c:v>45889</c:v>
                </c:pt>
                <c:pt idx="8">
                  <c:v>45882</c:v>
                </c:pt>
                <c:pt idx="9">
                  <c:v>45875</c:v>
                </c:pt>
                <c:pt idx="10">
                  <c:v>45868</c:v>
                </c:pt>
                <c:pt idx="11">
                  <c:v>45861</c:v>
                </c:pt>
                <c:pt idx="12">
                  <c:v>45854</c:v>
                </c:pt>
                <c:pt idx="13">
                  <c:v>45847</c:v>
                </c:pt>
                <c:pt idx="14">
                  <c:v>45840</c:v>
                </c:pt>
                <c:pt idx="15">
                  <c:v>45833</c:v>
                </c:pt>
                <c:pt idx="16">
                  <c:v>45826</c:v>
                </c:pt>
                <c:pt idx="17">
                  <c:v>45819</c:v>
                </c:pt>
                <c:pt idx="18">
                  <c:v>45812</c:v>
                </c:pt>
                <c:pt idx="19">
                  <c:v>45805</c:v>
                </c:pt>
                <c:pt idx="20">
                  <c:v>45798</c:v>
                </c:pt>
                <c:pt idx="21">
                  <c:v>45791</c:v>
                </c:pt>
                <c:pt idx="22">
                  <c:v>45784</c:v>
                </c:pt>
                <c:pt idx="23">
                  <c:v>45777</c:v>
                </c:pt>
                <c:pt idx="24">
                  <c:v>45770</c:v>
                </c:pt>
                <c:pt idx="25">
                  <c:v>45763</c:v>
                </c:pt>
                <c:pt idx="26">
                  <c:v>45756</c:v>
                </c:pt>
                <c:pt idx="27">
                  <c:v>45749</c:v>
                </c:pt>
                <c:pt idx="28">
                  <c:v>45742</c:v>
                </c:pt>
                <c:pt idx="29">
                  <c:v>45735</c:v>
                </c:pt>
                <c:pt idx="30">
                  <c:v>45728</c:v>
                </c:pt>
                <c:pt idx="31">
                  <c:v>45721</c:v>
                </c:pt>
                <c:pt idx="32">
                  <c:v>45714</c:v>
                </c:pt>
                <c:pt idx="33">
                  <c:v>45707</c:v>
                </c:pt>
                <c:pt idx="34">
                  <c:v>45700</c:v>
                </c:pt>
                <c:pt idx="35">
                  <c:v>45693</c:v>
                </c:pt>
                <c:pt idx="36">
                  <c:v>45686</c:v>
                </c:pt>
                <c:pt idx="37">
                  <c:v>45679</c:v>
                </c:pt>
                <c:pt idx="38">
                  <c:v>45672</c:v>
                </c:pt>
                <c:pt idx="39">
                  <c:v>45665</c:v>
                </c:pt>
                <c:pt idx="40">
                  <c:v>45658</c:v>
                </c:pt>
                <c:pt idx="41">
                  <c:v>45651</c:v>
                </c:pt>
                <c:pt idx="42">
                  <c:v>45644</c:v>
                </c:pt>
                <c:pt idx="43">
                  <c:v>45637</c:v>
                </c:pt>
                <c:pt idx="44">
                  <c:v>45630</c:v>
                </c:pt>
                <c:pt idx="45">
                  <c:v>45623</c:v>
                </c:pt>
                <c:pt idx="46">
                  <c:v>45616</c:v>
                </c:pt>
                <c:pt idx="47">
                  <c:v>45609</c:v>
                </c:pt>
                <c:pt idx="48">
                  <c:v>45602</c:v>
                </c:pt>
                <c:pt idx="49">
                  <c:v>45595</c:v>
                </c:pt>
                <c:pt idx="50">
                  <c:v>45588</c:v>
                </c:pt>
                <c:pt idx="51">
                  <c:v>45581</c:v>
                </c:pt>
                <c:pt idx="52">
                  <c:v>45574</c:v>
                </c:pt>
                <c:pt idx="53">
                  <c:v>45567</c:v>
                </c:pt>
                <c:pt idx="54">
                  <c:v>45560</c:v>
                </c:pt>
                <c:pt idx="55">
                  <c:v>45553</c:v>
                </c:pt>
                <c:pt idx="56">
                  <c:v>45546</c:v>
                </c:pt>
                <c:pt idx="57">
                  <c:v>45539</c:v>
                </c:pt>
                <c:pt idx="58">
                  <c:v>45532</c:v>
                </c:pt>
                <c:pt idx="59">
                  <c:v>45525</c:v>
                </c:pt>
                <c:pt idx="60">
                  <c:v>45518</c:v>
                </c:pt>
                <c:pt idx="61">
                  <c:v>45511</c:v>
                </c:pt>
                <c:pt idx="62">
                  <c:v>45504</c:v>
                </c:pt>
                <c:pt idx="63">
                  <c:v>45497</c:v>
                </c:pt>
                <c:pt idx="64">
                  <c:v>45490</c:v>
                </c:pt>
                <c:pt idx="65">
                  <c:v>45483</c:v>
                </c:pt>
                <c:pt idx="66">
                  <c:v>45476</c:v>
                </c:pt>
                <c:pt idx="67">
                  <c:v>45469</c:v>
                </c:pt>
                <c:pt idx="68">
                  <c:v>45462</c:v>
                </c:pt>
                <c:pt idx="69">
                  <c:v>45455</c:v>
                </c:pt>
                <c:pt idx="70">
                  <c:v>45448</c:v>
                </c:pt>
                <c:pt idx="71">
                  <c:v>45441</c:v>
                </c:pt>
                <c:pt idx="72">
                  <c:v>45434</c:v>
                </c:pt>
                <c:pt idx="73">
                  <c:v>45427</c:v>
                </c:pt>
                <c:pt idx="74">
                  <c:v>45420</c:v>
                </c:pt>
                <c:pt idx="75">
                  <c:v>45413</c:v>
                </c:pt>
                <c:pt idx="76">
                  <c:v>45406</c:v>
                </c:pt>
                <c:pt idx="77">
                  <c:v>45399</c:v>
                </c:pt>
                <c:pt idx="78">
                  <c:v>45392</c:v>
                </c:pt>
                <c:pt idx="79">
                  <c:v>45385</c:v>
                </c:pt>
                <c:pt idx="80">
                  <c:v>45378</c:v>
                </c:pt>
                <c:pt idx="81">
                  <c:v>45371</c:v>
                </c:pt>
                <c:pt idx="82">
                  <c:v>45364</c:v>
                </c:pt>
                <c:pt idx="83">
                  <c:v>45357</c:v>
                </c:pt>
                <c:pt idx="84">
                  <c:v>45350</c:v>
                </c:pt>
                <c:pt idx="85">
                  <c:v>45343</c:v>
                </c:pt>
                <c:pt idx="86">
                  <c:v>45336</c:v>
                </c:pt>
                <c:pt idx="87">
                  <c:v>45329</c:v>
                </c:pt>
                <c:pt idx="88">
                  <c:v>45322</c:v>
                </c:pt>
                <c:pt idx="89">
                  <c:v>45315</c:v>
                </c:pt>
                <c:pt idx="90">
                  <c:v>45308</c:v>
                </c:pt>
                <c:pt idx="91">
                  <c:v>45301</c:v>
                </c:pt>
                <c:pt idx="92">
                  <c:v>45294</c:v>
                </c:pt>
                <c:pt idx="93">
                  <c:v>45287</c:v>
                </c:pt>
                <c:pt idx="94">
                  <c:v>45280</c:v>
                </c:pt>
                <c:pt idx="95">
                  <c:v>45273</c:v>
                </c:pt>
                <c:pt idx="96">
                  <c:v>45266</c:v>
                </c:pt>
                <c:pt idx="97">
                  <c:v>45259</c:v>
                </c:pt>
                <c:pt idx="98">
                  <c:v>45252</c:v>
                </c:pt>
                <c:pt idx="99">
                  <c:v>45245</c:v>
                </c:pt>
                <c:pt idx="100">
                  <c:v>45238</c:v>
                </c:pt>
                <c:pt idx="101">
                  <c:v>45231</c:v>
                </c:pt>
                <c:pt idx="102">
                  <c:v>45224</c:v>
                </c:pt>
                <c:pt idx="103">
                  <c:v>45217</c:v>
                </c:pt>
                <c:pt idx="104">
                  <c:v>45210</c:v>
                </c:pt>
                <c:pt idx="105">
                  <c:v>45203</c:v>
                </c:pt>
                <c:pt idx="106">
                  <c:v>45196</c:v>
                </c:pt>
                <c:pt idx="107">
                  <c:v>45189</c:v>
                </c:pt>
                <c:pt idx="108">
                  <c:v>45182</c:v>
                </c:pt>
                <c:pt idx="109">
                  <c:v>45175</c:v>
                </c:pt>
                <c:pt idx="110">
                  <c:v>45168</c:v>
                </c:pt>
                <c:pt idx="111">
                  <c:v>45161</c:v>
                </c:pt>
                <c:pt idx="112">
                  <c:v>45154</c:v>
                </c:pt>
                <c:pt idx="113">
                  <c:v>45147</c:v>
                </c:pt>
                <c:pt idx="114">
                  <c:v>45140</c:v>
                </c:pt>
                <c:pt idx="115">
                  <c:v>45133</c:v>
                </c:pt>
                <c:pt idx="116">
                  <c:v>45126</c:v>
                </c:pt>
                <c:pt idx="117">
                  <c:v>45119</c:v>
                </c:pt>
                <c:pt idx="118">
                  <c:v>45112</c:v>
                </c:pt>
                <c:pt idx="119">
                  <c:v>45105</c:v>
                </c:pt>
                <c:pt idx="120">
                  <c:v>45098</c:v>
                </c:pt>
                <c:pt idx="121">
                  <c:v>45091</c:v>
                </c:pt>
                <c:pt idx="122">
                  <c:v>45084</c:v>
                </c:pt>
                <c:pt idx="123">
                  <c:v>45077</c:v>
                </c:pt>
                <c:pt idx="124">
                  <c:v>45070</c:v>
                </c:pt>
                <c:pt idx="125">
                  <c:v>45063</c:v>
                </c:pt>
                <c:pt idx="126">
                  <c:v>45056</c:v>
                </c:pt>
                <c:pt idx="127">
                  <c:v>45049</c:v>
                </c:pt>
                <c:pt idx="128">
                  <c:v>45042</c:v>
                </c:pt>
                <c:pt idx="129">
                  <c:v>45035</c:v>
                </c:pt>
                <c:pt idx="130">
                  <c:v>45028</c:v>
                </c:pt>
                <c:pt idx="131">
                  <c:v>45021</c:v>
                </c:pt>
                <c:pt idx="132">
                  <c:v>45014</c:v>
                </c:pt>
                <c:pt idx="133">
                  <c:v>45007</c:v>
                </c:pt>
                <c:pt idx="134">
                  <c:v>45000</c:v>
                </c:pt>
                <c:pt idx="135">
                  <c:v>44993</c:v>
                </c:pt>
                <c:pt idx="136">
                  <c:v>44986</c:v>
                </c:pt>
                <c:pt idx="137">
                  <c:v>44979</c:v>
                </c:pt>
                <c:pt idx="138">
                  <c:v>44972</c:v>
                </c:pt>
                <c:pt idx="139">
                  <c:v>44965</c:v>
                </c:pt>
                <c:pt idx="140">
                  <c:v>44958</c:v>
                </c:pt>
                <c:pt idx="141">
                  <c:v>44951</c:v>
                </c:pt>
                <c:pt idx="142">
                  <c:v>44944</c:v>
                </c:pt>
                <c:pt idx="143">
                  <c:v>44937</c:v>
                </c:pt>
                <c:pt idx="144">
                  <c:v>44930</c:v>
                </c:pt>
                <c:pt idx="145">
                  <c:v>44923</c:v>
                </c:pt>
                <c:pt idx="146">
                  <c:v>44916</c:v>
                </c:pt>
                <c:pt idx="147">
                  <c:v>44909</c:v>
                </c:pt>
                <c:pt idx="148">
                  <c:v>44902</c:v>
                </c:pt>
                <c:pt idx="149">
                  <c:v>44895</c:v>
                </c:pt>
                <c:pt idx="150">
                  <c:v>44888</c:v>
                </c:pt>
                <c:pt idx="151">
                  <c:v>44881</c:v>
                </c:pt>
                <c:pt idx="152">
                  <c:v>44874</c:v>
                </c:pt>
                <c:pt idx="153">
                  <c:v>44867</c:v>
                </c:pt>
                <c:pt idx="154">
                  <c:v>44860</c:v>
                </c:pt>
              </c:numCache>
            </c:numRef>
          </c:cat>
          <c:val>
            <c:numRef>
              <c:f>'Stock Data'!$V$5:$V$159</c:f>
              <c:numCache>
                <c:formatCode>General</c:formatCode>
                <c:ptCount val="155"/>
                <c:pt idx="0">
                  <c:v>2.0610029498525075</c:v>
                </c:pt>
                <c:pt idx="1">
                  <c:v>2.0610029498525075</c:v>
                </c:pt>
                <c:pt idx="2">
                  <c:v>2.0871018253598601</c:v>
                </c:pt>
                <c:pt idx="3">
                  <c:v>2.0746352607181673</c:v>
                </c:pt>
                <c:pt idx="4">
                  <c:v>2.1149510945505359</c:v>
                </c:pt>
                <c:pt idx="5">
                  <c:v>2.0421460731474705</c:v>
                </c:pt>
                <c:pt idx="6">
                  <c:v>2.0678510435380484</c:v>
                </c:pt>
                <c:pt idx="7">
                  <c:v>2.0461401290837715</c:v>
                </c:pt>
                <c:pt idx="8">
                  <c:v>2.0302606072703884</c:v>
                </c:pt>
                <c:pt idx="9">
                  <c:v>2.0140838822720517</c:v>
                </c:pt>
                <c:pt idx="10">
                  <c:v>1.9942014327855035</c:v>
                </c:pt>
                <c:pt idx="11">
                  <c:v>1.9686845432164481</c:v>
                </c:pt>
                <c:pt idx="12">
                  <c:v>1.926859626943465</c:v>
                </c:pt>
                <c:pt idx="13">
                  <c:v>1.9466294053718365</c:v>
                </c:pt>
                <c:pt idx="14">
                  <c:v>1.9218470956151441</c:v>
                </c:pt>
                <c:pt idx="15">
                  <c:v>1.899881562312862</c:v>
                </c:pt>
                <c:pt idx="16">
                  <c:v>1.8956568412180894</c:v>
                </c:pt>
                <c:pt idx="17">
                  <c:v>1.8806041652804579</c:v>
                </c:pt>
                <c:pt idx="18">
                  <c:v>1.7558364938895912</c:v>
                </c:pt>
                <c:pt idx="19">
                  <c:v>1.7339765342559941</c:v>
                </c:pt>
                <c:pt idx="20">
                  <c:v>1.621435003437798</c:v>
                </c:pt>
                <c:pt idx="21">
                  <c:v>1.6705684565395791</c:v>
                </c:pt>
                <c:pt idx="22">
                  <c:v>1.5162153170536963</c:v>
                </c:pt>
                <c:pt idx="23">
                  <c:v>1.7243480382371856</c:v>
                </c:pt>
                <c:pt idx="24">
                  <c:v>1.7998828930733917</c:v>
                </c:pt>
                <c:pt idx="25">
                  <c:v>1.7285124315212812</c:v>
                </c:pt>
                <c:pt idx="26">
                  <c:v>1.7190729034976822</c:v>
                </c:pt>
                <c:pt idx="27">
                  <c:v>1.8056229068245835</c:v>
                </c:pt>
                <c:pt idx="28">
                  <c:v>1.8708053319138553</c:v>
                </c:pt>
                <c:pt idx="29">
                  <c:v>1.966385876194912</c:v>
                </c:pt>
                <c:pt idx="30">
                  <c:v>1.9245920110009538</c:v>
                </c:pt>
                <c:pt idx="31">
                  <c:v>1.9133603921307691</c:v>
                </c:pt>
                <c:pt idx="32">
                  <c:v>1.9041444318761507</c:v>
                </c:pt>
                <c:pt idx="33">
                  <c:v>1.9133240180096256</c:v>
                </c:pt>
                <c:pt idx="34">
                  <c:v>1.8415427950406991</c:v>
                </c:pt>
                <c:pt idx="35">
                  <c:v>1.8784163949697252</c:v>
                </c:pt>
                <c:pt idx="36">
                  <c:v>1.8641444318761504</c:v>
                </c:pt>
                <c:pt idx="37">
                  <c:v>1.9338301505977333</c:v>
                </c:pt>
                <c:pt idx="38">
                  <c:v>1.9518779249007476</c:v>
                </c:pt>
                <c:pt idx="39">
                  <c:v>1.8957287022866902</c:v>
                </c:pt>
                <c:pt idx="40">
                  <c:v>1.8834094084769446</c:v>
                </c:pt>
                <c:pt idx="41">
                  <c:v>1.8562246323774039</c:v>
                </c:pt>
                <c:pt idx="42">
                  <c:v>1.8350823962561271</c:v>
                </c:pt>
                <c:pt idx="43">
                  <c:v>1.8693450440259942</c:v>
                </c:pt>
                <c:pt idx="44">
                  <c:v>1.7945270255284227</c:v>
                </c:pt>
                <c:pt idx="45">
                  <c:v>1.8231995919001043</c:v>
                </c:pt>
                <c:pt idx="46">
                  <c:v>1.8083837913367491</c:v>
                </c:pt>
                <c:pt idx="47">
                  <c:v>1.7885270698871074</c:v>
                </c:pt>
                <c:pt idx="48">
                  <c:v>1.7839093308492469</c:v>
                </c:pt>
                <c:pt idx="49">
                  <c:v>1.7542351453855878</c:v>
                </c:pt>
                <c:pt idx="50">
                  <c:v>1.7694537228025817</c:v>
                </c:pt>
                <c:pt idx="51">
                  <c:v>1.7239913944152419</c:v>
                </c:pt>
                <c:pt idx="52">
                  <c:v>1.6704717546077583</c:v>
                </c:pt>
                <c:pt idx="53">
                  <c:v>1.6819686384101846</c:v>
                </c:pt>
                <c:pt idx="54">
                  <c:v>1.7372209284272628</c:v>
                </c:pt>
                <c:pt idx="55">
                  <c:v>1.7494905405105685</c:v>
                </c:pt>
                <c:pt idx="56">
                  <c:v>1.6862004568944486</c:v>
                </c:pt>
                <c:pt idx="57">
                  <c:v>1.6038254929358793</c:v>
                </c:pt>
                <c:pt idx="58">
                  <c:v>1.667555614700468</c:v>
                </c:pt>
                <c:pt idx="59">
                  <c:v>1.7525530640761195</c:v>
                </c:pt>
                <c:pt idx="60">
                  <c:v>1.8097127775190189</c:v>
                </c:pt>
                <c:pt idx="61">
                  <c:v>1.8145381151995033</c:v>
                </c:pt>
                <c:pt idx="62">
                  <c:v>1.7754022223700845</c:v>
                </c:pt>
                <c:pt idx="63">
                  <c:v>1.7478324128906337</c:v>
                </c:pt>
                <c:pt idx="64">
                  <c:v>1.7662616718788122</c:v>
                </c:pt>
                <c:pt idx="65">
                  <c:v>1.7042766207554285</c:v>
                </c:pt>
                <c:pt idx="66">
                  <c:v>1.6550083172533103</c:v>
                </c:pt>
                <c:pt idx="67">
                  <c:v>1.6740470645640648</c:v>
                </c:pt>
                <c:pt idx="68">
                  <c:v>1.6602390933084925</c:v>
                </c:pt>
                <c:pt idx="69">
                  <c:v>1.6255479406480804</c:v>
                </c:pt>
                <c:pt idx="70">
                  <c:v>1.6050258389336174</c:v>
                </c:pt>
                <c:pt idx="71">
                  <c:v>1.5472921241155986</c:v>
                </c:pt>
                <c:pt idx="72">
                  <c:v>1.5500228447224256</c:v>
                </c:pt>
                <c:pt idx="73">
                  <c:v>1.5715093042340365</c:v>
                </c:pt>
                <c:pt idx="74">
                  <c:v>1.6119857165036486</c:v>
                </c:pt>
                <c:pt idx="75">
                  <c:v>1.6077166367245546</c:v>
                </c:pt>
                <c:pt idx="76">
                  <c:v>1.6155911903652938</c:v>
                </c:pt>
                <c:pt idx="77">
                  <c:v>1.599770222015215</c:v>
                </c:pt>
                <c:pt idx="78">
                  <c:v>1.6163523853882493</c:v>
                </c:pt>
                <c:pt idx="79">
                  <c:v>1.5878519307117349</c:v>
                </c:pt>
                <c:pt idx="80">
                  <c:v>1.5943442677490185</c:v>
                </c:pt>
                <c:pt idx="81">
                  <c:v>1.5566438219442411</c:v>
                </c:pt>
                <c:pt idx="82">
                  <c:v>1.5614629494089203</c:v>
                </c:pt>
                <c:pt idx="83">
                  <c:v>1.5590063654712001</c:v>
                </c:pt>
                <c:pt idx="84">
                  <c:v>1.5504877237341139</c:v>
                </c:pt>
                <c:pt idx="85">
                  <c:v>1.5440557145075076</c:v>
                </c:pt>
                <c:pt idx="86">
                  <c:v>1.4931763035908354</c:v>
                </c:pt>
                <c:pt idx="87">
                  <c:v>1.4796912635571229</c:v>
                </c:pt>
                <c:pt idx="88">
                  <c:v>1.4677348237851264</c:v>
                </c:pt>
                <c:pt idx="89">
                  <c:v>1.4974125579435313</c:v>
                </c:pt>
                <c:pt idx="90">
                  <c:v>1.4915030940182312</c:v>
                </c:pt>
                <c:pt idx="91">
                  <c:v>1.450906026127265</c:v>
                </c:pt>
                <c:pt idx="92">
                  <c:v>1.4086286512742032</c:v>
                </c:pt>
                <c:pt idx="93">
                  <c:v>1.4204032204404817</c:v>
                </c:pt>
                <c:pt idx="94">
                  <c:v>1.4135888393550249</c:v>
                </c:pt>
                <c:pt idx="95">
                  <c:v>1.4028407301439438</c:v>
                </c:pt>
                <c:pt idx="96">
                  <c:v>1.357022645108346</c:v>
                </c:pt>
                <c:pt idx="97">
                  <c:v>1.2783977643223103</c:v>
                </c:pt>
                <c:pt idx="98">
                  <c:v>1.3082130104021115</c:v>
                </c:pt>
                <c:pt idx="99">
                  <c:v>1.3415849357908045</c:v>
                </c:pt>
                <c:pt idx="100">
                  <c:v>1.3424286379665979</c:v>
                </c:pt>
                <c:pt idx="101">
                  <c:v>1.2922234790516114</c:v>
                </c:pt>
                <c:pt idx="102">
                  <c:v>1.2904677623261693</c:v>
                </c:pt>
                <c:pt idx="103">
                  <c:v>1.3477259520482623</c:v>
                </c:pt>
                <c:pt idx="104">
                  <c:v>1.356465500033269</c:v>
                </c:pt>
                <c:pt idx="105">
                  <c:v>1.3758502450817309</c:v>
                </c:pt>
                <c:pt idx="106">
                  <c:v>1.3641670548051543</c:v>
                </c:pt>
                <c:pt idx="107">
                  <c:v>1.322683700401446</c:v>
                </c:pt>
                <c:pt idx="108">
                  <c:v>1.334100738572094</c:v>
                </c:pt>
                <c:pt idx="109">
                  <c:v>1.3549848071506199</c:v>
                </c:pt>
                <c:pt idx="110">
                  <c:v>1.3944604875019406</c:v>
                </c:pt>
                <c:pt idx="111">
                  <c:v>1.3805682347461574</c:v>
                </c:pt>
                <c:pt idx="112">
                  <c:v>1.4054028877503493</c:v>
                </c:pt>
                <c:pt idx="113">
                  <c:v>1.341323219553308</c:v>
                </c:pt>
                <c:pt idx="114">
                  <c:v>1.3259618071727992</c:v>
                </c:pt>
                <c:pt idx="115">
                  <c:v>1.3259618071727992</c:v>
                </c:pt>
                <c:pt idx="116">
                  <c:v>1.3369840530529864</c:v>
                </c:pt>
                <c:pt idx="117">
                  <c:v>1.3219642025417526</c:v>
                </c:pt>
                <c:pt idx="118">
                  <c:v>1.2915554372657307</c:v>
                </c:pt>
                <c:pt idx="119">
                  <c:v>1.2735369396943685</c:v>
                </c:pt>
                <c:pt idx="120">
                  <c:v>1.2129917714640583</c:v>
                </c:pt>
                <c:pt idx="121">
                  <c:v>1.1911202785725377</c:v>
                </c:pt>
                <c:pt idx="122">
                  <c:v>1.1711677423647615</c:v>
                </c:pt>
                <c:pt idx="123">
                  <c:v>1.1634094084769446</c:v>
                </c:pt>
                <c:pt idx="124">
                  <c:v>1.1289382748907668</c:v>
                </c:pt>
                <c:pt idx="125">
                  <c:v>1.1614691596247255</c:v>
                </c:pt>
                <c:pt idx="126">
                  <c:v>1.150146161864839</c:v>
                </c:pt>
                <c:pt idx="127">
                  <c:v>1.1622037394370883</c:v>
                </c:pt>
                <c:pt idx="128">
                  <c:v>1.1187765874864151</c:v>
                </c:pt>
                <c:pt idx="129">
                  <c:v>1.1303870295207044</c:v>
                </c:pt>
                <c:pt idx="130">
                  <c:v>1.0823332667953069</c:v>
                </c:pt>
                <c:pt idx="131">
                  <c:v>1.0781085457005346</c:v>
                </c:pt>
                <c:pt idx="132">
                  <c:v>1.0683451992813895</c:v>
                </c:pt>
                <c:pt idx="133">
                  <c:v>1.0699580810433162</c:v>
                </c:pt>
                <c:pt idx="134">
                  <c:v>1.117030629671524</c:v>
                </c:pt>
                <c:pt idx="135">
                  <c:v>1.1292186217756781</c:v>
                </c:pt>
                <c:pt idx="136">
                  <c:v>1.0736513850999179</c:v>
                </c:pt>
                <c:pt idx="137">
                  <c:v>1.0510027280590857</c:v>
                </c:pt>
                <c:pt idx="138">
                  <c:v>1.0253234857054141</c:v>
                </c:pt>
                <c:pt idx="139">
                  <c:v>0.99414731519063149</c:v>
                </c:pt>
                <c:pt idx="140">
                  <c:v>0.96370483731452516</c:v>
                </c:pt>
                <c:pt idx="141">
                  <c:v>0.96014460931088785</c:v>
                </c:pt>
                <c:pt idx="142">
                  <c:v>0.98231596690842149</c:v>
                </c:pt>
                <c:pt idx="143">
                  <c:v>1.0498999711668551</c:v>
                </c:pt>
                <c:pt idx="144">
                  <c:v>1.0246581054405928</c:v>
                </c:pt>
                <c:pt idx="145">
                  <c:v>1.0205558143145474</c:v>
                </c:pt>
                <c:pt idx="146">
                  <c:v>1.0401969525583872</c:v>
                </c:pt>
                <c:pt idx="147">
                  <c:v>1.053177190764522</c:v>
                </c:pt>
                <c:pt idx="148">
                  <c:v>0.98116973850555589</c:v>
                </c:pt>
                <c:pt idx="149">
                  <c:v>1.001525938740657</c:v>
                </c:pt>
                <c:pt idx="150">
                  <c:v>1.035330804888327</c:v>
                </c:pt>
                <c:pt idx="151">
                  <c:v>0.98899815911460065</c:v>
                </c:pt>
                <c:pt idx="152">
                  <c:v>0.95738017610397674</c:v>
                </c:pt>
                <c:pt idx="153">
                  <c:v>1.0275724710005103</c:v>
                </c:pt>
                <c:pt idx="154">
                  <c:v>1</c:v>
                </c:pt>
              </c:numCache>
            </c:numRef>
          </c:val>
          <c:smooth val="0"/>
          <c:extLst>
            <c:ext xmlns:c16="http://schemas.microsoft.com/office/drawing/2014/chart" uri="{C3380CC4-5D6E-409C-BE32-E72D297353CC}">
              <c16:uniqueId val="{00000001-0BFC-4092-BBEE-7B7B9EC025B0}"/>
            </c:ext>
          </c:extLst>
        </c:ser>
        <c:ser>
          <c:idx val="2"/>
          <c:order val="2"/>
          <c:tx>
            <c:strRef>
              <c:f>'Stock Data'!$W$4</c:f>
              <c:strCache>
                <c:ptCount val="1"/>
                <c:pt idx="0">
                  <c:v>S5AIRFX Index</c:v>
                </c:pt>
              </c:strCache>
            </c:strRef>
          </c:tx>
          <c:spPr>
            <a:ln w="28575" cap="rnd">
              <a:solidFill>
                <a:schemeClr val="accent5"/>
              </a:solidFill>
              <a:round/>
            </a:ln>
            <a:effectLst/>
          </c:spPr>
          <c:marker>
            <c:symbol val="none"/>
          </c:marker>
          <c:cat>
            <c:numRef>
              <c:f>'Stock Data'!$Q$5:$Q$159</c:f>
              <c:numCache>
                <c:formatCode>m/d/yyyy</c:formatCode>
                <c:ptCount val="155"/>
                <c:pt idx="0">
                  <c:v>45938</c:v>
                </c:pt>
                <c:pt idx="1">
                  <c:v>45931</c:v>
                </c:pt>
                <c:pt idx="2">
                  <c:v>45924</c:v>
                </c:pt>
                <c:pt idx="3">
                  <c:v>45917</c:v>
                </c:pt>
                <c:pt idx="4">
                  <c:v>45910</c:v>
                </c:pt>
                <c:pt idx="5">
                  <c:v>45903</c:v>
                </c:pt>
                <c:pt idx="6">
                  <c:v>45896</c:v>
                </c:pt>
                <c:pt idx="7">
                  <c:v>45889</c:v>
                </c:pt>
                <c:pt idx="8">
                  <c:v>45882</c:v>
                </c:pt>
                <c:pt idx="9">
                  <c:v>45875</c:v>
                </c:pt>
                <c:pt idx="10">
                  <c:v>45868</c:v>
                </c:pt>
                <c:pt idx="11">
                  <c:v>45861</c:v>
                </c:pt>
                <c:pt idx="12">
                  <c:v>45854</c:v>
                </c:pt>
                <c:pt idx="13">
                  <c:v>45847</c:v>
                </c:pt>
                <c:pt idx="14">
                  <c:v>45840</c:v>
                </c:pt>
                <c:pt idx="15">
                  <c:v>45833</c:v>
                </c:pt>
                <c:pt idx="16">
                  <c:v>45826</c:v>
                </c:pt>
                <c:pt idx="17">
                  <c:v>45819</c:v>
                </c:pt>
                <c:pt idx="18">
                  <c:v>45812</c:v>
                </c:pt>
                <c:pt idx="19">
                  <c:v>45805</c:v>
                </c:pt>
                <c:pt idx="20">
                  <c:v>45798</c:v>
                </c:pt>
                <c:pt idx="21">
                  <c:v>45791</c:v>
                </c:pt>
                <c:pt idx="22">
                  <c:v>45784</c:v>
                </c:pt>
                <c:pt idx="23">
                  <c:v>45777</c:v>
                </c:pt>
                <c:pt idx="24">
                  <c:v>45770</c:v>
                </c:pt>
                <c:pt idx="25">
                  <c:v>45763</c:v>
                </c:pt>
                <c:pt idx="26">
                  <c:v>45756</c:v>
                </c:pt>
                <c:pt idx="27">
                  <c:v>45749</c:v>
                </c:pt>
                <c:pt idx="28">
                  <c:v>45742</c:v>
                </c:pt>
                <c:pt idx="29">
                  <c:v>45735</c:v>
                </c:pt>
                <c:pt idx="30">
                  <c:v>45728</c:v>
                </c:pt>
                <c:pt idx="31">
                  <c:v>45721</c:v>
                </c:pt>
                <c:pt idx="32">
                  <c:v>45714</c:v>
                </c:pt>
                <c:pt idx="33">
                  <c:v>45707</c:v>
                </c:pt>
                <c:pt idx="34">
                  <c:v>45700</c:v>
                </c:pt>
                <c:pt idx="35">
                  <c:v>45693</c:v>
                </c:pt>
                <c:pt idx="36">
                  <c:v>45686</c:v>
                </c:pt>
                <c:pt idx="37">
                  <c:v>45679</c:v>
                </c:pt>
                <c:pt idx="38">
                  <c:v>45672</c:v>
                </c:pt>
                <c:pt idx="39">
                  <c:v>45665</c:v>
                </c:pt>
                <c:pt idx="40">
                  <c:v>45658</c:v>
                </c:pt>
                <c:pt idx="41">
                  <c:v>45651</c:v>
                </c:pt>
                <c:pt idx="42">
                  <c:v>45644</c:v>
                </c:pt>
                <c:pt idx="43">
                  <c:v>45637</c:v>
                </c:pt>
                <c:pt idx="44">
                  <c:v>45630</c:v>
                </c:pt>
                <c:pt idx="45">
                  <c:v>45623</c:v>
                </c:pt>
                <c:pt idx="46">
                  <c:v>45616</c:v>
                </c:pt>
                <c:pt idx="47">
                  <c:v>45609</c:v>
                </c:pt>
                <c:pt idx="48">
                  <c:v>45602</c:v>
                </c:pt>
                <c:pt idx="49">
                  <c:v>45595</c:v>
                </c:pt>
                <c:pt idx="50">
                  <c:v>45588</c:v>
                </c:pt>
                <c:pt idx="51">
                  <c:v>45581</c:v>
                </c:pt>
                <c:pt idx="52">
                  <c:v>45574</c:v>
                </c:pt>
                <c:pt idx="53">
                  <c:v>45567</c:v>
                </c:pt>
                <c:pt idx="54">
                  <c:v>45560</c:v>
                </c:pt>
                <c:pt idx="55">
                  <c:v>45553</c:v>
                </c:pt>
                <c:pt idx="56">
                  <c:v>45546</c:v>
                </c:pt>
                <c:pt idx="57">
                  <c:v>45539</c:v>
                </c:pt>
                <c:pt idx="58">
                  <c:v>45532</c:v>
                </c:pt>
                <c:pt idx="59">
                  <c:v>45525</c:v>
                </c:pt>
                <c:pt idx="60">
                  <c:v>45518</c:v>
                </c:pt>
                <c:pt idx="61">
                  <c:v>45511</c:v>
                </c:pt>
                <c:pt idx="62">
                  <c:v>45504</c:v>
                </c:pt>
                <c:pt idx="63">
                  <c:v>45497</c:v>
                </c:pt>
                <c:pt idx="64">
                  <c:v>45490</c:v>
                </c:pt>
                <c:pt idx="65">
                  <c:v>45483</c:v>
                </c:pt>
                <c:pt idx="66">
                  <c:v>45476</c:v>
                </c:pt>
                <c:pt idx="67">
                  <c:v>45469</c:v>
                </c:pt>
                <c:pt idx="68">
                  <c:v>45462</c:v>
                </c:pt>
                <c:pt idx="69">
                  <c:v>45455</c:v>
                </c:pt>
                <c:pt idx="70">
                  <c:v>45448</c:v>
                </c:pt>
                <c:pt idx="71">
                  <c:v>45441</c:v>
                </c:pt>
                <c:pt idx="72">
                  <c:v>45434</c:v>
                </c:pt>
                <c:pt idx="73">
                  <c:v>45427</c:v>
                </c:pt>
                <c:pt idx="74">
                  <c:v>45420</c:v>
                </c:pt>
                <c:pt idx="75">
                  <c:v>45413</c:v>
                </c:pt>
                <c:pt idx="76">
                  <c:v>45406</c:v>
                </c:pt>
                <c:pt idx="77">
                  <c:v>45399</c:v>
                </c:pt>
                <c:pt idx="78">
                  <c:v>45392</c:v>
                </c:pt>
                <c:pt idx="79">
                  <c:v>45385</c:v>
                </c:pt>
                <c:pt idx="80">
                  <c:v>45378</c:v>
                </c:pt>
                <c:pt idx="81">
                  <c:v>45371</c:v>
                </c:pt>
                <c:pt idx="82">
                  <c:v>45364</c:v>
                </c:pt>
                <c:pt idx="83">
                  <c:v>45357</c:v>
                </c:pt>
                <c:pt idx="84">
                  <c:v>45350</c:v>
                </c:pt>
                <c:pt idx="85">
                  <c:v>45343</c:v>
                </c:pt>
                <c:pt idx="86">
                  <c:v>45336</c:v>
                </c:pt>
                <c:pt idx="87">
                  <c:v>45329</c:v>
                </c:pt>
                <c:pt idx="88">
                  <c:v>45322</c:v>
                </c:pt>
                <c:pt idx="89">
                  <c:v>45315</c:v>
                </c:pt>
                <c:pt idx="90">
                  <c:v>45308</c:v>
                </c:pt>
                <c:pt idx="91">
                  <c:v>45301</c:v>
                </c:pt>
                <c:pt idx="92">
                  <c:v>45294</c:v>
                </c:pt>
                <c:pt idx="93">
                  <c:v>45287</c:v>
                </c:pt>
                <c:pt idx="94">
                  <c:v>45280</c:v>
                </c:pt>
                <c:pt idx="95">
                  <c:v>45273</c:v>
                </c:pt>
                <c:pt idx="96">
                  <c:v>45266</c:v>
                </c:pt>
                <c:pt idx="97">
                  <c:v>45259</c:v>
                </c:pt>
                <c:pt idx="98">
                  <c:v>45252</c:v>
                </c:pt>
                <c:pt idx="99">
                  <c:v>45245</c:v>
                </c:pt>
                <c:pt idx="100">
                  <c:v>45238</c:v>
                </c:pt>
                <c:pt idx="101">
                  <c:v>45231</c:v>
                </c:pt>
                <c:pt idx="102">
                  <c:v>45224</c:v>
                </c:pt>
                <c:pt idx="103">
                  <c:v>45217</c:v>
                </c:pt>
                <c:pt idx="104">
                  <c:v>45210</c:v>
                </c:pt>
                <c:pt idx="105">
                  <c:v>45203</c:v>
                </c:pt>
                <c:pt idx="106">
                  <c:v>45196</c:v>
                </c:pt>
                <c:pt idx="107">
                  <c:v>45189</c:v>
                </c:pt>
                <c:pt idx="108">
                  <c:v>45182</c:v>
                </c:pt>
                <c:pt idx="109">
                  <c:v>45175</c:v>
                </c:pt>
                <c:pt idx="110">
                  <c:v>45168</c:v>
                </c:pt>
                <c:pt idx="111">
                  <c:v>45161</c:v>
                </c:pt>
                <c:pt idx="112">
                  <c:v>45154</c:v>
                </c:pt>
                <c:pt idx="113">
                  <c:v>45147</c:v>
                </c:pt>
                <c:pt idx="114">
                  <c:v>45140</c:v>
                </c:pt>
                <c:pt idx="115">
                  <c:v>45133</c:v>
                </c:pt>
                <c:pt idx="116">
                  <c:v>45126</c:v>
                </c:pt>
                <c:pt idx="117">
                  <c:v>45119</c:v>
                </c:pt>
                <c:pt idx="118">
                  <c:v>45112</c:v>
                </c:pt>
                <c:pt idx="119">
                  <c:v>45105</c:v>
                </c:pt>
                <c:pt idx="120">
                  <c:v>45098</c:v>
                </c:pt>
                <c:pt idx="121">
                  <c:v>45091</c:v>
                </c:pt>
                <c:pt idx="122">
                  <c:v>45084</c:v>
                </c:pt>
                <c:pt idx="123">
                  <c:v>45077</c:v>
                </c:pt>
                <c:pt idx="124">
                  <c:v>45070</c:v>
                </c:pt>
                <c:pt idx="125">
                  <c:v>45063</c:v>
                </c:pt>
                <c:pt idx="126">
                  <c:v>45056</c:v>
                </c:pt>
                <c:pt idx="127">
                  <c:v>45049</c:v>
                </c:pt>
                <c:pt idx="128">
                  <c:v>45042</c:v>
                </c:pt>
                <c:pt idx="129">
                  <c:v>45035</c:v>
                </c:pt>
                <c:pt idx="130">
                  <c:v>45028</c:v>
                </c:pt>
                <c:pt idx="131">
                  <c:v>45021</c:v>
                </c:pt>
                <c:pt idx="132">
                  <c:v>45014</c:v>
                </c:pt>
                <c:pt idx="133">
                  <c:v>45007</c:v>
                </c:pt>
                <c:pt idx="134">
                  <c:v>45000</c:v>
                </c:pt>
                <c:pt idx="135">
                  <c:v>44993</c:v>
                </c:pt>
                <c:pt idx="136">
                  <c:v>44986</c:v>
                </c:pt>
                <c:pt idx="137">
                  <c:v>44979</c:v>
                </c:pt>
                <c:pt idx="138">
                  <c:v>44972</c:v>
                </c:pt>
                <c:pt idx="139">
                  <c:v>44965</c:v>
                </c:pt>
                <c:pt idx="140">
                  <c:v>44958</c:v>
                </c:pt>
                <c:pt idx="141">
                  <c:v>44951</c:v>
                </c:pt>
                <c:pt idx="142">
                  <c:v>44944</c:v>
                </c:pt>
                <c:pt idx="143">
                  <c:v>44937</c:v>
                </c:pt>
                <c:pt idx="144">
                  <c:v>44930</c:v>
                </c:pt>
                <c:pt idx="145">
                  <c:v>44923</c:v>
                </c:pt>
                <c:pt idx="146">
                  <c:v>44916</c:v>
                </c:pt>
                <c:pt idx="147">
                  <c:v>44909</c:v>
                </c:pt>
                <c:pt idx="148">
                  <c:v>44902</c:v>
                </c:pt>
                <c:pt idx="149">
                  <c:v>44895</c:v>
                </c:pt>
                <c:pt idx="150">
                  <c:v>44888</c:v>
                </c:pt>
                <c:pt idx="151">
                  <c:v>44881</c:v>
                </c:pt>
                <c:pt idx="152">
                  <c:v>44874</c:v>
                </c:pt>
                <c:pt idx="153">
                  <c:v>44867</c:v>
                </c:pt>
                <c:pt idx="154">
                  <c:v>44860</c:v>
                </c:pt>
              </c:numCache>
            </c:numRef>
          </c:cat>
          <c:val>
            <c:numRef>
              <c:f>'Stock Data'!$W$5:$W$159</c:f>
              <c:numCache>
                <c:formatCode>General</c:formatCode>
                <c:ptCount val="155"/>
                <c:pt idx="0">
                  <c:v>0.82367727149510828</c:v>
                </c:pt>
                <c:pt idx="1">
                  <c:v>0.82367727149510828</c:v>
                </c:pt>
                <c:pt idx="2">
                  <c:v>0.84102614652899277</c:v>
                </c:pt>
                <c:pt idx="3">
                  <c:v>0.84276349836122133</c:v>
                </c:pt>
                <c:pt idx="4">
                  <c:v>0.83381798467187462</c:v>
                </c:pt>
                <c:pt idx="5">
                  <c:v>0.81585302742797994</c:v>
                </c:pt>
                <c:pt idx="6">
                  <c:v>0.83553069321570272</c:v>
                </c:pt>
                <c:pt idx="7">
                  <c:v>0.87455334039774257</c:v>
                </c:pt>
                <c:pt idx="8">
                  <c:v>0.86441262722097623</c:v>
                </c:pt>
                <c:pt idx="9">
                  <c:v>0.89054683456960493</c:v>
                </c:pt>
                <c:pt idx="10">
                  <c:v>0.89430493605066652</c:v>
                </c:pt>
                <c:pt idx="11">
                  <c:v>0.86629783878360733</c:v>
                </c:pt>
                <c:pt idx="12">
                  <c:v>0.85273170851918467</c:v>
                </c:pt>
                <c:pt idx="13">
                  <c:v>0.87391261489933214</c:v>
                </c:pt>
                <c:pt idx="14">
                  <c:v>0.84280046329382186</c:v>
                </c:pt>
                <c:pt idx="15">
                  <c:v>0.84325636412922933</c:v>
                </c:pt>
                <c:pt idx="16">
                  <c:v>0.8485793144237167</c:v>
                </c:pt>
                <c:pt idx="17">
                  <c:v>0.86725892703122298</c:v>
                </c:pt>
                <c:pt idx="18">
                  <c:v>0.80701840853643514</c:v>
                </c:pt>
                <c:pt idx="19">
                  <c:v>0.81646910963799002</c:v>
                </c:pt>
                <c:pt idx="20">
                  <c:v>0.81309297912713463</c:v>
                </c:pt>
                <c:pt idx="21">
                  <c:v>0.81586534907218011</c:v>
                </c:pt>
                <c:pt idx="22">
                  <c:v>0.77611572488232827</c:v>
                </c:pt>
                <c:pt idx="23">
                  <c:v>0.9303950319130585</c:v>
                </c:pt>
                <c:pt idx="24">
                  <c:v>0.92711747455580462</c:v>
                </c:pt>
                <c:pt idx="25">
                  <c:v>0.96961482540230159</c:v>
                </c:pt>
                <c:pt idx="26">
                  <c:v>0.9544222381034525</c:v>
                </c:pt>
                <c:pt idx="27">
                  <c:v>0.96307203233199434</c:v>
                </c:pt>
                <c:pt idx="28">
                  <c:v>0.98029769092387686</c:v>
                </c:pt>
                <c:pt idx="29">
                  <c:v>0.98355060499273017</c:v>
                </c:pt>
                <c:pt idx="30">
                  <c:v>0.96732299958106394</c:v>
                </c:pt>
                <c:pt idx="31">
                  <c:v>0.94208827225905023</c:v>
                </c:pt>
                <c:pt idx="32">
                  <c:v>1.0846989822321891</c:v>
                </c:pt>
                <c:pt idx="33">
                  <c:v>1.0660193696246827</c:v>
                </c:pt>
                <c:pt idx="34">
                  <c:v>1.036472066832598</c:v>
                </c:pt>
                <c:pt idx="35">
                  <c:v>1.0304837477513</c:v>
                </c:pt>
                <c:pt idx="36">
                  <c:v>1.0422509179624928</c:v>
                </c:pt>
                <c:pt idx="37">
                  <c:v>1.0317651987481209</c:v>
                </c:pt>
                <c:pt idx="38">
                  <c:v>1.0501737351832228</c:v>
                </c:pt>
                <c:pt idx="39">
                  <c:v>1.0690258508095321</c:v>
                </c:pt>
                <c:pt idx="40">
                  <c:v>1.0703442667389536</c:v>
                </c:pt>
                <c:pt idx="41">
                  <c:v>1.1175731289583282</c:v>
                </c:pt>
                <c:pt idx="42">
                  <c:v>1.0964661524433821</c:v>
                </c:pt>
                <c:pt idx="43">
                  <c:v>1.0769117030976614</c:v>
                </c:pt>
                <c:pt idx="44">
                  <c:v>1.0769856329628624</c:v>
                </c:pt>
                <c:pt idx="45">
                  <c:v>1.0785751250646887</c:v>
                </c:pt>
                <c:pt idx="46">
                  <c:v>1.0599817639665836</c:v>
                </c:pt>
                <c:pt idx="47">
                  <c:v>1.066894206362897</c:v>
                </c:pt>
                <c:pt idx="48">
                  <c:v>1.0485719214371965</c:v>
                </c:pt>
                <c:pt idx="49">
                  <c:v>1.0753591759284358</c:v>
                </c:pt>
                <c:pt idx="50">
                  <c:v>1.0559032997363169</c:v>
                </c:pt>
                <c:pt idx="51">
                  <c:v>1.0902683654106804</c:v>
                </c:pt>
                <c:pt idx="52">
                  <c:v>1.0684960201089233</c:v>
                </c:pt>
                <c:pt idx="53">
                  <c:v>1.0742009413736169</c:v>
                </c:pt>
                <c:pt idx="54">
                  <c:v>1.0768254515882598</c:v>
                </c:pt>
                <c:pt idx="55">
                  <c:v>1.067744399812711</c:v>
                </c:pt>
                <c:pt idx="56">
                  <c:v>1.0498287291456172</c:v>
                </c:pt>
                <c:pt idx="57">
                  <c:v>1.0430148599029054</c:v>
                </c:pt>
                <c:pt idx="58">
                  <c:v>1.0818526824219423</c:v>
                </c:pt>
                <c:pt idx="59">
                  <c:v>1.0761354395130485</c:v>
                </c:pt>
                <c:pt idx="60">
                  <c:v>1.1702235146257915</c:v>
                </c:pt>
                <c:pt idx="61">
                  <c:v>1.0862145444688138</c:v>
                </c:pt>
                <c:pt idx="62">
                  <c:v>1.097685995219202</c:v>
                </c:pt>
                <c:pt idx="63">
                  <c:v>1.048116020601789</c:v>
                </c:pt>
                <c:pt idx="64">
                  <c:v>1.0325537839769339</c:v>
                </c:pt>
                <c:pt idx="65">
                  <c:v>1.0502230217600237</c:v>
                </c:pt>
                <c:pt idx="66">
                  <c:v>1.0340447029251583</c:v>
                </c:pt>
                <c:pt idx="67">
                  <c:v>1.0421030582320905</c:v>
                </c:pt>
                <c:pt idx="68">
                  <c:v>1.0764311589738533</c:v>
                </c:pt>
                <c:pt idx="69">
                  <c:v>1.0961827546267773</c:v>
                </c:pt>
                <c:pt idx="70">
                  <c:v>1.0882229724734467</c:v>
                </c:pt>
                <c:pt idx="71">
                  <c:v>1.0842430813967816</c:v>
                </c:pt>
                <c:pt idx="72">
                  <c:v>1.1039453904729046</c:v>
                </c:pt>
                <c:pt idx="73">
                  <c:v>1.0710835653909656</c:v>
                </c:pt>
                <c:pt idx="74">
                  <c:v>1.1251755834298527</c:v>
                </c:pt>
                <c:pt idx="75">
                  <c:v>1.1146775425712807</c:v>
                </c:pt>
                <c:pt idx="76">
                  <c:v>1.1128909041622514</c:v>
                </c:pt>
                <c:pt idx="77">
                  <c:v>1.1082333226545749</c:v>
                </c:pt>
                <c:pt idx="78">
                  <c:v>1.1264447127824737</c:v>
                </c:pt>
                <c:pt idx="79">
                  <c:v>1.0817294659799404</c:v>
                </c:pt>
                <c:pt idx="80">
                  <c:v>1.069136745607334</c:v>
                </c:pt>
                <c:pt idx="81">
                  <c:v>1.0639123684664482</c:v>
                </c:pt>
                <c:pt idx="82">
                  <c:v>1.0540796963946868</c:v>
                </c:pt>
                <c:pt idx="83">
                  <c:v>1.0656004337218759</c:v>
                </c:pt>
                <c:pt idx="84">
                  <c:v>1.0748539885162276</c:v>
                </c:pt>
                <c:pt idx="85">
                  <c:v>1.146405776386801</c:v>
                </c:pt>
                <c:pt idx="86">
                  <c:v>1.1173883042953252</c:v>
                </c:pt>
                <c:pt idx="87">
                  <c:v>1.1361172034796323</c:v>
                </c:pt>
                <c:pt idx="88">
                  <c:v>1.1399122698932944</c:v>
                </c:pt>
                <c:pt idx="89">
                  <c:v>1.1394070824810862</c:v>
                </c:pt>
                <c:pt idx="90">
                  <c:v>1.18780650089948</c:v>
                </c:pt>
                <c:pt idx="91">
                  <c:v>1.1472190049040143</c:v>
                </c:pt>
                <c:pt idx="92">
                  <c:v>1.1346262845314079</c:v>
                </c:pt>
                <c:pt idx="93">
                  <c:v>1.1010990906626579</c:v>
                </c:pt>
                <c:pt idx="94">
                  <c:v>1.0988688730624214</c:v>
                </c:pt>
                <c:pt idx="95">
                  <c:v>1.0707632026417604</c:v>
                </c:pt>
                <c:pt idx="96">
                  <c:v>1.0453313290125434</c:v>
                </c:pt>
                <c:pt idx="97">
                  <c:v>1.0359422361319894</c:v>
                </c:pt>
                <c:pt idx="98">
                  <c:v>1.074693807141625</c:v>
                </c:pt>
                <c:pt idx="99">
                  <c:v>1.123598412972227</c:v>
                </c:pt>
                <c:pt idx="100">
                  <c:v>1.1263214963404717</c:v>
                </c:pt>
                <c:pt idx="101">
                  <c:v>1.1197170950491633</c:v>
                </c:pt>
                <c:pt idx="102">
                  <c:v>1.113297518420858</c:v>
                </c:pt>
                <c:pt idx="103">
                  <c:v>1.1285147490081076</c:v>
                </c:pt>
                <c:pt idx="104">
                  <c:v>1.1227851844550136</c:v>
                </c:pt>
                <c:pt idx="105">
                  <c:v>1.1600088715838242</c:v>
                </c:pt>
                <c:pt idx="106">
                  <c:v>1.2019271051529117</c:v>
                </c:pt>
                <c:pt idx="107">
                  <c:v>1.1767293427634984</c:v>
                </c:pt>
                <c:pt idx="108">
                  <c:v>1.213053549865694</c:v>
                </c:pt>
                <c:pt idx="109">
                  <c:v>1.2520761970477339</c:v>
                </c:pt>
                <c:pt idx="110">
                  <c:v>1.2783829074151654</c:v>
                </c:pt>
                <c:pt idx="111">
                  <c:v>1.2630424603859138</c:v>
                </c:pt>
                <c:pt idx="112">
                  <c:v>1.2621799452918996</c:v>
                </c:pt>
                <c:pt idx="113">
                  <c:v>1.2616870795238917</c:v>
                </c:pt>
                <c:pt idx="114">
                  <c:v>1.1970354124054314</c:v>
                </c:pt>
                <c:pt idx="115">
                  <c:v>1.1970354124054314</c:v>
                </c:pt>
                <c:pt idx="116">
                  <c:v>1.1845782301190271</c:v>
                </c:pt>
                <c:pt idx="117">
                  <c:v>1.1633603588062791</c:v>
                </c:pt>
                <c:pt idx="118">
                  <c:v>1.1280095615958994</c:v>
                </c:pt>
                <c:pt idx="119">
                  <c:v>1.1494369008600507</c:v>
                </c:pt>
                <c:pt idx="120">
                  <c:v>1.1522832006702974</c:v>
                </c:pt>
                <c:pt idx="121">
                  <c:v>1.1272332980112867</c:v>
                </c:pt>
                <c:pt idx="122">
                  <c:v>1.16890509869637</c:v>
                </c:pt>
                <c:pt idx="123">
                  <c:v>1.1880775770718845</c:v>
                </c:pt>
                <c:pt idx="124">
                  <c:v>1.1692008181571749</c:v>
                </c:pt>
                <c:pt idx="125">
                  <c:v>1.2483180955666724</c:v>
                </c:pt>
                <c:pt idx="126">
                  <c:v>1.2421449518223711</c:v>
                </c:pt>
                <c:pt idx="127">
                  <c:v>1.2251534044702923</c:v>
                </c:pt>
                <c:pt idx="128">
                  <c:v>1.2054264521057689</c:v>
                </c:pt>
                <c:pt idx="129">
                  <c:v>1.2017792454225091</c:v>
                </c:pt>
                <c:pt idx="130">
                  <c:v>1.1666748810961334</c:v>
                </c:pt>
                <c:pt idx="131">
                  <c:v>1.1758052194484832</c:v>
                </c:pt>
                <c:pt idx="132">
                  <c:v>1.1633850020946794</c:v>
                </c:pt>
                <c:pt idx="133">
                  <c:v>1.1507799600778728</c:v>
                </c:pt>
                <c:pt idx="134">
                  <c:v>1.2039848197343452</c:v>
                </c:pt>
                <c:pt idx="135">
                  <c:v>1.2073855935336011</c:v>
                </c:pt>
                <c:pt idx="136">
                  <c:v>1.1653564651667117</c:v>
                </c:pt>
                <c:pt idx="137">
                  <c:v>1.137558835851056</c:v>
                </c:pt>
                <c:pt idx="138">
                  <c:v>1.1276029473372926</c:v>
                </c:pt>
                <c:pt idx="139">
                  <c:v>1.1280218832400994</c:v>
                </c:pt>
                <c:pt idx="140">
                  <c:v>1.0939525370265408</c:v>
                </c:pt>
                <c:pt idx="141">
                  <c:v>1.1034648463490968</c:v>
                </c:pt>
                <c:pt idx="142">
                  <c:v>1.073239853126001</c:v>
                </c:pt>
                <c:pt idx="143">
                  <c:v>1.1380270583306635</c:v>
                </c:pt>
                <c:pt idx="144">
                  <c:v>1.0956652455703688</c:v>
                </c:pt>
                <c:pt idx="145">
                  <c:v>1.1458389807535918</c:v>
                </c:pt>
                <c:pt idx="146">
                  <c:v>1.1349096823480125</c:v>
                </c:pt>
                <c:pt idx="147">
                  <c:v>1.1319771310283644</c:v>
                </c:pt>
                <c:pt idx="148">
                  <c:v>1.0453559723009438</c:v>
                </c:pt>
                <c:pt idx="149">
                  <c:v>1.0366322482072006</c:v>
                </c:pt>
                <c:pt idx="150">
                  <c:v>1.0272801202592474</c:v>
                </c:pt>
                <c:pt idx="151">
                  <c:v>1.025912417753025</c:v>
                </c:pt>
                <c:pt idx="152">
                  <c:v>0.98507848887355531</c:v>
                </c:pt>
                <c:pt idx="153">
                  <c:v>1.0389980038936395</c:v>
                </c:pt>
                <c:pt idx="154">
                  <c:v>1</c:v>
                </c:pt>
              </c:numCache>
            </c:numRef>
          </c:val>
          <c:smooth val="0"/>
          <c:extLst>
            <c:ext xmlns:c16="http://schemas.microsoft.com/office/drawing/2014/chart" uri="{C3380CC4-5D6E-409C-BE32-E72D297353CC}">
              <c16:uniqueId val="{00000002-0BFC-4092-BBEE-7B7B9EC025B0}"/>
            </c:ext>
          </c:extLst>
        </c:ser>
        <c:dLbls>
          <c:showLegendKey val="0"/>
          <c:showVal val="0"/>
          <c:showCatName val="0"/>
          <c:showSerName val="0"/>
          <c:showPercent val="0"/>
          <c:showBubbleSize val="0"/>
        </c:dLbls>
        <c:smooth val="0"/>
        <c:axId val="1007329848"/>
        <c:axId val="1007330176"/>
      </c:lineChart>
      <c:dateAx>
        <c:axId val="100732984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7330176"/>
        <c:crosses val="autoZero"/>
        <c:auto val="1"/>
        <c:lblOffset val="100"/>
        <c:baseTimeUnit val="days"/>
      </c:dateAx>
      <c:valAx>
        <c:axId val="1007330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7329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106198353200924E-2"/>
          <c:y val="3.4470114165230686E-2"/>
          <c:w val="0.93213475215892583"/>
          <c:h val="0.63969330964910764"/>
        </c:manualLayout>
      </c:layout>
      <c:lineChart>
        <c:grouping val="standard"/>
        <c:varyColors val="0"/>
        <c:ser>
          <c:idx val="0"/>
          <c:order val="0"/>
          <c:tx>
            <c:strRef>
              <c:f>Inputs!$S$7</c:f>
              <c:strCache>
                <c:ptCount val="1"/>
                <c:pt idx="0">
                  <c:v>#NAME?</c:v>
                </c:pt>
              </c:strCache>
            </c:strRef>
          </c:tx>
          <c:spPr>
            <a:ln w="28575" cap="rnd">
              <a:solidFill>
                <a:schemeClr val="accent1"/>
              </a:solidFill>
              <a:round/>
            </a:ln>
            <a:effectLst/>
          </c:spPr>
          <c:marker>
            <c:symbol val="none"/>
          </c:marker>
          <c:cat>
            <c:numRef>
              <c:f>'Stock Data'!$Q$5:$Q$159</c:f>
              <c:numCache>
                <c:formatCode>m/d/yyyy</c:formatCode>
                <c:ptCount val="155"/>
                <c:pt idx="0">
                  <c:v>45938</c:v>
                </c:pt>
                <c:pt idx="1">
                  <c:v>45931</c:v>
                </c:pt>
                <c:pt idx="2">
                  <c:v>45924</c:v>
                </c:pt>
                <c:pt idx="3">
                  <c:v>45917</c:v>
                </c:pt>
                <c:pt idx="4">
                  <c:v>45910</c:v>
                </c:pt>
                <c:pt idx="5">
                  <c:v>45903</c:v>
                </c:pt>
                <c:pt idx="6">
                  <c:v>45896</c:v>
                </c:pt>
                <c:pt idx="7">
                  <c:v>45889</c:v>
                </c:pt>
                <c:pt idx="8">
                  <c:v>45882</c:v>
                </c:pt>
                <c:pt idx="9">
                  <c:v>45875</c:v>
                </c:pt>
                <c:pt idx="10">
                  <c:v>45868</c:v>
                </c:pt>
                <c:pt idx="11">
                  <c:v>45861</c:v>
                </c:pt>
                <c:pt idx="12">
                  <c:v>45854</c:v>
                </c:pt>
                <c:pt idx="13">
                  <c:v>45847</c:v>
                </c:pt>
                <c:pt idx="14">
                  <c:v>45840</c:v>
                </c:pt>
                <c:pt idx="15">
                  <c:v>45833</c:v>
                </c:pt>
                <c:pt idx="16">
                  <c:v>45826</c:v>
                </c:pt>
                <c:pt idx="17">
                  <c:v>45819</c:v>
                </c:pt>
                <c:pt idx="18">
                  <c:v>45812</c:v>
                </c:pt>
                <c:pt idx="19">
                  <c:v>45805</c:v>
                </c:pt>
                <c:pt idx="20">
                  <c:v>45798</c:v>
                </c:pt>
                <c:pt idx="21">
                  <c:v>45791</c:v>
                </c:pt>
                <c:pt idx="22">
                  <c:v>45784</c:v>
                </c:pt>
                <c:pt idx="23">
                  <c:v>45777</c:v>
                </c:pt>
                <c:pt idx="24">
                  <c:v>45770</c:v>
                </c:pt>
                <c:pt idx="25">
                  <c:v>45763</c:v>
                </c:pt>
                <c:pt idx="26">
                  <c:v>45756</c:v>
                </c:pt>
                <c:pt idx="27">
                  <c:v>45749</c:v>
                </c:pt>
                <c:pt idx="28">
                  <c:v>45742</c:v>
                </c:pt>
                <c:pt idx="29">
                  <c:v>45735</c:v>
                </c:pt>
                <c:pt idx="30">
                  <c:v>45728</c:v>
                </c:pt>
                <c:pt idx="31">
                  <c:v>45721</c:v>
                </c:pt>
                <c:pt idx="32">
                  <c:v>45714</c:v>
                </c:pt>
                <c:pt idx="33">
                  <c:v>45707</c:v>
                </c:pt>
                <c:pt idx="34">
                  <c:v>45700</c:v>
                </c:pt>
                <c:pt idx="35">
                  <c:v>45693</c:v>
                </c:pt>
                <c:pt idx="36">
                  <c:v>45686</c:v>
                </c:pt>
                <c:pt idx="37">
                  <c:v>45679</c:v>
                </c:pt>
                <c:pt idx="38">
                  <c:v>45672</c:v>
                </c:pt>
                <c:pt idx="39">
                  <c:v>45665</c:v>
                </c:pt>
                <c:pt idx="40">
                  <c:v>45658</c:v>
                </c:pt>
                <c:pt idx="41">
                  <c:v>45651</c:v>
                </c:pt>
                <c:pt idx="42">
                  <c:v>45644</c:v>
                </c:pt>
                <c:pt idx="43">
                  <c:v>45637</c:v>
                </c:pt>
                <c:pt idx="44">
                  <c:v>45630</c:v>
                </c:pt>
                <c:pt idx="45">
                  <c:v>45623</c:v>
                </c:pt>
                <c:pt idx="46">
                  <c:v>45616</c:v>
                </c:pt>
                <c:pt idx="47">
                  <c:v>45609</c:v>
                </c:pt>
                <c:pt idx="48">
                  <c:v>45602</c:v>
                </c:pt>
                <c:pt idx="49">
                  <c:v>45595</c:v>
                </c:pt>
                <c:pt idx="50">
                  <c:v>45588</c:v>
                </c:pt>
                <c:pt idx="51">
                  <c:v>45581</c:v>
                </c:pt>
                <c:pt idx="52">
                  <c:v>45574</c:v>
                </c:pt>
                <c:pt idx="53">
                  <c:v>45567</c:v>
                </c:pt>
                <c:pt idx="54">
                  <c:v>45560</c:v>
                </c:pt>
                <c:pt idx="55">
                  <c:v>45553</c:v>
                </c:pt>
                <c:pt idx="56">
                  <c:v>45546</c:v>
                </c:pt>
                <c:pt idx="57">
                  <c:v>45539</c:v>
                </c:pt>
                <c:pt idx="58">
                  <c:v>45532</c:v>
                </c:pt>
                <c:pt idx="59">
                  <c:v>45525</c:v>
                </c:pt>
                <c:pt idx="60">
                  <c:v>45518</c:v>
                </c:pt>
                <c:pt idx="61">
                  <c:v>45511</c:v>
                </c:pt>
                <c:pt idx="62">
                  <c:v>45504</c:v>
                </c:pt>
                <c:pt idx="63">
                  <c:v>45497</c:v>
                </c:pt>
                <c:pt idx="64">
                  <c:v>45490</c:v>
                </c:pt>
                <c:pt idx="65">
                  <c:v>45483</c:v>
                </c:pt>
                <c:pt idx="66">
                  <c:v>45476</c:v>
                </c:pt>
                <c:pt idx="67">
                  <c:v>45469</c:v>
                </c:pt>
                <c:pt idx="68">
                  <c:v>45462</c:v>
                </c:pt>
                <c:pt idx="69">
                  <c:v>45455</c:v>
                </c:pt>
                <c:pt idx="70">
                  <c:v>45448</c:v>
                </c:pt>
                <c:pt idx="71">
                  <c:v>45441</c:v>
                </c:pt>
                <c:pt idx="72">
                  <c:v>45434</c:v>
                </c:pt>
                <c:pt idx="73">
                  <c:v>45427</c:v>
                </c:pt>
                <c:pt idx="74">
                  <c:v>45420</c:v>
                </c:pt>
                <c:pt idx="75">
                  <c:v>45413</c:v>
                </c:pt>
                <c:pt idx="76">
                  <c:v>45406</c:v>
                </c:pt>
                <c:pt idx="77">
                  <c:v>45399</c:v>
                </c:pt>
                <c:pt idx="78">
                  <c:v>45392</c:v>
                </c:pt>
                <c:pt idx="79">
                  <c:v>45385</c:v>
                </c:pt>
                <c:pt idx="80">
                  <c:v>45378</c:v>
                </c:pt>
                <c:pt idx="81">
                  <c:v>45371</c:v>
                </c:pt>
                <c:pt idx="82">
                  <c:v>45364</c:v>
                </c:pt>
                <c:pt idx="83">
                  <c:v>45357</c:v>
                </c:pt>
                <c:pt idx="84">
                  <c:v>45350</c:v>
                </c:pt>
                <c:pt idx="85">
                  <c:v>45343</c:v>
                </c:pt>
                <c:pt idx="86">
                  <c:v>45336</c:v>
                </c:pt>
                <c:pt idx="87">
                  <c:v>45329</c:v>
                </c:pt>
                <c:pt idx="88">
                  <c:v>45322</c:v>
                </c:pt>
                <c:pt idx="89">
                  <c:v>45315</c:v>
                </c:pt>
                <c:pt idx="90">
                  <c:v>45308</c:v>
                </c:pt>
                <c:pt idx="91">
                  <c:v>45301</c:v>
                </c:pt>
                <c:pt idx="92">
                  <c:v>45294</c:v>
                </c:pt>
                <c:pt idx="93">
                  <c:v>45287</c:v>
                </c:pt>
                <c:pt idx="94">
                  <c:v>45280</c:v>
                </c:pt>
                <c:pt idx="95">
                  <c:v>45273</c:v>
                </c:pt>
                <c:pt idx="96">
                  <c:v>45266</c:v>
                </c:pt>
                <c:pt idx="97">
                  <c:v>45259</c:v>
                </c:pt>
                <c:pt idx="98">
                  <c:v>45252</c:v>
                </c:pt>
                <c:pt idx="99">
                  <c:v>45245</c:v>
                </c:pt>
                <c:pt idx="100">
                  <c:v>45238</c:v>
                </c:pt>
                <c:pt idx="101">
                  <c:v>45231</c:v>
                </c:pt>
                <c:pt idx="102">
                  <c:v>45224</c:v>
                </c:pt>
                <c:pt idx="103">
                  <c:v>45217</c:v>
                </c:pt>
                <c:pt idx="104">
                  <c:v>45210</c:v>
                </c:pt>
                <c:pt idx="105">
                  <c:v>45203</c:v>
                </c:pt>
                <c:pt idx="106">
                  <c:v>45196</c:v>
                </c:pt>
                <c:pt idx="107">
                  <c:v>45189</c:v>
                </c:pt>
                <c:pt idx="108">
                  <c:v>45182</c:v>
                </c:pt>
                <c:pt idx="109">
                  <c:v>45175</c:v>
                </c:pt>
                <c:pt idx="110">
                  <c:v>45168</c:v>
                </c:pt>
                <c:pt idx="111">
                  <c:v>45161</c:v>
                </c:pt>
                <c:pt idx="112">
                  <c:v>45154</c:v>
                </c:pt>
                <c:pt idx="113">
                  <c:v>45147</c:v>
                </c:pt>
                <c:pt idx="114">
                  <c:v>45140</c:v>
                </c:pt>
                <c:pt idx="115">
                  <c:v>45133</c:v>
                </c:pt>
                <c:pt idx="116">
                  <c:v>45126</c:v>
                </c:pt>
                <c:pt idx="117">
                  <c:v>45119</c:v>
                </c:pt>
                <c:pt idx="118">
                  <c:v>45112</c:v>
                </c:pt>
                <c:pt idx="119">
                  <c:v>45105</c:v>
                </c:pt>
                <c:pt idx="120">
                  <c:v>45098</c:v>
                </c:pt>
                <c:pt idx="121">
                  <c:v>45091</c:v>
                </c:pt>
                <c:pt idx="122">
                  <c:v>45084</c:v>
                </c:pt>
                <c:pt idx="123">
                  <c:v>45077</c:v>
                </c:pt>
                <c:pt idx="124">
                  <c:v>45070</c:v>
                </c:pt>
                <c:pt idx="125">
                  <c:v>45063</c:v>
                </c:pt>
                <c:pt idx="126">
                  <c:v>45056</c:v>
                </c:pt>
                <c:pt idx="127">
                  <c:v>45049</c:v>
                </c:pt>
                <c:pt idx="128">
                  <c:v>45042</c:v>
                </c:pt>
                <c:pt idx="129">
                  <c:v>45035</c:v>
                </c:pt>
                <c:pt idx="130">
                  <c:v>45028</c:v>
                </c:pt>
                <c:pt idx="131">
                  <c:v>45021</c:v>
                </c:pt>
                <c:pt idx="132">
                  <c:v>45014</c:v>
                </c:pt>
                <c:pt idx="133">
                  <c:v>45007</c:v>
                </c:pt>
                <c:pt idx="134">
                  <c:v>45000</c:v>
                </c:pt>
                <c:pt idx="135">
                  <c:v>44993</c:v>
                </c:pt>
                <c:pt idx="136">
                  <c:v>44986</c:v>
                </c:pt>
                <c:pt idx="137">
                  <c:v>44979</c:v>
                </c:pt>
                <c:pt idx="138">
                  <c:v>44972</c:v>
                </c:pt>
                <c:pt idx="139">
                  <c:v>44965</c:v>
                </c:pt>
                <c:pt idx="140">
                  <c:v>44958</c:v>
                </c:pt>
                <c:pt idx="141">
                  <c:v>44951</c:v>
                </c:pt>
                <c:pt idx="142">
                  <c:v>44944</c:v>
                </c:pt>
                <c:pt idx="143">
                  <c:v>44937</c:v>
                </c:pt>
                <c:pt idx="144">
                  <c:v>44930</c:v>
                </c:pt>
                <c:pt idx="145">
                  <c:v>44923</c:v>
                </c:pt>
                <c:pt idx="146">
                  <c:v>44916</c:v>
                </c:pt>
                <c:pt idx="147">
                  <c:v>44909</c:v>
                </c:pt>
                <c:pt idx="148">
                  <c:v>44902</c:v>
                </c:pt>
                <c:pt idx="149">
                  <c:v>44895</c:v>
                </c:pt>
                <c:pt idx="150">
                  <c:v>44888</c:v>
                </c:pt>
                <c:pt idx="151">
                  <c:v>44881</c:v>
                </c:pt>
                <c:pt idx="152">
                  <c:v>44874</c:v>
                </c:pt>
                <c:pt idx="153">
                  <c:v>44867</c:v>
                </c:pt>
                <c:pt idx="154">
                  <c:v>44860</c:v>
                </c:pt>
              </c:numCache>
            </c:numRef>
          </c:cat>
          <c:val>
            <c:numRef>
              <c:f>'Stock Data'!$AF$5:$AF$159</c:f>
              <c:numCache>
                <c:formatCode>General</c:formatCode>
                <c:ptCount val="155"/>
                <c:pt idx="0">
                  <c:v>1.5466022766471199</c:v>
                </c:pt>
                <c:pt idx="1">
                  <c:v>1.5466022766471199</c:v>
                </c:pt>
                <c:pt idx="2">
                  <c:v>1.5943428768540877</c:v>
                </c:pt>
                <c:pt idx="3">
                  <c:v>1.6083477061055538</c:v>
                </c:pt>
                <c:pt idx="4">
                  <c:v>1.5896516040013797</c:v>
                </c:pt>
                <c:pt idx="5">
                  <c:v>1.534391169368748</c:v>
                </c:pt>
                <c:pt idx="6">
                  <c:v>1.6180751983442567</c:v>
                </c:pt>
                <c:pt idx="7">
                  <c:v>1.5984822352535357</c:v>
                </c:pt>
                <c:pt idx="8">
                  <c:v>1.5913073473611592</c:v>
                </c:pt>
                <c:pt idx="9">
                  <c:v>1.6468437392204209</c:v>
                </c:pt>
                <c:pt idx="10">
                  <c:v>1.61662642290445</c:v>
                </c:pt>
                <c:pt idx="11">
                  <c:v>1.5833735770955502</c:v>
                </c:pt>
                <c:pt idx="12">
                  <c:v>1.5352190410486375</c:v>
                </c:pt>
                <c:pt idx="13">
                  <c:v>1.5726802345636428</c:v>
                </c:pt>
                <c:pt idx="14">
                  <c:v>1.5162469817178339</c:v>
                </c:pt>
                <c:pt idx="15">
                  <c:v>1.5161090031045188</c:v>
                </c:pt>
                <c:pt idx="16">
                  <c:v>1.5256295274232494</c:v>
                </c:pt>
                <c:pt idx="17">
                  <c:v>1.5946878233873751</c:v>
                </c:pt>
                <c:pt idx="18">
                  <c:v>1.4723007933770267</c:v>
                </c:pt>
                <c:pt idx="19">
                  <c:v>1.4477406002069679</c:v>
                </c:pt>
                <c:pt idx="20">
                  <c:v>1.4251121076233184</c:v>
                </c:pt>
                <c:pt idx="21">
                  <c:v>1.430493273542601</c:v>
                </c:pt>
                <c:pt idx="22">
                  <c:v>1.3664711969644705</c:v>
                </c:pt>
                <c:pt idx="23">
                  <c:v>1.669403242497413</c:v>
                </c:pt>
                <c:pt idx="24">
                  <c:v>1.6631252155915834</c:v>
                </c:pt>
                <c:pt idx="25">
                  <c:v>1.6957571576405659</c:v>
                </c:pt>
                <c:pt idx="26">
                  <c:v>1.6761641945498449</c:v>
                </c:pt>
                <c:pt idx="27">
                  <c:v>1.7091410831321148</c:v>
                </c:pt>
                <c:pt idx="28">
                  <c:v>1.7694377371507419</c:v>
                </c:pt>
                <c:pt idx="29">
                  <c:v>1.8451190065539842</c:v>
                </c:pt>
                <c:pt idx="30">
                  <c:v>1.8024146257330114</c:v>
                </c:pt>
                <c:pt idx="31">
                  <c:v>1.7312866505691618</c:v>
                </c:pt>
                <c:pt idx="32">
                  <c:v>1.9223870300103485</c:v>
                </c:pt>
                <c:pt idx="33">
                  <c:v>1.9011383235598482</c:v>
                </c:pt>
                <c:pt idx="34">
                  <c:v>1.9152811314246294</c:v>
                </c:pt>
                <c:pt idx="35">
                  <c:v>1.8972059330803728</c:v>
                </c:pt>
                <c:pt idx="36">
                  <c:v>1.9408761641945498</c:v>
                </c:pt>
                <c:pt idx="37">
                  <c:v>1.8754053121766125</c:v>
                </c:pt>
                <c:pt idx="38">
                  <c:v>1.9139703345981376</c:v>
                </c:pt>
                <c:pt idx="39">
                  <c:v>1.9270093135563988</c:v>
                </c:pt>
                <c:pt idx="40">
                  <c:v>1.9513625388064852</c:v>
                </c:pt>
                <c:pt idx="41">
                  <c:v>2.0902380131079688</c:v>
                </c:pt>
                <c:pt idx="42">
                  <c:v>2.0218006209037602</c:v>
                </c:pt>
                <c:pt idx="43">
                  <c:v>1.9818558123490859</c:v>
                </c:pt>
                <c:pt idx="44">
                  <c:v>1.9001034839599864</c:v>
                </c:pt>
                <c:pt idx="45">
                  <c:v>1.8974818903070028</c:v>
                </c:pt>
                <c:pt idx="46">
                  <c:v>1.861262504311832</c:v>
                </c:pt>
                <c:pt idx="47">
                  <c:v>1.8345636426353917</c:v>
                </c:pt>
                <c:pt idx="48">
                  <c:v>1.803380476026216</c:v>
                </c:pt>
                <c:pt idx="49">
                  <c:v>1.85967575025871</c:v>
                </c:pt>
                <c:pt idx="50">
                  <c:v>1.8429113487409452</c:v>
                </c:pt>
                <c:pt idx="51">
                  <c:v>2.0513280441531561</c:v>
                </c:pt>
                <c:pt idx="52">
                  <c:v>1.958261469472232</c:v>
                </c:pt>
                <c:pt idx="53">
                  <c:v>2.0246981717833741</c:v>
                </c:pt>
                <c:pt idx="54">
                  <c:v>2.0344946533287342</c:v>
                </c:pt>
                <c:pt idx="55">
                  <c:v>1.9899275612280098</c:v>
                </c:pt>
                <c:pt idx="56">
                  <c:v>1.9530872714729219</c:v>
                </c:pt>
                <c:pt idx="57">
                  <c:v>1.971231459123836</c:v>
                </c:pt>
                <c:pt idx="58">
                  <c:v>2.0757502587098999</c:v>
                </c:pt>
                <c:pt idx="59">
                  <c:v>2.0751983442566404</c:v>
                </c:pt>
                <c:pt idx="60">
                  <c:v>2.1629527423249395</c:v>
                </c:pt>
                <c:pt idx="61">
                  <c:v>2.0195239737840636</c:v>
                </c:pt>
                <c:pt idx="62">
                  <c:v>2.057399103139014</c:v>
                </c:pt>
                <c:pt idx="63">
                  <c:v>1.7687478440841671</c:v>
                </c:pt>
                <c:pt idx="64">
                  <c:v>1.7115557088651261</c:v>
                </c:pt>
                <c:pt idx="65">
                  <c:v>1.7414970679544672</c:v>
                </c:pt>
                <c:pt idx="66">
                  <c:v>1.6967919972404277</c:v>
                </c:pt>
                <c:pt idx="67">
                  <c:v>1.7112107623318387</c:v>
                </c:pt>
                <c:pt idx="68">
                  <c:v>1.7408071748878926</c:v>
                </c:pt>
                <c:pt idx="69">
                  <c:v>1.7870989996550537</c:v>
                </c:pt>
                <c:pt idx="70">
                  <c:v>1.790065539841325</c:v>
                </c:pt>
                <c:pt idx="71">
                  <c:v>1.8060020696791996</c:v>
                </c:pt>
                <c:pt idx="72">
                  <c:v>1.8747844084166956</c:v>
                </c:pt>
                <c:pt idx="73">
                  <c:v>1.8278026905829599</c:v>
                </c:pt>
                <c:pt idx="74">
                  <c:v>1.906657468092446</c:v>
                </c:pt>
                <c:pt idx="75">
                  <c:v>1.8992066229734395</c:v>
                </c:pt>
                <c:pt idx="76">
                  <c:v>1.9937219730941707</c:v>
                </c:pt>
                <c:pt idx="77">
                  <c:v>1.7704035874439463</c:v>
                </c:pt>
                <c:pt idx="78">
                  <c:v>1.7538461538461541</c:v>
                </c:pt>
                <c:pt idx="79">
                  <c:v>1.7159020351845464</c:v>
                </c:pt>
                <c:pt idx="80">
                  <c:v>1.6654018627112799</c:v>
                </c:pt>
                <c:pt idx="81">
                  <c:v>1.6525698516729908</c:v>
                </c:pt>
                <c:pt idx="82">
                  <c:v>1.6308382200758882</c:v>
                </c:pt>
                <c:pt idx="83">
                  <c:v>1.6648499482580201</c:v>
                </c:pt>
                <c:pt idx="84">
                  <c:v>1.6817523283890998</c:v>
                </c:pt>
                <c:pt idx="85">
                  <c:v>1.7305967575025871</c:v>
                </c:pt>
                <c:pt idx="86">
                  <c:v>1.6905139703345982</c:v>
                </c:pt>
                <c:pt idx="87">
                  <c:v>1.7057606071058988</c:v>
                </c:pt>
                <c:pt idx="88">
                  <c:v>1.7401862711279754</c:v>
                </c:pt>
                <c:pt idx="89">
                  <c:v>1.7384615384615387</c:v>
                </c:pt>
                <c:pt idx="90">
                  <c:v>1.9317005864091068</c:v>
                </c:pt>
                <c:pt idx="91">
                  <c:v>1.8834770610555365</c:v>
                </c:pt>
                <c:pt idx="92">
                  <c:v>1.835667471541911</c:v>
                </c:pt>
                <c:pt idx="93">
                  <c:v>1.7482580200068991</c:v>
                </c:pt>
                <c:pt idx="94">
                  <c:v>1.7651604001379788</c:v>
                </c:pt>
                <c:pt idx="95">
                  <c:v>1.7535701966195241</c:v>
                </c:pt>
                <c:pt idx="96">
                  <c:v>1.6847188685753709</c:v>
                </c:pt>
                <c:pt idx="97">
                  <c:v>1.656433252845809</c:v>
                </c:pt>
                <c:pt idx="98">
                  <c:v>1.6673335632976891</c:v>
                </c:pt>
                <c:pt idx="99">
                  <c:v>1.7111417730251812</c:v>
                </c:pt>
                <c:pt idx="100">
                  <c:v>1.7715764056571235</c:v>
                </c:pt>
                <c:pt idx="101">
                  <c:v>1.7950327699206625</c:v>
                </c:pt>
                <c:pt idx="102">
                  <c:v>1.8033114867195585</c:v>
                </c:pt>
                <c:pt idx="103">
                  <c:v>1.724663677130045</c:v>
                </c:pt>
                <c:pt idx="104">
                  <c:v>1.7348740945153502</c:v>
                </c:pt>
                <c:pt idx="105">
                  <c:v>1.7704035874439463</c:v>
                </c:pt>
                <c:pt idx="106">
                  <c:v>1.7977233528803036</c:v>
                </c:pt>
                <c:pt idx="107">
                  <c:v>1.7866850638151088</c:v>
                </c:pt>
                <c:pt idx="108">
                  <c:v>1.8320110382890653</c:v>
                </c:pt>
                <c:pt idx="109">
                  <c:v>1.8507071403932391</c:v>
                </c:pt>
                <c:pt idx="110">
                  <c:v>1.8500172473266647</c:v>
                </c:pt>
                <c:pt idx="111">
                  <c:v>1.7913763366678168</c:v>
                </c:pt>
                <c:pt idx="112">
                  <c:v>1.8073128665056919</c:v>
                </c:pt>
                <c:pt idx="113">
                  <c:v>1.7826836840289755</c:v>
                </c:pt>
                <c:pt idx="114">
                  <c:v>1.7023801310796827</c:v>
                </c:pt>
                <c:pt idx="115">
                  <c:v>1.7023801310796827</c:v>
                </c:pt>
                <c:pt idx="116">
                  <c:v>1.5981372887202485</c:v>
                </c:pt>
                <c:pt idx="117">
                  <c:v>1.5789582614694724</c:v>
                </c:pt>
                <c:pt idx="118">
                  <c:v>1.5143152811314247</c:v>
                </c:pt>
                <c:pt idx="119">
                  <c:v>1.5601241807519834</c:v>
                </c:pt>
                <c:pt idx="120">
                  <c:v>1.5635736460848568</c:v>
                </c:pt>
                <c:pt idx="121">
                  <c:v>1.5265263884097966</c:v>
                </c:pt>
                <c:pt idx="122">
                  <c:v>1.5773025181096931</c:v>
                </c:pt>
                <c:pt idx="123">
                  <c:v>1.5757157640565713</c:v>
                </c:pt>
                <c:pt idx="124">
                  <c:v>1.5555018972059331</c:v>
                </c:pt>
                <c:pt idx="125">
                  <c:v>1.5813038978958263</c:v>
                </c:pt>
                <c:pt idx="126">
                  <c:v>1.5973094170403588</c:v>
                </c:pt>
                <c:pt idx="127">
                  <c:v>1.562538806484995</c:v>
                </c:pt>
                <c:pt idx="128">
                  <c:v>1.5208002759572268</c:v>
                </c:pt>
                <c:pt idx="129">
                  <c:v>1.5165919282511213</c:v>
                </c:pt>
                <c:pt idx="130">
                  <c:v>1.3652293894446361</c:v>
                </c:pt>
                <c:pt idx="131">
                  <c:v>1.4233873749568817</c:v>
                </c:pt>
                <c:pt idx="132">
                  <c:v>1.4020006898930666</c:v>
                </c:pt>
                <c:pt idx="133">
                  <c:v>1.4187650914108314</c:v>
                </c:pt>
                <c:pt idx="134">
                  <c:v>1.4671955846843741</c:v>
                </c:pt>
                <c:pt idx="135">
                  <c:v>1.4481545360469128</c:v>
                </c:pt>
                <c:pt idx="136">
                  <c:v>1.3374266988616765</c:v>
                </c:pt>
                <c:pt idx="137">
                  <c:v>1.3056226284925838</c:v>
                </c:pt>
                <c:pt idx="138">
                  <c:v>1.2978958261469473</c:v>
                </c:pt>
                <c:pt idx="139">
                  <c:v>1.302104173853053</c:v>
                </c:pt>
                <c:pt idx="140">
                  <c:v>1.2229734391169371</c:v>
                </c:pt>
                <c:pt idx="141">
                  <c:v>1.2214556743704728</c:v>
                </c:pt>
                <c:pt idx="142">
                  <c:v>1.1338392549154881</c:v>
                </c:pt>
                <c:pt idx="143">
                  <c:v>1.2202828561572956</c:v>
                </c:pt>
                <c:pt idx="144">
                  <c:v>1.1938599517074855</c:v>
                </c:pt>
                <c:pt idx="145">
                  <c:v>1.2267678509830977</c:v>
                </c:pt>
                <c:pt idx="146">
                  <c:v>1.2119351500517419</c:v>
                </c:pt>
                <c:pt idx="147">
                  <c:v>1.2160055191445327</c:v>
                </c:pt>
                <c:pt idx="148">
                  <c:v>1.1006553984132459</c:v>
                </c:pt>
                <c:pt idx="149">
                  <c:v>1.0913418420144878</c:v>
                </c:pt>
                <c:pt idx="150">
                  <c:v>1.074853397723353</c:v>
                </c:pt>
                <c:pt idx="151">
                  <c:v>1.0783028630562264</c:v>
                </c:pt>
                <c:pt idx="152">
                  <c:v>1.0491893756467749</c:v>
                </c:pt>
                <c:pt idx="153">
                  <c:v>1.0977578475336325</c:v>
                </c:pt>
                <c:pt idx="154">
                  <c:v>1</c:v>
                </c:pt>
              </c:numCache>
            </c:numRef>
          </c:val>
          <c:smooth val="0"/>
          <c:extLst>
            <c:ext xmlns:c16="http://schemas.microsoft.com/office/drawing/2014/chart" uri="{C3380CC4-5D6E-409C-BE32-E72D297353CC}">
              <c16:uniqueId val="{00000000-7FCB-4865-8E32-ABAA033EDCFC}"/>
            </c:ext>
          </c:extLst>
        </c:ser>
        <c:ser>
          <c:idx val="1"/>
          <c:order val="1"/>
          <c:tx>
            <c:strRef>
              <c:f>Inputs!$B$21</c:f>
              <c:strCache>
                <c:ptCount val="1"/>
                <c:pt idx="0">
                  <c:v>UNITED PARCEL-B</c:v>
                </c:pt>
              </c:strCache>
            </c:strRef>
          </c:tx>
          <c:spPr>
            <a:ln w="28575" cap="rnd">
              <a:solidFill>
                <a:schemeClr val="accent3"/>
              </a:solidFill>
              <a:round/>
            </a:ln>
            <a:effectLst/>
          </c:spPr>
          <c:marker>
            <c:symbol val="none"/>
          </c:marker>
          <c:cat>
            <c:numRef>
              <c:f>'Stock Data'!$Q$5:$Q$159</c:f>
              <c:numCache>
                <c:formatCode>m/d/yyyy</c:formatCode>
                <c:ptCount val="155"/>
                <c:pt idx="0">
                  <c:v>45938</c:v>
                </c:pt>
                <c:pt idx="1">
                  <c:v>45931</c:v>
                </c:pt>
                <c:pt idx="2">
                  <c:v>45924</c:v>
                </c:pt>
                <c:pt idx="3">
                  <c:v>45917</c:v>
                </c:pt>
                <c:pt idx="4">
                  <c:v>45910</c:v>
                </c:pt>
                <c:pt idx="5">
                  <c:v>45903</c:v>
                </c:pt>
                <c:pt idx="6">
                  <c:v>45896</c:v>
                </c:pt>
                <c:pt idx="7">
                  <c:v>45889</c:v>
                </c:pt>
                <c:pt idx="8">
                  <c:v>45882</c:v>
                </c:pt>
                <c:pt idx="9">
                  <c:v>45875</c:v>
                </c:pt>
                <c:pt idx="10">
                  <c:v>45868</c:v>
                </c:pt>
                <c:pt idx="11">
                  <c:v>45861</c:v>
                </c:pt>
                <c:pt idx="12">
                  <c:v>45854</c:v>
                </c:pt>
                <c:pt idx="13">
                  <c:v>45847</c:v>
                </c:pt>
                <c:pt idx="14">
                  <c:v>45840</c:v>
                </c:pt>
                <c:pt idx="15">
                  <c:v>45833</c:v>
                </c:pt>
                <c:pt idx="16">
                  <c:v>45826</c:v>
                </c:pt>
                <c:pt idx="17">
                  <c:v>45819</c:v>
                </c:pt>
                <c:pt idx="18">
                  <c:v>45812</c:v>
                </c:pt>
                <c:pt idx="19">
                  <c:v>45805</c:v>
                </c:pt>
                <c:pt idx="20">
                  <c:v>45798</c:v>
                </c:pt>
                <c:pt idx="21">
                  <c:v>45791</c:v>
                </c:pt>
                <c:pt idx="22">
                  <c:v>45784</c:v>
                </c:pt>
                <c:pt idx="23">
                  <c:v>45777</c:v>
                </c:pt>
                <c:pt idx="24">
                  <c:v>45770</c:v>
                </c:pt>
                <c:pt idx="25">
                  <c:v>45763</c:v>
                </c:pt>
                <c:pt idx="26">
                  <c:v>45756</c:v>
                </c:pt>
                <c:pt idx="27">
                  <c:v>45749</c:v>
                </c:pt>
                <c:pt idx="28">
                  <c:v>45742</c:v>
                </c:pt>
                <c:pt idx="29">
                  <c:v>45735</c:v>
                </c:pt>
                <c:pt idx="30">
                  <c:v>45728</c:v>
                </c:pt>
                <c:pt idx="31">
                  <c:v>45721</c:v>
                </c:pt>
                <c:pt idx="32">
                  <c:v>45714</c:v>
                </c:pt>
                <c:pt idx="33">
                  <c:v>45707</c:v>
                </c:pt>
                <c:pt idx="34">
                  <c:v>45700</c:v>
                </c:pt>
                <c:pt idx="35">
                  <c:v>45693</c:v>
                </c:pt>
                <c:pt idx="36">
                  <c:v>45686</c:v>
                </c:pt>
                <c:pt idx="37">
                  <c:v>45679</c:v>
                </c:pt>
                <c:pt idx="38">
                  <c:v>45672</c:v>
                </c:pt>
                <c:pt idx="39">
                  <c:v>45665</c:v>
                </c:pt>
                <c:pt idx="40">
                  <c:v>45658</c:v>
                </c:pt>
                <c:pt idx="41">
                  <c:v>45651</c:v>
                </c:pt>
                <c:pt idx="42">
                  <c:v>45644</c:v>
                </c:pt>
                <c:pt idx="43">
                  <c:v>45637</c:v>
                </c:pt>
                <c:pt idx="44">
                  <c:v>45630</c:v>
                </c:pt>
                <c:pt idx="45">
                  <c:v>45623</c:v>
                </c:pt>
                <c:pt idx="46">
                  <c:v>45616</c:v>
                </c:pt>
                <c:pt idx="47">
                  <c:v>45609</c:v>
                </c:pt>
                <c:pt idx="48">
                  <c:v>45602</c:v>
                </c:pt>
                <c:pt idx="49">
                  <c:v>45595</c:v>
                </c:pt>
                <c:pt idx="50">
                  <c:v>45588</c:v>
                </c:pt>
                <c:pt idx="51">
                  <c:v>45581</c:v>
                </c:pt>
                <c:pt idx="52">
                  <c:v>45574</c:v>
                </c:pt>
                <c:pt idx="53">
                  <c:v>45567</c:v>
                </c:pt>
                <c:pt idx="54">
                  <c:v>45560</c:v>
                </c:pt>
                <c:pt idx="55">
                  <c:v>45553</c:v>
                </c:pt>
                <c:pt idx="56">
                  <c:v>45546</c:v>
                </c:pt>
                <c:pt idx="57">
                  <c:v>45539</c:v>
                </c:pt>
                <c:pt idx="58">
                  <c:v>45532</c:v>
                </c:pt>
                <c:pt idx="59">
                  <c:v>45525</c:v>
                </c:pt>
                <c:pt idx="60">
                  <c:v>45518</c:v>
                </c:pt>
                <c:pt idx="61">
                  <c:v>45511</c:v>
                </c:pt>
                <c:pt idx="62">
                  <c:v>45504</c:v>
                </c:pt>
                <c:pt idx="63">
                  <c:v>45497</c:v>
                </c:pt>
                <c:pt idx="64">
                  <c:v>45490</c:v>
                </c:pt>
                <c:pt idx="65">
                  <c:v>45483</c:v>
                </c:pt>
                <c:pt idx="66">
                  <c:v>45476</c:v>
                </c:pt>
                <c:pt idx="67">
                  <c:v>45469</c:v>
                </c:pt>
                <c:pt idx="68">
                  <c:v>45462</c:v>
                </c:pt>
                <c:pt idx="69">
                  <c:v>45455</c:v>
                </c:pt>
                <c:pt idx="70">
                  <c:v>45448</c:v>
                </c:pt>
                <c:pt idx="71">
                  <c:v>45441</c:v>
                </c:pt>
                <c:pt idx="72">
                  <c:v>45434</c:v>
                </c:pt>
                <c:pt idx="73">
                  <c:v>45427</c:v>
                </c:pt>
                <c:pt idx="74">
                  <c:v>45420</c:v>
                </c:pt>
                <c:pt idx="75">
                  <c:v>45413</c:v>
                </c:pt>
                <c:pt idx="76">
                  <c:v>45406</c:v>
                </c:pt>
                <c:pt idx="77">
                  <c:v>45399</c:v>
                </c:pt>
                <c:pt idx="78">
                  <c:v>45392</c:v>
                </c:pt>
                <c:pt idx="79">
                  <c:v>45385</c:v>
                </c:pt>
                <c:pt idx="80">
                  <c:v>45378</c:v>
                </c:pt>
                <c:pt idx="81">
                  <c:v>45371</c:v>
                </c:pt>
                <c:pt idx="82">
                  <c:v>45364</c:v>
                </c:pt>
                <c:pt idx="83">
                  <c:v>45357</c:v>
                </c:pt>
                <c:pt idx="84">
                  <c:v>45350</c:v>
                </c:pt>
                <c:pt idx="85">
                  <c:v>45343</c:v>
                </c:pt>
                <c:pt idx="86">
                  <c:v>45336</c:v>
                </c:pt>
                <c:pt idx="87">
                  <c:v>45329</c:v>
                </c:pt>
                <c:pt idx="88">
                  <c:v>45322</c:v>
                </c:pt>
                <c:pt idx="89">
                  <c:v>45315</c:v>
                </c:pt>
                <c:pt idx="90">
                  <c:v>45308</c:v>
                </c:pt>
                <c:pt idx="91">
                  <c:v>45301</c:v>
                </c:pt>
                <c:pt idx="92">
                  <c:v>45294</c:v>
                </c:pt>
                <c:pt idx="93">
                  <c:v>45287</c:v>
                </c:pt>
                <c:pt idx="94">
                  <c:v>45280</c:v>
                </c:pt>
                <c:pt idx="95">
                  <c:v>45273</c:v>
                </c:pt>
                <c:pt idx="96">
                  <c:v>45266</c:v>
                </c:pt>
                <c:pt idx="97">
                  <c:v>45259</c:v>
                </c:pt>
                <c:pt idx="98">
                  <c:v>45252</c:v>
                </c:pt>
                <c:pt idx="99">
                  <c:v>45245</c:v>
                </c:pt>
                <c:pt idx="100">
                  <c:v>45238</c:v>
                </c:pt>
                <c:pt idx="101">
                  <c:v>45231</c:v>
                </c:pt>
                <c:pt idx="102">
                  <c:v>45224</c:v>
                </c:pt>
                <c:pt idx="103">
                  <c:v>45217</c:v>
                </c:pt>
                <c:pt idx="104">
                  <c:v>45210</c:v>
                </c:pt>
                <c:pt idx="105">
                  <c:v>45203</c:v>
                </c:pt>
                <c:pt idx="106">
                  <c:v>45196</c:v>
                </c:pt>
                <c:pt idx="107">
                  <c:v>45189</c:v>
                </c:pt>
                <c:pt idx="108">
                  <c:v>45182</c:v>
                </c:pt>
                <c:pt idx="109">
                  <c:v>45175</c:v>
                </c:pt>
                <c:pt idx="110">
                  <c:v>45168</c:v>
                </c:pt>
                <c:pt idx="111">
                  <c:v>45161</c:v>
                </c:pt>
                <c:pt idx="112">
                  <c:v>45154</c:v>
                </c:pt>
                <c:pt idx="113">
                  <c:v>45147</c:v>
                </c:pt>
                <c:pt idx="114">
                  <c:v>45140</c:v>
                </c:pt>
                <c:pt idx="115">
                  <c:v>45133</c:v>
                </c:pt>
                <c:pt idx="116">
                  <c:v>45126</c:v>
                </c:pt>
                <c:pt idx="117">
                  <c:v>45119</c:v>
                </c:pt>
                <c:pt idx="118">
                  <c:v>45112</c:v>
                </c:pt>
                <c:pt idx="119">
                  <c:v>45105</c:v>
                </c:pt>
                <c:pt idx="120">
                  <c:v>45098</c:v>
                </c:pt>
                <c:pt idx="121">
                  <c:v>45091</c:v>
                </c:pt>
                <c:pt idx="122">
                  <c:v>45084</c:v>
                </c:pt>
                <c:pt idx="123">
                  <c:v>45077</c:v>
                </c:pt>
                <c:pt idx="124">
                  <c:v>45070</c:v>
                </c:pt>
                <c:pt idx="125">
                  <c:v>45063</c:v>
                </c:pt>
                <c:pt idx="126">
                  <c:v>45056</c:v>
                </c:pt>
                <c:pt idx="127">
                  <c:v>45049</c:v>
                </c:pt>
                <c:pt idx="128">
                  <c:v>45042</c:v>
                </c:pt>
                <c:pt idx="129">
                  <c:v>45035</c:v>
                </c:pt>
                <c:pt idx="130">
                  <c:v>45028</c:v>
                </c:pt>
                <c:pt idx="131">
                  <c:v>45021</c:v>
                </c:pt>
                <c:pt idx="132">
                  <c:v>45014</c:v>
                </c:pt>
                <c:pt idx="133">
                  <c:v>45007</c:v>
                </c:pt>
                <c:pt idx="134">
                  <c:v>45000</c:v>
                </c:pt>
                <c:pt idx="135">
                  <c:v>44993</c:v>
                </c:pt>
                <c:pt idx="136">
                  <c:v>44986</c:v>
                </c:pt>
                <c:pt idx="137">
                  <c:v>44979</c:v>
                </c:pt>
                <c:pt idx="138">
                  <c:v>44972</c:v>
                </c:pt>
                <c:pt idx="139">
                  <c:v>44965</c:v>
                </c:pt>
                <c:pt idx="140">
                  <c:v>44958</c:v>
                </c:pt>
                <c:pt idx="141">
                  <c:v>44951</c:v>
                </c:pt>
                <c:pt idx="142">
                  <c:v>44944</c:v>
                </c:pt>
                <c:pt idx="143">
                  <c:v>44937</c:v>
                </c:pt>
                <c:pt idx="144">
                  <c:v>44930</c:v>
                </c:pt>
                <c:pt idx="145">
                  <c:v>44923</c:v>
                </c:pt>
                <c:pt idx="146">
                  <c:v>44916</c:v>
                </c:pt>
                <c:pt idx="147">
                  <c:v>44909</c:v>
                </c:pt>
                <c:pt idx="148">
                  <c:v>44902</c:v>
                </c:pt>
                <c:pt idx="149">
                  <c:v>44895</c:v>
                </c:pt>
                <c:pt idx="150">
                  <c:v>44888</c:v>
                </c:pt>
                <c:pt idx="151">
                  <c:v>44881</c:v>
                </c:pt>
                <c:pt idx="152">
                  <c:v>44874</c:v>
                </c:pt>
                <c:pt idx="153">
                  <c:v>44867</c:v>
                </c:pt>
                <c:pt idx="154">
                  <c:v>44860</c:v>
                </c:pt>
              </c:numCache>
            </c:numRef>
          </c:cat>
          <c:val>
            <c:numRef>
              <c:f>'Stock Data'!$AG$5:$AG$159</c:f>
              <c:numCache>
                <c:formatCode>General</c:formatCode>
                <c:ptCount val="155"/>
                <c:pt idx="0">
                  <c:v>0.49931948636013962</c:v>
                </c:pt>
                <c:pt idx="1">
                  <c:v>0.49931948636013962</c:v>
                </c:pt>
                <c:pt idx="2">
                  <c:v>0.49647908160246168</c:v>
                </c:pt>
                <c:pt idx="3">
                  <c:v>0.49813598437777384</c:v>
                </c:pt>
                <c:pt idx="4">
                  <c:v>0.49618320610687017</c:v>
                </c:pt>
                <c:pt idx="5">
                  <c:v>0.50470442037990415</c:v>
                </c:pt>
                <c:pt idx="6">
                  <c:v>0.51991242085330491</c:v>
                </c:pt>
                <c:pt idx="7">
                  <c:v>0.51446831173442209</c:v>
                </c:pt>
                <c:pt idx="8">
                  <c:v>0.52180602402509024</c:v>
                </c:pt>
                <c:pt idx="9">
                  <c:v>0.51038522989526003</c:v>
                </c:pt>
                <c:pt idx="10">
                  <c:v>0.5158885141132612</c:v>
                </c:pt>
                <c:pt idx="11">
                  <c:v>0.61263980117166694</c:v>
                </c:pt>
                <c:pt idx="12">
                  <c:v>0.58956151251553346</c:v>
                </c:pt>
                <c:pt idx="13">
                  <c:v>0.60447363749334282</c:v>
                </c:pt>
                <c:pt idx="14">
                  <c:v>0.62453399609444349</c:v>
                </c:pt>
                <c:pt idx="15">
                  <c:v>0.58802295993845788</c:v>
                </c:pt>
                <c:pt idx="16">
                  <c:v>0.58707615835256521</c:v>
                </c:pt>
                <c:pt idx="17">
                  <c:v>0.5986153026806319</c:v>
                </c:pt>
                <c:pt idx="18">
                  <c:v>0.58317060181075797</c:v>
                </c:pt>
                <c:pt idx="19">
                  <c:v>0.57245990887034726</c:v>
                </c:pt>
                <c:pt idx="20">
                  <c:v>0.56719332504881936</c:v>
                </c:pt>
                <c:pt idx="21">
                  <c:v>0.58967986271377004</c:v>
                </c:pt>
                <c:pt idx="22">
                  <c:v>0.55600923131546243</c:v>
                </c:pt>
                <c:pt idx="23">
                  <c:v>0.56393869459731338</c:v>
                </c:pt>
                <c:pt idx="24">
                  <c:v>0.57524113852890701</c:v>
                </c:pt>
                <c:pt idx="25">
                  <c:v>0.55742943369430142</c:v>
                </c:pt>
                <c:pt idx="26">
                  <c:v>0.58973903781288828</c:v>
                </c:pt>
                <c:pt idx="27">
                  <c:v>0.65210959228356702</c:v>
                </c:pt>
                <c:pt idx="28">
                  <c:v>0.65690277531214869</c:v>
                </c:pt>
                <c:pt idx="29">
                  <c:v>0.69512988934256459</c:v>
                </c:pt>
                <c:pt idx="30">
                  <c:v>0.68205219243742232</c:v>
                </c:pt>
                <c:pt idx="31">
                  <c:v>0.70430202970589972</c:v>
                </c:pt>
                <c:pt idx="32">
                  <c:v>0.69169773359370379</c:v>
                </c:pt>
                <c:pt idx="33">
                  <c:v>0.68051363986034674</c:v>
                </c:pt>
                <c:pt idx="34">
                  <c:v>0.67613468252559328</c:v>
                </c:pt>
                <c:pt idx="35">
                  <c:v>0.66216935913367658</c:v>
                </c:pt>
                <c:pt idx="36">
                  <c:v>0.79164447600449728</c:v>
                </c:pt>
                <c:pt idx="37">
                  <c:v>0.78436593881294758</c:v>
                </c:pt>
                <c:pt idx="38">
                  <c:v>0.75430498846085559</c:v>
                </c:pt>
                <c:pt idx="39">
                  <c:v>0.75010355642345705</c:v>
                </c:pt>
                <c:pt idx="40">
                  <c:v>0.73270607728267934</c:v>
                </c:pt>
                <c:pt idx="41">
                  <c:v>0.73270607728267934</c:v>
                </c:pt>
                <c:pt idx="42">
                  <c:v>0.73270607728267934</c:v>
                </c:pt>
                <c:pt idx="43">
                  <c:v>0.76406887981537364</c:v>
                </c:pt>
                <c:pt idx="44">
                  <c:v>0.76205692644535172</c:v>
                </c:pt>
                <c:pt idx="45">
                  <c:v>0.80288774483697256</c:v>
                </c:pt>
                <c:pt idx="46">
                  <c:v>0.78164388425350606</c:v>
                </c:pt>
                <c:pt idx="47">
                  <c:v>0.79105272501331436</c:v>
                </c:pt>
                <c:pt idx="48">
                  <c:v>0.79247292739215325</c:v>
                </c:pt>
                <c:pt idx="49">
                  <c:v>0.79176282620273386</c:v>
                </c:pt>
                <c:pt idx="50">
                  <c:v>0.77761997751346223</c:v>
                </c:pt>
                <c:pt idx="51">
                  <c:v>0.80383454642286523</c:v>
                </c:pt>
                <c:pt idx="52">
                  <c:v>0.78702881827327054</c:v>
                </c:pt>
                <c:pt idx="53">
                  <c:v>0.78708799337238877</c:v>
                </c:pt>
                <c:pt idx="54">
                  <c:v>0.77821172850464515</c:v>
                </c:pt>
                <c:pt idx="55">
                  <c:v>0.77312266998047219</c:v>
                </c:pt>
                <c:pt idx="56">
                  <c:v>0.76040002367003956</c:v>
                </c:pt>
                <c:pt idx="57">
                  <c:v>0.76288537783300781</c:v>
                </c:pt>
                <c:pt idx="58">
                  <c:v>0.75264808568554342</c:v>
                </c:pt>
                <c:pt idx="59">
                  <c:v>0.75684951772294218</c:v>
                </c:pt>
                <c:pt idx="60">
                  <c:v>0.74809160305343514</c:v>
                </c:pt>
                <c:pt idx="61">
                  <c:v>0.72974732232676487</c:v>
                </c:pt>
                <c:pt idx="62">
                  <c:v>0.77146576720516002</c:v>
                </c:pt>
                <c:pt idx="63">
                  <c:v>0.76057754896739449</c:v>
                </c:pt>
                <c:pt idx="64">
                  <c:v>0.87212261080537301</c:v>
                </c:pt>
                <c:pt idx="65">
                  <c:v>0.80271021953961774</c:v>
                </c:pt>
                <c:pt idx="66">
                  <c:v>0.80211846854843483</c:v>
                </c:pt>
                <c:pt idx="67">
                  <c:v>0.81750399431919052</c:v>
                </c:pt>
                <c:pt idx="68">
                  <c:v>0.80732587727084437</c:v>
                </c:pt>
                <c:pt idx="69">
                  <c:v>0.80732587727084437</c:v>
                </c:pt>
                <c:pt idx="70">
                  <c:v>0.8140718385703295</c:v>
                </c:pt>
                <c:pt idx="71">
                  <c:v>0.79537250724894959</c:v>
                </c:pt>
                <c:pt idx="72">
                  <c:v>0.85076040002367004</c:v>
                </c:pt>
                <c:pt idx="73">
                  <c:v>0.87543641635599734</c:v>
                </c:pt>
                <c:pt idx="74">
                  <c:v>0.87443043967098644</c:v>
                </c:pt>
                <c:pt idx="75">
                  <c:v>0.86348304633410244</c:v>
                </c:pt>
                <c:pt idx="76">
                  <c:v>0.86762530327238296</c:v>
                </c:pt>
                <c:pt idx="77">
                  <c:v>0.84176578495768972</c:v>
                </c:pt>
                <c:pt idx="78">
                  <c:v>0.87141250961595351</c:v>
                </c:pt>
                <c:pt idx="79">
                  <c:v>0.90105923427421741</c:v>
                </c:pt>
                <c:pt idx="80">
                  <c:v>0.87182673530978172</c:v>
                </c:pt>
                <c:pt idx="81">
                  <c:v>0.91579383395467173</c:v>
                </c:pt>
                <c:pt idx="82">
                  <c:v>0.91579383395467173</c:v>
                </c:pt>
                <c:pt idx="83">
                  <c:v>0.90271613704952958</c:v>
                </c:pt>
                <c:pt idx="84">
                  <c:v>0.87443043967098644</c:v>
                </c:pt>
                <c:pt idx="85">
                  <c:v>0.87738919462690101</c:v>
                </c:pt>
                <c:pt idx="86">
                  <c:v>0.8534232794839931</c:v>
                </c:pt>
                <c:pt idx="87">
                  <c:v>0.87129415941771704</c:v>
                </c:pt>
                <c:pt idx="88">
                  <c:v>0.83969465648854957</c:v>
                </c:pt>
                <c:pt idx="89">
                  <c:v>0.92656370199420091</c:v>
                </c:pt>
                <c:pt idx="90">
                  <c:v>0.91461033197230601</c:v>
                </c:pt>
                <c:pt idx="91">
                  <c:v>0.95402094798508785</c:v>
                </c:pt>
                <c:pt idx="92">
                  <c:v>0.93224451150955667</c:v>
                </c:pt>
                <c:pt idx="93">
                  <c:v>0.92810225457127637</c:v>
                </c:pt>
                <c:pt idx="94">
                  <c:v>0.92881235576069587</c:v>
                </c:pt>
                <c:pt idx="95">
                  <c:v>0.93052843363512627</c:v>
                </c:pt>
                <c:pt idx="96">
                  <c:v>0.91893011420794124</c:v>
                </c:pt>
                <c:pt idx="97">
                  <c:v>0.90117758447245389</c:v>
                </c:pt>
                <c:pt idx="98">
                  <c:v>0.8920646192082371</c:v>
                </c:pt>
                <c:pt idx="99">
                  <c:v>0.87087993372388883</c:v>
                </c:pt>
                <c:pt idx="100">
                  <c:v>0.83999053198414098</c:v>
                </c:pt>
                <c:pt idx="101">
                  <c:v>0.82726788567370857</c:v>
                </c:pt>
                <c:pt idx="102">
                  <c:v>0.86945973134504995</c:v>
                </c:pt>
                <c:pt idx="103">
                  <c:v>0.91023137463755244</c:v>
                </c:pt>
                <c:pt idx="104">
                  <c:v>0.91898928930705959</c:v>
                </c:pt>
                <c:pt idx="105">
                  <c:v>0.90963962364636952</c:v>
                </c:pt>
                <c:pt idx="106">
                  <c:v>0.90188768566187338</c:v>
                </c:pt>
                <c:pt idx="107">
                  <c:v>0.93283626250073959</c:v>
                </c:pt>
                <c:pt idx="108">
                  <c:v>0.93401976448310553</c:v>
                </c:pt>
                <c:pt idx="109">
                  <c:v>0.96047103378898158</c:v>
                </c:pt>
                <c:pt idx="110">
                  <c:v>1.0178708799337237</c:v>
                </c:pt>
                <c:pt idx="111">
                  <c:v>0.99934907390969874</c:v>
                </c:pt>
                <c:pt idx="112">
                  <c:v>1.010355642345701</c:v>
                </c:pt>
                <c:pt idx="113">
                  <c:v>1.0614237528847861</c:v>
                </c:pt>
                <c:pt idx="114">
                  <c:v>1.0849754423338658</c:v>
                </c:pt>
                <c:pt idx="115">
                  <c:v>1.0911296526421681</c:v>
                </c:pt>
                <c:pt idx="116">
                  <c:v>1.1007751937984496</c:v>
                </c:pt>
                <c:pt idx="117">
                  <c:v>1.1035564234570092</c:v>
                </c:pt>
                <c:pt idx="118">
                  <c:v>1.0649742588318836</c:v>
                </c:pt>
                <c:pt idx="119">
                  <c:v>1.0394697911119</c:v>
                </c:pt>
                <c:pt idx="120">
                  <c:v>1.0274572459908871</c:v>
                </c:pt>
                <c:pt idx="121">
                  <c:v>1.0348541333806733</c:v>
                </c:pt>
                <c:pt idx="122">
                  <c:v>1.0148529498786909</c:v>
                </c:pt>
                <c:pt idx="123">
                  <c:v>0.98822415527546004</c:v>
                </c:pt>
                <c:pt idx="124">
                  <c:v>0.99248476241197703</c:v>
                </c:pt>
                <c:pt idx="125">
                  <c:v>1.0140244984910349</c:v>
                </c:pt>
                <c:pt idx="126">
                  <c:v>1.0152671755725189</c:v>
                </c:pt>
                <c:pt idx="127">
                  <c:v>1.040475767796911</c:v>
                </c:pt>
                <c:pt idx="128">
                  <c:v>1.021184685484348</c:v>
                </c:pt>
                <c:pt idx="129">
                  <c:v>1.1600094680158588</c:v>
                </c:pt>
                <c:pt idx="130">
                  <c:v>1.123439256760755</c:v>
                </c:pt>
                <c:pt idx="131">
                  <c:v>1.120776377300432</c:v>
                </c:pt>
                <c:pt idx="132">
                  <c:v>1.1330256228179181</c:v>
                </c:pt>
                <c:pt idx="133">
                  <c:v>1.0979347890407716</c:v>
                </c:pt>
                <c:pt idx="134">
                  <c:v>1.0909521273448133</c:v>
                </c:pt>
                <c:pt idx="135">
                  <c:v>1.0905970767501036</c:v>
                </c:pt>
                <c:pt idx="136">
                  <c:v>1.083377714657672</c:v>
                </c:pt>
                <c:pt idx="137">
                  <c:v>1.0450914255281378</c:v>
                </c:pt>
                <c:pt idx="138">
                  <c:v>1.1056275519261494</c:v>
                </c:pt>
                <c:pt idx="139">
                  <c:v>1.1027871471684716</c:v>
                </c:pt>
                <c:pt idx="140">
                  <c:v>1.0946209834901472</c:v>
                </c:pt>
                <c:pt idx="141">
                  <c:v>1.0501213089531924</c:v>
                </c:pt>
                <c:pt idx="142">
                  <c:v>1.045742351618439</c:v>
                </c:pt>
                <c:pt idx="143">
                  <c:v>1.0783478312326171</c:v>
                </c:pt>
                <c:pt idx="144">
                  <c:v>1.0480501804840523</c:v>
                </c:pt>
                <c:pt idx="145">
                  <c:v>1.0273388957926506</c:v>
                </c:pt>
                <c:pt idx="146">
                  <c:v>1.0455056512219658</c:v>
                </c:pt>
                <c:pt idx="147">
                  <c:v>1.0906562518492218</c:v>
                </c:pt>
                <c:pt idx="148">
                  <c:v>1.0336114562991892</c:v>
                </c:pt>
                <c:pt idx="149">
                  <c:v>1.1227291555713355</c:v>
                </c:pt>
                <c:pt idx="150">
                  <c:v>1.081957512278833</c:v>
                </c:pt>
                <c:pt idx="151">
                  <c:v>1.0477543049884608</c:v>
                </c:pt>
                <c:pt idx="152">
                  <c:v>0.97053080063909092</c:v>
                </c:pt>
                <c:pt idx="153">
                  <c:v>0.9739037812888337</c:v>
                </c:pt>
                <c:pt idx="154">
                  <c:v>1</c:v>
                </c:pt>
              </c:numCache>
            </c:numRef>
          </c:val>
          <c:smooth val="0"/>
          <c:extLst>
            <c:ext xmlns:c16="http://schemas.microsoft.com/office/drawing/2014/chart" uri="{C3380CC4-5D6E-409C-BE32-E72D297353CC}">
              <c16:uniqueId val="{00000001-7FCB-4865-8E32-ABAA033EDCFC}"/>
            </c:ext>
          </c:extLst>
        </c:ser>
        <c:ser>
          <c:idx val="2"/>
          <c:order val="2"/>
          <c:tx>
            <c:strRef>
              <c:f>Inputs!$B$22</c:f>
              <c:strCache>
                <c:ptCount val="1"/>
                <c:pt idx="0">
                  <c:v>DHL GROUP</c:v>
                </c:pt>
              </c:strCache>
            </c:strRef>
          </c:tx>
          <c:spPr>
            <a:ln w="28575" cap="rnd">
              <a:solidFill>
                <a:schemeClr val="accent5"/>
              </a:solidFill>
              <a:round/>
            </a:ln>
            <a:effectLst/>
          </c:spPr>
          <c:marker>
            <c:symbol val="none"/>
          </c:marker>
          <c:cat>
            <c:numRef>
              <c:f>'Stock Data'!$Q$5:$Q$159</c:f>
              <c:numCache>
                <c:formatCode>m/d/yyyy</c:formatCode>
                <c:ptCount val="155"/>
                <c:pt idx="0">
                  <c:v>45938</c:v>
                </c:pt>
                <c:pt idx="1">
                  <c:v>45931</c:v>
                </c:pt>
                <c:pt idx="2">
                  <c:v>45924</c:v>
                </c:pt>
                <c:pt idx="3">
                  <c:v>45917</c:v>
                </c:pt>
                <c:pt idx="4">
                  <c:v>45910</c:v>
                </c:pt>
                <c:pt idx="5">
                  <c:v>45903</c:v>
                </c:pt>
                <c:pt idx="6">
                  <c:v>45896</c:v>
                </c:pt>
                <c:pt idx="7">
                  <c:v>45889</c:v>
                </c:pt>
                <c:pt idx="8">
                  <c:v>45882</c:v>
                </c:pt>
                <c:pt idx="9">
                  <c:v>45875</c:v>
                </c:pt>
                <c:pt idx="10">
                  <c:v>45868</c:v>
                </c:pt>
                <c:pt idx="11">
                  <c:v>45861</c:v>
                </c:pt>
                <c:pt idx="12">
                  <c:v>45854</c:v>
                </c:pt>
                <c:pt idx="13">
                  <c:v>45847</c:v>
                </c:pt>
                <c:pt idx="14">
                  <c:v>45840</c:v>
                </c:pt>
                <c:pt idx="15">
                  <c:v>45833</c:v>
                </c:pt>
                <c:pt idx="16">
                  <c:v>45826</c:v>
                </c:pt>
                <c:pt idx="17">
                  <c:v>45819</c:v>
                </c:pt>
                <c:pt idx="18">
                  <c:v>45812</c:v>
                </c:pt>
                <c:pt idx="19">
                  <c:v>45805</c:v>
                </c:pt>
                <c:pt idx="20">
                  <c:v>45798</c:v>
                </c:pt>
                <c:pt idx="21">
                  <c:v>45791</c:v>
                </c:pt>
                <c:pt idx="22">
                  <c:v>45784</c:v>
                </c:pt>
                <c:pt idx="23">
                  <c:v>45777</c:v>
                </c:pt>
                <c:pt idx="24">
                  <c:v>45770</c:v>
                </c:pt>
                <c:pt idx="25">
                  <c:v>45763</c:v>
                </c:pt>
                <c:pt idx="26">
                  <c:v>45756</c:v>
                </c:pt>
                <c:pt idx="27">
                  <c:v>45749</c:v>
                </c:pt>
                <c:pt idx="28">
                  <c:v>45742</c:v>
                </c:pt>
                <c:pt idx="29">
                  <c:v>45735</c:v>
                </c:pt>
                <c:pt idx="30">
                  <c:v>45728</c:v>
                </c:pt>
                <c:pt idx="31">
                  <c:v>45721</c:v>
                </c:pt>
                <c:pt idx="32">
                  <c:v>45714</c:v>
                </c:pt>
                <c:pt idx="33">
                  <c:v>45707</c:v>
                </c:pt>
                <c:pt idx="34">
                  <c:v>45700</c:v>
                </c:pt>
                <c:pt idx="35">
                  <c:v>45693</c:v>
                </c:pt>
                <c:pt idx="36">
                  <c:v>45686</c:v>
                </c:pt>
                <c:pt idx="37">
                  <c:v>45679</c:v>
                </c:pt>
                <c:pt idx="38">
                  <c:v>45672</c:v>
                </c:pt>
                <c:pt idx="39">
                  <c:v>45665</c:v>
                </c:pt>
                <c:pt idx="40">
                  <c:v>45658</c:v>
                </c:pt>
                <c:pt idx="41">
                  <c:v>45651</c:v>
                </c:pt>
                <c:pt idx="42">
                  <c:v>45644</c:v>
                </c:pt>
                <c:pt idx="43">
                  <c:v>45637</c:v>
                </c:pt>
                <c:pt idx="44">
                  <c:v>45630</c:v>
                </c:pt>
                <c:pt idx="45">
                  <c:v>45623</c:v>
                </c:pt>
                <c:pt idx="46">
                  <c:v>45616</c:v>
                </c:pt>
                <c:pt idx="47">
                  <c:v>45609</c:v>
                </c:pt>
                <c:pt idx="48">
                  <c:v>45602</c:v>
                </c:pt>
                <c:pt idx="49">
                  <c:v>45595</c:v>
                </c:pt>
                <c:pt idx="50">
                  <c:v>45588</c:v>
                </c:pt>
                <c:pt idx="51">
                  <c:v>45581</c:v>
                </c:pt>
                <c:pt idx="52">
                  <c:v>45574</c:v>
                </c:pt>
                <c:pt idx="53">
                  <c:v>45567</c:v>
                </c:pt>
                <c:pt idx="54">
                  <c:v>45560</c:v>
                </c:pt>
                <c:pt idx="55">
                  <c:v>45553</c:v>
                </c:pt>
                <c:pt idx="56">
                  <c:v>45546</c:v>
                </c:pt>
                <c:pt idx="57">
                  <c:v>45539</c:v>
                </c:pt>
                <c:pt idx="58">
                  <c:v>45532</c:v>
                </c:pt>
                <c:pt idx="59">
                  <c:v>45525</c:v>
                </c:pt>
                <c:pt idx="60">
                  <c:v>45518</c:v>
                </c:pt>
                <c:pt idx="61">
                  <c:v>45511</c:v>
                </c:pt>
                <c:pt idx="62">
                  <c:v>45504</c:v>
                </c:pt>
                <c:pt idx="63">
                  <c:v>45497</c:v>
                </c:pt>
                <c:pt idx="64">
                  <c:v>45490</c:v>
                </c:pt>
                <c:pt idx="65">
                  <c:v>45483</c:v>
                </c:pt>
                <c:pt idx="66">
                  <c:v>45476</c:v>
                </c:pt>
                <c:pt idx="67">
                  <c:v>45469</c:v>
                </c:pt>
                <c:pt idx="68">
                  <c:v>45462</c:v>
                </c:pt>
                <c:pt idx="69">
                  <c:v>45455</c:v>
                </c:pt>
                <c:pt idx="70">
                  <c:v>45448</c:v>
                </c:pt>
                <c:pt idx="71">
                  <c:v>45441</c:v>
                </c:pt>
                <c:pt idx="72">
                  <c:v>45434</c:v>
                </c:pt>
                <c:pt idx="73">
                  <c:v>45427</c:v>
                </c:pt>
                <c:pt idx="74">
                  <c:v>45420</c:v>
                </c:pt>
                <c:pt idx="75">
                  <c:v>45413</c:v>
                </c:pt>
                <c:pt idx="76">
                  <c:v>45406</c:v>
                </c:pt>
                <c:pt idx="77">
                  <c:v>45399</c:v>
                </c:pt>
                <c:pt idx="78">
                  <c:v>45392</c:v>
                </c:pt>
                <c:pt idx="79">
                  <c:v>45385</c:v>
                </c:pt>
                <c:pt idx="80">
                  <c:v>45378</c:v>
                </c:pt>
                <c:pt idx="81">
                  <c:v>45371</c:v>
                </c:pt>
                <c:pt idx="82">
                  <c:v>45364</c:v>
                </c:pt>
                <c:pt idx="83">
                  <c:v>45357</c:v>
                </c:pt>
                <c:pt idx="84">
                  <c:v>45350</c:v>
                </c:pt>
                <c:pt idx="85">
                  <c:v>45343</c:v>
                </c:pt>
                <c:pt idx="86">
                  <c:v>45336</c:v>
                </c:pt>
                <c:pt idx="87">
                  <c:v>45329</c:v>
                </c:pt>
                <c:pt idx="88">
                  <c:v>45322</c:v>
                </c:pt>
                <c:pt idx="89">
                  <c:v>45315</c:v>
                </c:pt>
                <c:pt idx="90">
                  <c:v>45308</c:v>
                </c:pt>
                <c:pt idx="91">
                  <c:v>45301</c:v>
                </c:pt>
                <c:pt idx="92">
                  <c:v>45294</c:v>
                </c:pt>
                <c:pt idx="93">
                  <c:v>45287</c:v>
                </c:pt>
                <c:pt idx="94">
                  <c:v>45280</c:v>
                </c:pt>
                <c:pt idx="95">
                  <c:v>45273</c:v>
                </c:pt>
                <c:pt idx="96">
                  <c:v>45266</c:v>
                </c:pt>
                <c:pt idx="97">
                  <c:v>45259</c:v>
                </c:pt>
                <c:pt idx="98">
                  <c:v>45252</c:v>
                </c:pt>
                <c:pt idx="99">
                  <c:v>45245</c:v>
                </c:pt>
                <c:pt idx="100">
                  <c:v>45238</c:v>
                </c:pt>
                <c:pt idx="101">
                  <c:v>45231</c:v>
                </c:pt>
                <c:pt idx="102">
                  <c:v>45224</c:v>
                </c:pt>
                <c:pt idx="103">
                  <c:v>45217</c:v>
                </c:pt>
                <c:pt idx="104">
                  <c:v>45210</c:v>
                </c:pt>
                <c:pt idx="105">
                  <c:v>45203</c:v>
                </c:pt>
                <c:pt idx="106">
                  <c:v>45196</c:v>
                </c:pt>
                <c:pt idx="107">
                  <c:v>45189</c:v>
                </c:pt>
                <c:pt idx="108">
                  <c:v>45182</c:v>
                </c:pt>
                <c:pt idx="109">
                  <c:v>45175</c:v>
                </c:pt>
                <c:pt idx="110">
                  <c:v>45168</c:v>
                </c:pt>
                <c:pt idx="111">
                  <c:v>45161</c:v>
                </c:pt>
                <c:pt idx="112">
                  <c:v>45154</c:v>
                </c:pt>
                <c:pt idx="113">
                  <c:v>45147</c:v>
                </c:pt>
                <c:pt idx="114">
                  <c:v>45140</c:v>
                </c:pt>
                <c:pt idx="115">
                  <c:v>45133</c:v>
                </c:pt>
                <c:pt idx="116">
                  <c:v>45126</c:v>
                </c:pt>
                <c:pt idx="117">
                  <c:v>45119</c:v>
                </c:pt>
                <c:pt idx="118">
                  <c:v>45112</c:v>
                </c:pt>
                <c:pt idx="119">
                  <c:v>45105</c:v>
                </c:pt>
                <c:pt idx="120">
                  <c:v>45098</c:v>
                </c:pt>
                <c:pt idx="121">
                  <c:v>45091</c:v>
                </c:pt>
                <c:pt idx="122">
                  <c:v>45084</c:v>
                </c:pt>
                <c:pt idx="123">
                  <c:v>45077</c:v>
                </c:pt>
                <c:pt idx="124">
                  <c:v>45070</c:v>
                </c:pt>
                <c:pt idx="125">
                  <c:v>45063</c:v>
                </c:pt>
                <c:pt idx="126">
                  <c:v>45056</c:v>
                </c:pt>
                <c:pt idx="127">
                  <c:v>45049</c:v>
                </c:pt>
                <c:pt idx="128">
                  <c:v>45042</c:v>
                </c:pt>
                <c:pt idx="129">
                  <c:v>45035</c:v>
                </c:pt>
                <c:pt idx="130">
                  <c:v>45028</c:v>
                </c:pt>
                <c:pt idx="131">
                  <c:v>45021</c:v>
                </c:pt>
                <c:pt idx="132">
                  <c:v>45014</c:v>
                </c:pt>
                <c:pt idx="133">
                  <c:v>45007</c:v>
                </c:pt>
                <c:pt idx="134">
                  <c:v>45000</c:v>
                </c:pt>
                <c:pt idx="135">
                  <c:v>44993</c:v>
                </c:pt>
                <c:pt idx="136">
                  <c:v>44986</c:v>
                </c:pt>
                <c:pt idx="137">
                  <c:v>44979</c:v>
                </c:pt>
                <c:pt idx="138">
                  <c:v>44972</c:v>
                </c:pt>
                <c:pt idx="139">
                  <c:v>44965</c:v>
                </c:pt>
                <c:pt idx="140">
                  <c:v>44958</c:v>
                </c:pt>
                <c:pt idx="141">
                  <c:v>44951</c:v>
                </c:pt>
                <c:pt idx="142">
                  <c:v>44944</c:v>
                </c:pt>
                <c:pt idx="143">
                  <c:v>44937</c:v>
                </c:pt>
                <c:pt idx="144">
                  <c:v>44930</c:v>
                </c:pt>
                <c:pt idx="145">
                  <c:v>44923</c:v>
                </c:pt>
                <c:pt idx="146">
                  <c:v>44916</c:v>
                </c:pt>
                <c:pt idx="147">
                  <c:v>44909</c:v>
                </c:pt>
                <c:pt idx="148">
                  <c:v>44902</c:v>
                </c:pt>
                <c:pt idx="149">
                  <c:v>44895</c:v>
                </c:pt>
                <c:pt idx="150">
                  <c:v>44888</c:v>
                </c:pt>
                <c:pt idx="151">
                  <c:v>44881</c:v>
                </c:pt>
                <c:pt idx="152">
                  <c:v>44874</c:v>
                </c:pt>
                <c:pt idx="153">
                  <c:v>44867</c:v>
                </c:pt>
                <c:pt idx="154">
                  <c:v>44860</c:v>
                </c:pt>
              </c:numCache>
            </c:numRef>
          </c:cat>
          <c:val>
            <c:numRef>
              <c:f>'Stock Data'!$AH$5:$AH$159</c:f>
              <c:numCache>
                <c:formatCode>General</c:formatCode>
                <c:ptCount val="155"/>
                <c:pt idx="0">
                  <c:v>1.0776065528252117</c:v>
                </c:pt>
                <c:pt idx="1">
                  <c:v>1.0642787727335832</c:v>
                </c:pt>
                <c:pt idx="2">
                  <c:v>1.0498403443009858</c:v>
                </c:pt>
                <c:pt idx="3">
                  <c:v>1.062057476051645</c:v>
                </c:pt>
                <c:pt idx="4">
                  <c:v>1.0634457864778564</c:v>
                </c:pt>
                <c:pt idx="5">
                  <c:v>1.0673330556712479</c:v>
                </c:pt>
                <c:pt idx="6">
                  <c:v>1.0862140774677216</c:v>
                </c:pt>
                <c:pt idx="7">
                  <c:v>1.148410384561988</c:v>
                </c:pt>
                <c:pt idx="8">
                  <c:v>1.1564625850340136</c:v>
                </c:pt>
                <c:pt idx="9">
                  <c:v>1.0784395390809385</c:v>
                </c:pt>
                <c:pt idx="10">
                  <c:v>1.1009301679855614</c:v>
                </c:pt>
                <c:pt idx="11">
                  <c:v>1.1223101485492157</c:v>
                </c:pt>
                <c:pt idx="12">
                  <c:v>1.075662918228516</c:v>
                </c:pt>
                <c:pt idx="13">
                  <c:v>1.1087047063723448</c:v>
                </c:pt>
                <c:pt idx="14">
                  <c:v>1.0906566708315979</c:v>
                </c:pt>
                <c:pt idx="15">
                  <c:v>1.0653894210745523</c:v>
                </c:pt>
                <c:pt idx="16">
                  <c:v>1.1267527419130916</c:v>
                </c:pt>
                <c:pt idx="17">
                  <c:v>1.1278633902540607</c:v>
                </c:pt>
                <c:pt idx="18">
                  <c:v>1.1137026239067056</c:v>
                </c:pt>
                <c:pt idx="19">
                  <c:v>1.0773288907399694</c:v>
                </c:pt>
                <c:pt idx="20">
                  <c:v>1.0745522698875469</c:v>
                </c:pt>
                <c:pt idx="21">
                  <c:v>1.0801055115923921</c:v>
                </c:pt>
                <c:pt idx="22">
                  <c:v>1.0204081632653061</c:v>
                </c:pt>
                <c:pt idx="23">
                  <c:v>1.0473413855338054</c:v>
                </c:pt>
                <c:pt idx="24">
                  <c:v>1.0254060807996668</c:v>
                </c:pt>
                <c:pt idx="25">
                  <c:v>0.99236429265583792</c:v>
                </c:pt>
                <c:pt idx="26">
                  <c:v>0.98958767180341523</c:v>
                </c:pt>
                <c:pt idx="27">
                  <c:v>1.0892683604053865</c:v>
                </c:pt>
                <c:pt idx="28">
                  <c:v>1.1178675551853394</c:v>
                </c:pt>
                <c:pt idx="29">
                  <c:v>1.1900596973483271</c:v>
                </c:pt>
                <c:pt idx="30">
                  <c:v>1.1497986949881993</c:v>
                </c:pt>
                <c:pt idx="31">
                  <c:v>1.0795501874219076</c:v>
                </c:pt>
                <c:pt idx="32">
                  <c:v>1.0517839788976815</c:v>
                </c:pt>
                <c:pt idx="33">
                  <c:v>1.0070803831736777</c:v>
                </c:pt>
                <c:pt idx="34">
                  <c:v>0.98958767180341523</c:v>
                </c:pt>
                <c:pt idx="35">
                  <c:v>0.95349160072192152</c:v>
                </c:pt>
                <c:pt idx="36">
                  <c:v>0.99403026516729132</c:v>
                </c:pt>
                <c:pt idx="37">
                  <c:v>0.96793002915451887</c:v>
                </c:pt>
                <c:pt idx="38">
                  <c:v>0.95793419408579761</c:v>
                </c:pt>
                <c:pt idx="39">
                  <c:v>0.95821185617103977</c:v>
                </c:pt>
                <c:pt idx="40">
                  <c:v>0.92933499930584473</c:v>
                </c:pt>
                <c:pt idx="41">
                  <c:v>0.92933499930584473</c:v>
                </c:pt>
                <c:pt idx="42">
                  <c:v>0.92933499930584473</c:v>
                </c:pt>
                <c:pt idx="43">
                  <c:v>0.99403026516729132</c:v>
                </c:pt>
                <c:pt idx="44">
                  <c:v>0.96404275996112732</c:v>
                </c:pt>
                <c:pt idx="45">
                  <c:v>0.95682354574482853</c:v>
                </c:pt>
                <c:pt idx="46">
                  <c:v>0.9693183395807301</c:v>
                </c:pt>
                <c:pt idx="47">
                  <c:v>0.95404692489240595</c:v>
                </c:pt>
                <c:pt idx="48">
                  <c:v>0.96071081493822019</c:v>
                </c:pt>
                <c:pt idx="49">
                  <c:v>1.0323476329307233</c:v>
                </c:pt>
                <c:pt idx="50">
                  <c:v>1.02457309454394</c:v>
                </c:pt>
                <c:pt idx="51">
                  <c:v>1.0534499514091351</c:v>
                </c:pt>
                <c:pt idx="52">
                  <c:v>1.0681660419269747</c:v>
                </c:pt>
                <c:pt idx="53">
                  <c:v>1.0720533111203665</c:v>
                </c:pt>
                <c:pt idx="54">
                  <c:v>1.0676107177564904</c:v>
                </c:pt>
                <c:pt idx="55">
                  <c:v>1.1070387338608911</c:v>
                </c:pt>
                <c:pt idx="56">
                  <c:v>1.0953769262807165</c:v>
                </c:pt>
                <c:pt idx="57">
                  <c:v>1.0817714841038457</c:v>
                </c:pt>
                <c:pt idx="58">
                  <c:v>1.06511175898931</c:v>
                </c:pt>
                <c:pt idx="59">
                  <c:v>1.0528946272386506</c:v>
                </c:pt>
                <c:pt idx="60">
                  <c:v>1.0104123281965847</c:v>
                </c:pt>
                <c:pt idx="61">
                  <c:v>1.0217964736915173</c:v>
                </c:pt>
                <c:pt idx="62">
                  <c:v>1.135637928640844</c:v>
                </c:pt>
                <c:pt idx="63">
                  <c:v>1.1050950992641955</c:v>
                </c:pt>
                <c:pt idx="64">
                  <c:v>1.1109260030542829</c:v>
                </c:pt>
                <c:pt idx="65">
                  <c:v>1.1098153547133138</c:v>
                </c:pt>
                <c:pt idx="66">
                  <c:v>1.0973205608774124</c:v>
                </c:pt>
                <c:pt idx="67">
                  <c:v>1.0628904623073721</c:v>
                </c:pt>
                <c:pt idx="68">
                  <c:v>1.0465083992780786</c:v>
                </c:pt>
                <c:pt idx="69">
                  <c:v>1.0814938220186034</c:v>
                </c:pt>
                <c:pt idx="70">
                  <c:v>1.0898236845758711</c:v>
                </c:pt>
                <c:pt idx="71">
                  <c:v>1.0645564348188257</c:v>
                </c:pt>
                <c:pt idx="72">
                  <c:v>1.0845481049562682</c:v>
                </c:pt>
                <c:pt idx="73">
                  <c:v>1.0987088713036235</c:v>
                </c:pt>
                <c:pt idx="74">
                  <c:v>1.0598361793697071</c:v>
                </c:pt>
                <c:pt idx="75">
                  <c:v>1.0673330556712479</c:v>
                </c:pt>
                <c:pt idx="76">
                  <c:v>1.0673330556712479</c:v>
                </c:pt>
                <c:pt idx="77">
                  <c:v>1.0656670831597945</c:v>
                </c:pt>
                <c:pt idx="78">
                  <c:v>1.0845481049562682</c:v>
                </c:pt>
                <c:pt idx="79">
                  <c:v>1.1006525059003194</c:v>
                </c:pt>
                <c:pt idx="80">
                  <c:v>1.1239761210606691</c:v>
                </c:pt>
                <c:pt idx="81">
                  <c:v>1.0851034291267527</c:v>
                </c:pt>
                <c:pt idx="82">
                  <c:v>1.0803831736776341</c:v>
                </c:pt>
                <c:pt idx="83">
                  <c:v>1.0851034291267527</c:v>
                </c:pt>
                <c:pt idx="84">
                  <c:v>1.1965847563515202</c:v>
                </c:pt>
                <c:pt idx="85">
                  <c:v>1.196445925308899</c:v>
                </c:pt>
                <c:pt idx="86">
                  <c:v>1.1702068582535055</c:v>
                </c:pt>
                <c:pt idx="87">
                  <c:v>1.1671525753158405</c:v>
                </c:pt>
                <c:pt idx="88">
                  <c:v>1.2267110926003053</c:v>
                </c:pt>
                <c:pt idx="89">
                  <c:v>1.2443426350131888</c:v>
                </c:pt>
                <c:pt idx="90">
                  <c:v>1.2093572122726641</c:v>
                </c:pt>
                <c:pt idx="91">
                  <c:v>1.2400388726919338</c:v>
                </c:pt>
                <c:pt idx="92">
                  <c:v>1.2278217409412744</c:v>
                </c:pt>
                <c:pt idx="93">
                  <c:v>1.2446202970984312</c:v>
                </c:pt>
                <c:pt idx="94">
                  <c:v>1.2343467999444675</c:v>
                </c:pt>
                <c:pt idx="95">
                  <c:v>1.2869637650978758</c:v>
                </c:pt>
                <c:pt idx="96">
                  <c:v>1.2374010828821325</c:v>
                </c:pt>
                <c:pt idx="97">
                  <c:v>1.1906150215188116</c:v>
                </c:pt>
                <c:pt idx="98">
                  <c:v>1.1371650701096765</c:v>
                </c:pt>
                <c:pt idx="99">
                  <c:v>1.1159239205886435</c:v>
                </c:pt>
                <c:pt idx="100">
                  <c:v>1.0578925447730112</c:v>
                </c:pt>
                <c:pt idx="101">
                  <c:v>1.0230459530751075</c:v>
                </c:pt>
                <c:pt idx="102">
                  <c:v>1.0155490767735667</c:v>
                </c:pt>
                <c:pt idx="103">
                  <c:v>1.061779813966403</c:v>
                </c:pt>
                <c:pt idx="104">
                  <c:v>1.0838539497431625</c:v>
                </c:pt>
                <c:pt idx="105">
                  <c:v>1.0560877412189364</c:v>
                </c:pt>
                <c:pt idx="106">
                  <c:v>1.0562265722615576</c:v>
                </c:pt>
                <c:pt idx="107">
                  <c:v>1.0932944606413995</c:v>
                </c:pt>
                <c:pt idx="108">
                  <c:v>1.1307788421491045</c:v>
                </c:pt>
                <c:pt idx="109">
                  <c:v>1.141052339303068</c:v>
                </c:pt>
                <c:pt idx="110">
                  <c:v>1.1942246286269609</c:v>
                </c:pt>
                <c:pt idx="111">
                  <c:v>1.1822851589615437</c:v>
                </c:pt>
                <c:pt idx="112">
                  <c:v>1.2021379980563653</c:v>
                </c:pt>
                <c:pt idx="113">
                  <c:v>1.2100513674857698</c:v>
                </c:pt>
                <c:pt idx="114">
                  <c:v>1.2040816326530612</c:v>
                </c:pt>
                <c:pt idx="115">
                  <c:v>1.2637789809801472</c:v>
                </c:pt>
                <c:pt idx="116">
                  <c:v>1.2716923504095514</c:v>
                </c:pt>
                <c:pt idx="117">
                  <c:v>1.25919755657365</c:v>
                </c:pt>
                <c:pt idx="118">
                  <c:v>1.2418436762460086</c:v>
                </c:pt>
                <c:pt idx="119">
                  <c:v>1.2243509648757462</c:v>
                </c:pt>
                <c:pt idx="120">
                  <c:v>1.1870054144106621</c:v>
                </c:pt>
                <c:pt idx="121">
                  <c:v>1.206164098292378</c:v>
                </c:pt>
                <c:pt idx="122">
                  <c:v>1.165625433847008</c:v>
                </c:pt>
                <c:pt idx="123">
                  <c:v>1.1745106205747604</c:v>
                </c:pt>
                <c:pt idx="124">
                  <c:v>1.1385533805358878</c:v>
                </c:pt>
                <c:pt idx="125">
                  <c:v>1.1388310426211301</c:v>
                </c:pt>
                <c:pt idx="126">
                  <c:v>1.1532694710537275</c:v>
                </c:pt>
                <c:pt idx="127">
                  <c:v>1.2206025267249756</c:v>
                </c:pt>
                <c:pt idx="128">
                  <c:v>1.1582673885880883</c:v>
                </c:pt>
                <c:pt idx="129">
                  <c:v>1.2096348743579064</c:v>
                </c:pt>
                <c:pt idx="130">
                  <c:v>1.176176593086214</c:v>
                </c:pt>
                <c:pt idx="131">
                  <c:v>1.1733999722337913</c:v>
                </c:pt>
                <c:pt idx="132">
                  <c:v>1.1650701096765237</c:v>
                </c:pt>
                <c:pt idx="133">
                  <c:v>1.1603498542274051</c:v>
                </c:pt>
                <c:pt idx="134">
                  <c:v>1.1123143134804943</c:v>
                </c:pt>
                <c:pt idx="135">
                  <c:v>1.1345272802998749</c:v>
                </c:pt>
                <c:pt idx="136">
                  <c:v>1.1213383312508676</c:v>
                </c:pt>
                <c:pt idx="137">
                  <c:v>1.1225878106344578</c:v>
                </c:pt>
                <c:pt idx="138">
                  <c:v>1.1435512980702485</c:v>
                </c:pt>
                <c:pt idx="139">
                  <c:v>1.1499375260308204</c:v>
                </c:pt>
                <c:pt idx="140">
                  <c:v>1.1286963765097875</c:v>
                </c:pt>
                <c:pt idx="141">
                  <c:v>1.102318478411773</c:v>
                </c:pt>
                <c:pt idx="142">
                  <c:v>1.1235596279328059</c:v>
                </c:pt>
                <c:pt idx="143">
                  <c:v>1.0426211300846868</c:v>
                </c:pt>
                <c:pt idx="144">
                  <c:v>1.0180480355407469</c:v>
                </c:pt>
                <c:pt idx="145">
                  <c:v>0.97265028460363734</c:v>
                </c:pt>
                <c:pt idx="146">
                  <c:v>0.98611689573788697</c:v>
                </c:pt>
                <c:pt idx="147">
                  <c:v>1.0701096765236706</c:v>
                </c:pt>
                <c:pt idx="148">
                  <c:v>1.0634457864778564</c:v>
                </c:pt>
                <c:pt idx="149">
                  <c:v>1.0626128002221298</c:v>
                </c:pt>
                <c:pt idx="150">
                  <c:v>1.0526169651534083</c:v>
                </c:pt>
                <c:pt idx="151">
                  <c:v>1.0638622796057198</c:v>
                </c:pt>
                <c:pt idx="152">
                  <c:v>0.98639455782312924</c:v>
                </c:pt>
                <c:pt idx="153">
                  <c:v>0.97320560877412177</c:v>
                </c:pt>
                <c:pt idx="154">
                  <c:v>1</c:v>
                </c:pt>
              </c:numCache>
            </c:numRef>
          </c:val>
          <c:smooth val="0"/>
          <c:extLst>
            <c:ext xmlns:c16="http://schemas.microsoft.com/office/drawing/2014/chart" uri="{C3380CC4-5D6E-409C-BE32-E72D297353CC}">
              <c16:uniqueId val="{00000002-7FCB-4865-8E32-ABAA033EDCFC}"/>
            </c:ext>
          </c:extLst>
        </c:ser>
        <c:ser>
          <c:idx val="3"/>
          <c:order val="3"/>
          <c:tx>
            <c:strRef>
              <c:f>Inputs!$B$23</c:f>
              <c:strCache>
                <c:ptCount val="1"/>
                <c:pt idx="0">
                  <c:v>OLD DOMINION FRT</c:v>
                </c:pt>
              </c:strCache>
            </c:strRef>
          </c:tx>
          <c:spPr>
            <a:ln w="28575" cap="rnd">
              <a:solidFill>
                <a:schemeClr val="accent1">
                  <a:lumMod val="60000"/>
                </a:schemeClr>
              </a:solidFill>
              <a:round/>
            </a:ln>
            <a:effectLst/>
          </c:spPr>
          <c:marker>
            <c:symbol val="none"/>
          </c:marker>
          <c:cat>
            <c:numRef>
              <c:f>'Stock Data'!$Q$5:$Q$159</c:f>
              <c:numCache>
                <c:formatCode>m/d/yyyy</c:formatCode>
                <c:ptCount val="155"/>
                <c:pt idx="0">
                  <c:v>45938</c:v>
                </c:pt>
                <c:pt idx="1">
                  <c:v>45931</c:v>
                </c:pt>
                <c:pt idx="2">
                  <c:v>45924</c:v>
                </c:pt>
                <c:pt idx="3">
                  <c:v>45917</c:v>
                </c:pt>
                <c:pt idx="4">
                  <c:v>45910</c:v>
                </c:pt>
                <c:pt idx="5">
                  <c:v>45903</c:v>
                </c:pt>
                <c:pt idx="6">
                  <c:v>45896</c:v>
                </c:pt>
                <c:pt idx="7">
                  <c:v>45889</c:v>
                </c:pt>
                <c:pt idx="8">
                  <c:v>45882</c:v>
                </c:pt>
                <c:pt idx="9">
                  <c:v>45875</c:v>
                </c:pt>
                <c:pt idx="10">
                  <c:v>45868</c:v>
                </c:pt>
                <c:pt idx="11">
                  <c:v>45861</c:v>
                </c:pt>
                <c:pt idx="12">
                  <c:v>45854</c:v>
                </c:pt>
                <c:pt idx="13">
                  <c:v>45847</c:v>
                </c:pt>
                <c:pt idx="14">
                  <c:v>45840</c:v>
                </c:pt>
                <c:pt idx="15">
                  <c:v>45833</c:v>
                </c:pt>
                <c:pt idx="16">
                  <c:v>45826</c:v>
                </c:pt>
                <c:pt idx="17">
                  <c:v>45819</c:v>
                </c:pt>
                <c:pt idx="18">
                  <c:v>45812</c:v>
                </c:pt>
                <c:pt idx="19">
                  <c:v>45805</c:v>
                </c:pt>
                <c:pt idx="20">
                  <c:v>45798</c:v>
                </c:pt>
                <c:pt idx="21">
                  <c:v>45791</c:v>
                </c:pt>
                <c:pt idx="22">
                  <c:v>45784</c:v>
                </c:pt>
                <c:pt idx="23">
                  <c:v>45777</c:v>
                </c:pt>
                <c:pt idx="24">
                  <c:v>45770</c:v>
                </c:pt>
                <c:pt idx="25">
                  <c:v>45763</c:v>
                </c:pt>
                <c:pt idx="26">
                  <c:v>45756</c:v>
                </c:pt>
                <c:pt idx="27">
                  <c:v>45749</c:v>
                </c:pt>
                <c:pt idx="28">
                  <c:v>45742</c:v>
                </c:pt>
                <c:pt idx="29">
                  <c:v>45735</c:v>
                </c:pt>
                <c:pt idx="30">
                  <c:v>45728</c:v>
                </c:pt>
                <c:pt idx="31">
                  <c:v>45721</c:v>
                </c:pt>
                <c:pt idx="32">
                  <c:v>45714</c:v>
                </c:pt>
                <c:pt idx="33">
                  <c:v>45707</c:v>
                </c:pt>
                <c:pt idx="34">
                  <c:v>45700</c:v>
                </c:pt>
                <c:pt idx="35">
                  <c:v>45693</c:v>
                </c:pt>
                <c:pt idx="36">
                  <c:v>45686</c:v>
                </c:pt>
                <c:pt idx="37">
                  <c:v>45679</c:v>
                </c:pt>
                <c:pt idx="38">
                  <c:v>45672</c:v>
                </c:pt>
                <c:pt idx="39">
                  <c:v>45665</c:v>
                </c:pt>
                <c:pt idx="40">
                  <c:v>45658</c:v>
                </c:pt>
                <c:pt idx="41">
                  <c:v>45651</c:v>
                </c:pt>
                <c:pt idx="42">
                  <c:v>45644</c:v>
                </c:pt>
                <c:pt idx="43">
                  <c:v>45637</c:v>
                </c:pt>
                <c:pt idx="44">
                  <c:v>45630</c:v>
                </c:pt>
                <c:pt idx="45">
                  <c:v>45623</c:v>
                </c:pt>
                <c:pt idx="46">
                  <c:v>45616</c:v>
                </c:pt>
                <c:pt idx="47">
                  <c:v>45609</c:v>
                </c:pt>
                <c:pt idx="48">
                  <c:v>45602</c:v>
                </c:pt>
                <c:pt idx="49">
                  <c:v>45595</c:v>
                </c:pt>
                <c:pt idx="50">
                  <c:v>45588</c:v>
                </c:pt>
                <c:pt idx="51">
                  <c:v>45581</c:v>
                </c:pt>
                <c:pt idx="52">
                  <c:v>45574</c:v>
                </c:pt>
                <c:pt idx="53">
                  <c:v>45567</c:v>
                </c:pt>
                <c:pt idx="54">
                  <c:v>45560</c:v>
                </c:pt>
                <c:pt idx="55">
                  <c:v>45553</c:v>
                </c:pt>
                <c:pt idx="56">
                  <c:v>45546</c:v>
                </c:pt>
                <c:pt idx="57">
                  <c:v>45539</c:v>
                </c:pt>
                <c:pt idx="58">
                  <c:v>45532</c:v>
                </c:pt>
                <c:pt idx="59">
                  <c:v>45525</c:v>
                </c:pt>
                <c:pt idx="60">
                  <c:v>45518</c:v>
                </c:pt>
                <c:pt idx="61">
                  <c:v>45511</c:v>
                </c:pt>
                <c:pt idx="62">
                  <c:v>45504</c:v>
                </c:pt>
                <c:pt idx="63">
                  <c:v>45497</c:v>
                </c:pt>
                <c:pt idx="64">
                  <c:v>45490</c:v>
                </c:pt>
                <c:pt idx="65">
                  <c:v>45483</c:v>
                </c:pt>
                <c:pt idx="66">
                  <c:v>45476</c:v>
                </c:pt>
                <c:pt idx="67">
                  <c:v>45469</c:v>
                </c:pt>
                <c:pt idx="68">
                  <c:v>45462</c:v>
                </c:pt>
                <c:pt idx="69">
                  <c:v>45455</c:v>
                </c:pt>
                <c:pt idx="70">
                  <c:v>45448</c:v>
                </c:pt>
                <c:pt idx="71">
                  <c:v>45441</c:v>
                </c:pt>
                <c:pt idx="72">
                  <c:v>45434</c:v>
                </c:pt>
                <c:pt idx="73">
                  <c:v>45427</c:v>
                </c:pt>
                <c:pt idx="74">
                  <c:v>45420</c:v>
                </c:pt>
                <c:pt idx="75">
                  <c:v>45413</c:v>
                </c:pt>
                <c:pt idx="76">
                  <c:v>45406</c:v>
                </c:pt>
                <c:pt idx="77">
                  <c:v>45399</c:v>
                </c:pt>
                <c:pt idx="78">
                  <c:v>45392</c:v>
                </c:pt>
                <c:pt idx="79">
                  <c:v>45385</c:v>
                </c:pt>
                <c:pt idx="80">
                  <c:v>45378</c:v>
                </c:pt>
                <c:pt idx="81">
                  <c:v>45371</c:v>
                </c:pt>
                <c:pt idx="82">
                  <c:v>45364</c:v>
                </c:pt>
                <c:pt idx="83">
                  <c:v>45357</c:v>
                </c:pt>
                <c:pt idx="84">
                  <c:v>45350</c:v>
                </c:pt>
                <c:pt idx="85">
                  <c:v>45343</c:v>
                </c:pt>
                <c:pt idx="86">
                  <c:v>45336</c:v>
                </c:pt>
                <c:pt idx="87">
                  <c:v>45329</c:v>
                </c:pt>
                <c:pt idx="88">
                  <c:v>45322</c:v>
                </c:pt>
                <c:pt idx="89">
                  <c:v>45315</c:v>
                </c:pt>
                <c:pt idx="90">
                  <c:v>45308</c:v>
                </c:pt>
                <c:pt idx="91">
                  <c:v>45301</c:v>
                </c:pt>
                <c:pt idx="92">
                  <c:v>45294</c:v>
                </c:pt>
                <c:pt idx="93">
                  <c:v>45287</c:v>
                </c:pt>
                <c:pt idx="94">
                  <c:v>45280</c:v>
                </c:pt>
                <c:pt idx="95">
                  <c:v>45273</c:v>
                </c:pt>
                <c:pt idx="96">
                  <c:v>45266</c:v>
                </c:pt>
                <c:pt idx="97">
                  <c:v>45259</c:v>
                </c:pt>
                <c:pt idx="98">
                  <c:v>45252</c:v>
                </c:pt>
                <c:pt idx="99">
                  <c:v>45245</c:v>
                </c:pt>
                <c:pt idx="100">
                  <c:v>45238</c:v>
                </c:pt>
                <c:pt idx="101">
                  <c:v>45231</c:v>
                </c:pt>
                <c:pt idx="102">
                  <c:v>45224</c:v>
                </c:pt>
                <c:pt idx="103">
                  <c:v>45217</c:v>
                </c:pt>
                <c:pt idx="104">
                  <c:v>45210</c:v>
                </c:pt>
                <c:pt idx="105">
                  <c:v>45203</c:v>
                </c:pt>
                <c:pt idx="106">
                  <c:v>45196</c:v>
                </c:pt>
                <c:pt idx="107">
                  <c:v>45189</c:v>
                </c:pt>
                <c:pt idx="108">
                  <c:v>45182</c:v>
                </c:pt>
                <c:pt idx="109">
                  <c:v>45175</c:v>
                </c:pt>
                <c:pt idx="110">
                  <c:v>45168</c:v>
                </c:pt>
                <c:pt idx="111">
                  <c:v>45161</c:v>
                </c:pt>
                <c:pt idx="112">
                  <c:v>45154</c:v>
                </c:pt>
                <c:pt idx="113">
                  <c:v>45147</c:v>
                </c:pt>
                <c:pt idx="114">
                  <c:v>45140</c:v>
                </c:pt>
                <c:pt idx="115">
                  <c:v>45133</c:v>
                </c:pt>
                <c:pt idx="116">
                  <c:v>45126</c:v>
                </c:pt>
                <c:pt idx="117">
                  <c:v>45119</c:v>
                </c:pt>
                <c:pt idx="118">
                  <c:v>45112</c:v>
                </c:pt>
                <c:pt idx="119">
                  <c:v>45105</c:v>
                </c:pt>
                <c:pt idx="120">
                  <c:v>45098</c:v>
                </c:pt>
                <c:pt idx="121">
                  <c:v>45091</c:v>
                </c:pt>
                <c:pt idx="122">
                  <c:v>45084</c:v>
                </c:pt>
                <c:pt idx="123">
                  <c:v>45077</c:v>
                </c:pt>
                <c:pt idx="124">
                  <c:v>45070</c:v>
                </c:pt>
                <c:pt idx="125">
                  <c:v>45063</c:v>
                </c:pt>
                <c:pt idx="126">
                  <c:v>45056</c:v>
                </c:pt>
                <c:pt idx="127">
                  <c:v>45049</c:v>
                </c:pt>
                <c:pt idx="128">
                  <c:v>45042</c:v>
                </c:pt>
                <c:pt idx="129">
                  <c:v>45035</c:v>
                </c:pt>
                <c:pt idx="130">
                  <c:v>45028</c:v>
                </c:pt>
                <c:pt idx="131">
                  <c:v>45021</c:v>
                </c:pt>
                <c:pt idx="132">
                  <c:v>45014</c:v>
                </c:pt>
                <c:pt idx="133">
                  <c:v>45007</c:v>
                </c:pt>
                <c:pt idx="134">
                  <c:v>45000</c:v>
                </c:pt>
                <c:pt idx="135">
                  <c:v>44993</c:v>
                </c:pt>
                <c:pt idx="136">
                  <c:v>44986</c:v>
                </c:pt>
                <c:pt idx="137">
                  <c:v>44979</c:v>
                </c:pt>
                <c:pt idx="138">
                  <c:v>44972</c:v>
                </c:pt>
                <c:pt idx="139">
                  <c:v>44965</c:v>
                </c:pt>
                <c:pt idx="140">
                  <c:v>44958</c:v>
                </c:pt>
                <c:pt idx="141">
                  <c:v>44951</c:v>
                </c:pt>
                <c:pt idx="142">
                  <c:v>44944</c:v>
                </c:pt>
                <c:pt idx="143">
                  <c:v>44937</c:v>
                </c:pt>
                <c:pt idx="144">
                  <c:v>44930</c:v>
                </c:pt>
                <c:pt idx="145">
                  <c:v>44923</c:v>
                </c:pt>
                <c:pt idx="146">
                  <c:v>44916</c:v>
                </c:pt>
                <c:pt idx="147">
                  <c:v>44909</c:v>
                </c:pt>
                <c:pt idx="148">
                  <c:v>44902</c:v>
                </c:pt>
                <c:pt idx="149">
                  <c:v>44895</c:v>
                </c:pt>
                <c:pt idx="150">
                  <c:v>44888</c:v>
                </c:pt>
                <c:pt idx="151">
                  <c:v>44881</c:v>
                </c:pt>
                <c:pt idx="152">
                  <c:v>44874</c:v>
                </c:pt>
                <c:pt idx="153">
                  <c:v>44867</c:v>
                </c:pt>
                <c:pt idx="154">
                  <c:v>44860</c:v>
                </c:pt>
              </c:numCache>
            </c:numRef>
          </c:cat>
          <c:val>
            <c:numRef>
              <c:f>'Stock Data'!$AI$5:$AI$159</c:f>
              <c:numCache>
                <c:formatCode>General</c:formatCode>
                <c:ptCount val="155"/>
                <c:pt idx="0">
                  <c:v>1.0144990892531878</c:v>
                </c:pt>
                <c:pt idx="1">
                  <c:v>1.0144990892531878</c:v>
                </c:pt>
                <c:pt idx="2">
                  <c:v>1.0277595628415301</c:v>
                </c:pt>
                <c:pt idx="3">
                  <c:v>1.0330783242258652</c:v>
                </c:pt>
                <c:pt idx="4">
                  <c:v>1.0660109289617488</c:v>
                </c:pt>
                <c:pt idx="5">
                  <c:v>1.0791256830601095</c:v>
                </c:pt>
                <c:pt idx="6">
                  <c:v>1.1207285974499088</c:v>
                </c:pt>
                <c:pt idx="7">
                  <c:v>1.0946448087431695</c:v>
                </c:pt>
                <c:pt idx="8">
                  <c:v>1.1181056466302368</c:v>
                </c:pt>
                <c:pt idx="9">
                  <c:v>1.0923861566484518</c:v>
                </c:pt>
                <c:pt idx="10">
                  <c:v>1.0671038251366121</c:v>
                </c:pt>
                <c:pt idx="11">
                  <c:v>1.2093989071038251</c:v>
                </c:pt>
                <c:pt idx="12">
                  <c:v>1.1718032786885246</c:v>
                </c:pt>
                <c:pt idx="13">
                  <c:v>1.2241165755919854</c:v>
                </c:pt>
                <c:pt idx="14">
                  <c:v>1.2375227686703096</c:v>
                </c:pt>
                <c:pt idx="15">
                  <c:v>1.1683060109289618</c:v>
                </c:pt>
                <c:pt idx="16">
                  <c:v>1.1368306010928961</c:v>
                </c:pt>
                <c:pt idx="17">
                  <c:v>1.181129326047359</c:v>
                </c:pt>
                <c:pt idx="18">
                  <c:v>1.1766120218579235</c:v>
                </c:pt>
                <c:pt idx="19">
                  <c:v>1.1834608378870675</c:v>
                </c:pt>
                <c:pt idx="20">
                  <c:v>1.1962841530054644</c:v>
                </c:pt>
                <c:pt idx="21">
                  <c:v>1.2506375227686704</c:v>
                </c:pt>
                <c:pt idx="22">
                  <c:v>1.1336247723132968</c:v>
                </c:pt>
                <c:pt idx="23">
                  <c:v>1.1167941712204008</c:v>
                </c:pt>
                <c:pt idx="24">
                  <c:v>1.1164298724954462</c:v>
                </c:pt>
                <c:pt idx="25">
                  <c:v>1.077231329690346</c:v>
                </c:pt>
                <c:pt idx="26">
                  <c:v>1.2057559198542807</c:v>
                </c:pt>
                <c:pt idx="27">
                  <c:v>1.2393442622950819</c:v>
                </c:pt>
                <c:pt idx="28">
                  <c:v>1.2289253187613842</c:v>
                </c:pt>
                <c:pt idx="29">
                  <c:v>1.1835336976320583</c:v>
                </c:pt>
                <c:pt idx="30">
                  <c:v>1.1988342440801456</c:v>
                </c:pt>
                <c:pt idx="31">
                  <c:v>1.2861202185792351</c:v>
                </c:pt>
                <c:pt idx="32">
                  <c:v>1.2800728597449909</c:v>
                </c:pt>
                <c:pt idx="33">
                  <c:v>1.4944262295081969</c:v>
                </c:pt>
                <c:pt idx="34">
                  <c:v>1.4791985428051002</c:v>
                </c:pt>
                <c:pt idx="35">
                  <c:v>1.410928961748634</c:v>
                </c:pt>
                <c:pt idx="36">
                  <c:v>1.3540255009107469</c:v>
                </c:pt>
                <c:pt idx="37">
                  <c:v>1.3755191256830601</c:v>
                </c:pt>
                <c:pt idx="38">
                  <c:v>1.361457194899818</c:v>
                </c:pt>
                <c:pt idx="39">
                  <c:v>1.3084153005464483</c:v>
                </c:pt>
                <c:pt idx="40">
                  <c:v>1.3972313296903462</c:v>
                </c:pt>
                <c:pt idx="41">
                  <c:v>1.3972313296903462</c:v>
                </c:pt>
                <c:pt idx="42">
                  <c:v>1.3972313296903462</c:v>
                </c:pt>
                <c:pt idx="43">
                  <c:v>1.4922404371584699</c:v>
                </c:pt>
                <c:pt idx="44">
                  <c:v>1.5375591985428052</c:v>
                </c:pt>
                <c:pt idx="45">
                  <c:v>1.6328597449908926</c:v>
                </c:pt>
                <c:pt idx="46">
                  <c:v>1.5616029143897998</c:v>
                </c:pt>
                <c:pt idx="47">
                  <c:v>1.6437158469945354</c:v>
                </c:pt>
                <c:pt idx="48">
                  <c:v>1.6770856102003644</c:v>
                </c:pt>
                <c:pt idx="49">
                  <c:v>1.4850273224043715</c:v>
                </c:pt>
                <c:pt idx="50">
                  <c:v>1.3746448087431693</c:v>
                </c:pt>
                <c:pt idx="51">
                  <c:v>1.4826229508196722</c:v>
                </c:pt>
                <c:pt idx="52">
                  <c:v>1.4166848816029143</c:v>
                </c:pt>
                <c:pt idx="53">
                  <c:v>1.4098360655737705</c:v>
                </c:pt>
                <c:pt idx="54">
                  <c:v>1.4532604735883425</c:v>
                </c:pt>
                <c:pt idx="55">
                  <c:v>1.4335154826958105</c:v>
                </c:pt>
                <c:pt idx="56">
                  <c:v>1.3759562841530055</c:v>
                </c:pt>
                <c:pt idx="57">
                  <c:v>1.4254280510018214</c:v>
                </c:pt>
                <c:pt idx="58">
                  <c:v>1.4149362477231329</c:v>
                </c:pt>
                <c:pt idx="59">
                  <c:v>1.4783242258652096</c:v>
                </c:pt>
                <c:pt idx="60">
                  <c:v>1.4061930783242258</c:v>
                </c:pt>
                <c:pt idx="61">
                  <c:v>1.4072859744990893</c:v>
                </c:pt>
                <c:pt idx="62">
                  <c:v>1.5313661202185793</c:v>
                </c:pt>
                <c:pt idx="63">
                  <c:v>1.4179963570127505</c:v>
                </c:pt>
                <c:pt idx="64">
                  <c:v>1.4475774134790529</c:v>
                </c:pt>
                <c:pt idx="65">
                  <c:v>1.3269216757741349</c:v>
                </c:pt>
                <c:pt idx="66">
                  <c:v>1.3251001821493624</c:v>
                </c:pt>
                <c:pt idx="67">
                  <c:v>1.282622950819672</c:v>
                </c:pt>
                <c:pt idx="68">
                  <c:v>1.2735154826958106</c:v>
                </c:pt>
                <c:pt idx="69">
                  <c:v>1.2735154826958106</c:v>
                </c:pt>
                <c:pt idx="70">
                  <c:v>1.2801457194899817</c:v>
                </c:pt>
                <c:pt idx="71">
                  <c:v>1.2480874316939892</c:v>
                </c:pt>
                <c:pt idx="72">
                  <c:v>1.2567577413479054</c:v>
                </c:pt>
                <c:pt idx="73">
                  <c:v>1.3400364298724954</c:v>
                </c:pt>
                <c:pt idx="74">
                  <c:v>1.3238615664845172</c:v>
                </c:pt>
                <c:pt idx="75">
                  <c:v>1.3296174863387979</c:v>
                </c:pt>
                <c:pt idx="76">
                  <c:v>1.4212021857923498</c:v>
                </c:pt>
                <c:pt idx="77">
                  <c:v>1.5359562841530054</c:v>
                </c:pt>
                <c:pt idx="78">
                  <c:v>1.566775956284153</c:v>
                </c:pt>
                <c:pt idx="79">
                  <c:v>1.6017486338797815</c:v>
                </c:pt>
                <c:pt idx="80">
                  <c:v>1.5590163934426229</c:v>
                </c:pt>
                <c:pt idx="81">
                  <c:v>1.5820036429872495</c:v>
                </c:pt>
                <c:pt idx="82">
                  <c:v>1.58040072859745</c:v>
                </c:pt>
                <c:pt idx="83">
                  <c:v>1.5863752276867029</c:v>
                </c:pt>
                <c:pt idx="84">
                  <c:v>1.5770491803278688</c:v>
                </c:pt>
                <c:pt idx="85">
                  <c:v>1.5461566484517304</c:v>
                </c:pt>
                <c:pt idx="86">
                  <c:v>1.5706010928961749</c:v>
                </c:pt>
                <c:pt idx="87">
                  <c:v>1.5754098360655737</c:v>
                </c:pt>
                <c:pt idx="88">
                  <c:v>1.4244808743169399</c:v>
                </c:pt>
                <c:pt idx="89">
                  <c:v>1.4268852459016395</c:v>
                </c:pt>
                <c:pt idx="90">
                  <c:v>1.3765391621129326</c:v>
                </c:pt>
                <c:pt idx="91">
                  <c:v>1.4244808743169399</c:v>
                </c:pt>
                <c:pt idx="92">
                  <c:v>1.4029872495446265</c:v>
                </c:pt>
                <c:pt idx="93">
                  <c:v>1.5067395264116576</c:v>
                </c:pt>
                <c:pt idx="94">
                  <c:v>1.4645901639344261</c:v>
                </c:pt>
                <c:pt idx="95">
                  <c:v>1.3991256830601093</c:v>
                </c:pt>
                <c:pt idx="96">
                  <c:v>1.3584335154826959</c:v>
                </c:pt>
                <c:pt idx="97">
                  <c:v>1.3985792349726778</c:v>
                </c:pt>
                <c:pt idx="98">
                  <c:v>1.470856102003643</c:v>
                </c:pt>
                <c:pt idx="99">
                  <c:v>1.467176684881603</c:v>
                </c:pt>
                <c:pt idx="100">
                  <c:v>1.4213114754098359</c:v>
                </c:pt>
                <c:pt idx="101">
                  <c:v>1.4231329690346084</c:v>
                </c:pt>
                <c:pt idx="102">
                  <c:v>1.3515846994535519</c:v>
                </c:pt>
                <c:pt idx="103">
                  <c:v>1.4639708561020037</c:v>
                </c:pt>
                <c:pt idx="104">
                  <c:v>1.5510382513661203</c:v>
                </c:pt>
                <c:pt idx="105">
                  <c:v>1.4687067395264117</c:v>
                </c:pt>
                <c:pt idx="106">
                  <c:v>1.4567941712204007</c:v>
                </c:pt>
                <c:pt idx="107">
                  <c:v>1.4859016393442623</c:v>
                </c:pt>
                <c:pt idx="108">
                  <c:v>1.5145355191256831</c:v>
                </c:pt>
                <c:pt idx="109">
                  <c:v>1.5441165755919855</c:v>
                </c:pt>
                <c:pt idx="110">
                  <c:v>1.5676138433515483</c:v>
                </c:pt>
                <c:pt idx="111">
                  <c:v>1.5032786885245901</c:v>
                </c:pt>
                <c:pt idx="112">
                  <c:v>1.4830601092896176</c:v>
                </c:pt>
                <c:pt idx="113">
                  <c:v>1.4624408014571948</c:v>
                </c:pt>
                <c:pt idx="114">
                  <c:v>1.4884517304189435</c:v>
                </c:pt>
                <c:pt idx="115">
                  <c:v>1.5327868852459017</c:v>
                </c:pt>
                <c:pt idx="116">
                  <c:v>1.4397085610200364</c:v>
                </c:pt>
                <c:pt idx="117">
                  <c:v>1.3688888888888888</c:v>
                </c:pt>
                <c:pt idx="118">
                  <c:v>1.3396357012750455</c:v>
                </c:pt>
                <c:pt idx="119">
                  <c:v>1.3489617486338799</c:v>
                </c:pt>
                <c:pt idx="120">
                  <c:v>1.1899817850637522</c:v>
                </c:pt>
                <c:pt idx="121">
                  <c:v>1.1683788706739526</c:v>
                </c:pt>
                <c:pt idx="122">
                  <c:v>1.1515482695810566</c:v>
                </c:pt>
                <c:pt idx="123">
                  <c:v>1.1309289617486338</c:v>
                </c:pt>
                <c:pt idx="124">
                  <c:v>1.0946448087431695</c:v>
                </c:pt>
                <c:pt idx="125">
                  <c:v>1.1065938069216756</c:v>
                </c:pt>
                <c:pt idx="126">
                  <c:v>1.1453916211293262</c:v>
                </c:pt>
                <c:pt idx="127">
                  <c:v>1.1681967213114755</c:v>
                </c:pt>
                <c:pt idx="128">
                  <c:v>1.1130054644808742</c:v>
                </c:pt>
                <c:pt idx="129">
                  <c:v>1.2605100182149362</c:v>
                </c:pt>
                <c:pt idx="130">
                  <c:v>1.2388342440801456</c:v>
                </c:pt>
                <c:pt idx="131">
                  <c:v>1.1838615664845173</c:v>
                </c:pt>
                <c:pt idx="132">
                  <c:v>1.2072131147540983</c:v>
                </c:pt>
                <c:pt idx="133">
                  <c:v>1.2051730418943534</c:v>
                </c:pt>
                <c:pt idx="134">
                  <c:v>1.2111839708561021</c:v>
                </c:pt>
                <c:pt idx="135">
                  <c:v>1.2766484517304189</c:v>
                </c:pt>
                <c:pt idx="136">
                  <c:v>1.2335519125683061</c:v>
                </c:pt>
                <c:pt idx="137">
                  <c:v>1.2459380692167576</c:v>
                </c:pt>
                <c:pt idx="138">
                  <c:v>1.301311475409836</c:v>
                </c:pt>
                <c:pt idx="139">
                  <c:v>1.3329690346083787</c:v>
                </c:pt>
                <c:pt idx="140">
                  <c:v>1.3392349726775956</c:v>
                </c:pt>
                <c:pt idx="141">
                  <c:v>1.1677959927140256</c:v>
                </c:pt>
                <c:pt idx="142">
                  <c:v>1.1499453551912568</c:v>
                </c:pt>
                <c:pt idx="143">
                  <c:v>1.1405464480874317</c:v>
                </c:pt>
                <c:pt idx="144">
                  <c:v>1.0520582877959928</c:v>
                </c:pt>
                <c:pt idx="145">
                  <c:v>1.0282331511839709</c:v>
                </c:pt>
                <c:pt idx="146">
                  <c:v>1.0466666666666666</c:v>
                </c:pt>
                <c:pt idx="147">
                  <c:v>1.1271402550091074</c:v>
                </c:pt>
                <c:pt idx="148">
                  <c:v>1.0442622950819671</c:v>
                </c:pt>
                <c:pt idx="149">
                  <c:v>1.1024043715846994</c:v>
                </c:pt>
                <c:pt idx="150">
                  <c:v>1.0820765027322403</c:v>
                </c:pt>
                <c:pt idx="151">
                  <c:v>1.1190163934426229</c:v>
                </c:pt>
                <c:pt idx="152">
                  <c:v>1.0268123861566485</c:v>
                </c:pt>
                <c:pt idx="153">
                  <c:v>0.94859744990892525</c:v>
                </c:pt>
                <c:pt idx="154">
                  <c:v>1</c:v>
                </c:pt>
              </c:numCache>
            </c:numRef>
          </c:val>
          <c:smooth val="0"/>
          <c:extLst>
            <c:ext xmlns:c16="http://schemas.microsoft.com/office/drawing/2014/chart" uri="{C3380CC4-5D6E-409C-BE32-E72D297353CC}">
              <c16:uniqueId val="{00000003-7FCB-4865-8E32-ABAA033EDCFC}"/>
            </c:ext>
          </c:extLst>
        </c:ser>
        <c:ser>
          <c:idx val="4"/>
          <c:order val="4"/>
          <c:tx>
            <c:strRef>
              <c:f>Inputs!$B$24</c:f>
              <c:strCache>
                <c:ptCount val="1"/>
                <c:pt idx="0">
                  <c:v>XPO INC</c:v>
                </c:pt>
              </c:strCache>
            </c:strRef>
          </c:tx>
          <c:spPr>
            <a:ln w="28575" cap="rnd">
              <a:solidFill>
                <a:schemeClr val="accent3">
                  <a:lumMod val="60000"/>
                </a:schemeClr>
              </a:solidFill>
              <a:round/>
            </a:ln>
            <a:effectLst/>
          </c:spPr>
          <c:marker>
            <c:symbol val="none"/>
          </c:marker>
          <c:cat>
            <c:numRef>
              <c:f>'Stock Data'!$Q$5:$Q$159</c:f>
              <c:numCache>
                <c:formatCode>m/d/yyyy</c:formatCode>
                <c:ptCount val="155"/>
                <c:pt idx="0">
                  <c:v>45938</c:v>
                </c:pt>
                <c:pt idx="1">
                  <c:v>45931</c:v>
                </c:pt>
                <c:pt idx="2">
                  <c:v>45924</c:v>
                </c:pt>
                <c:pt idx="3">
                  <c:v>45917</c:v>
                </c:pt>
                <c:pt idx="4">
                  <c:v>45910</c:v>
                </c:pt>
                <c:pt idx="5">
                  <c:v>45903</c:v>
                </c:pt>
                <c:pt idx="6">
                  <c:v>45896</c:v>
                </c:pt>
                <c:pt idx="7">
                  <c:v>45889</c:v>
                </c:pt>
                <c:pt idx="8">
                  <c:v>45882</c:v>
                </c:pt>
                <c:pt idx="9">
                  <c:v>45875</c:v>
                </c:pt>
                <c:pt idx="10">
                  <c:v>45868</c:v>
                </c:pt>
                <c:pt idx="11">
                  <c:v>45861</c:v>
                </c:pt>
                <c:pt idx="12">
                  <c:v>45854</c:v>
                </c:pt>
                <c:pt idx="13">
                  <c:v>45847</c:v>
                </c:pt>
                <c:pt idx="14">
                  <c:v>45840</c:v>
                </c:pt>
                <c:pt idx="15">
                  <c:v>45833</c:v>
                </c:pt>
                <c:pt idx="16">
                  <c:v>45826</c:v>
                </c:pt>
                <c:pt idx="17">
                  <c:v>45819</c:v>
                </c:pt>
                <c:pt idx="18">
                  <c:v>45812</c:v>
                </c:pt>
                <c:pt idx="19">
                  <c:v>45805</c:v>
                </c:pt>
                <c:pt idx="20">
                  <c:v>45798</c:v>
                </c:pt>
                <c:pt idx="21">
                  <c:v>45791</c:v>
                </c:pt>
                <c:pt idx="22">
                  <c:v>45784</c:v>
                </c:pt>
                <c:pt idx="23">
                  <c:v>45777</c:v>
                </c:pt>
                <c:pt idx="24">
                  <c:v>45770</c:v>
                </c:pt>
                <c:pt idx="25">
                  <c:v>45763</c:v>
                </c:pt>
                <c:pt idx="26">
                  <c:v>45756</c:v>
                </c:pt>
                <c:pt idx="27">
                  <c:v>45749</c:v>
                </c:pt>
                <c:pt idx="28">
                  <c:v>45742</c:v>
                </c:pt>
                <c:pt idx="29">
                  <c:v>45735</c:v>
                </c:pt>
                <c:pt idx="30">
                  <c:v>45728</c:v>
                </c:pt>
                <c:pt idx="31">
                  <c:v>45721</c:v>
                </c:pt>
                <c:pt idx="32">
                  <c:v>45714</c:v>
                </c:pt>
                <c:pt idx="33">
                  <c:v>45707</c:v>
                </c:pt>
                <c:pt idx="34">
                  <c:v>45700</c:v>
                </c:pt>
                <c:pt idx="35">
                  <c:v>45693</c:v>
                </c:pt>
                <c:pt idx="36">
                  <c:v>45686</c:v>
                </c:pt>
                <c:pt idx="37">
                  <c:v>45679</c:v>
                </c:pt>
                <c:pt idx="38">
                  <c:v>45672</c:v>
                </c:pt>
                <c:pt idx="39">
                  <c:v>45665</c:v>
                </c:pt>
                <c:pt idx="40">
                  <c:v>45658</c:v>
                </c:pt>
                <c:pt idx="41">
                  <c:v>45651</c:v>
                </c:pt>
                <c:pt idx="42">
                  <c:v>45644</c:v>
                </c:pt>
                <c:pt idx="43">
                  <c:v>45637</c:v>
                </c:pt>
                <c:pt idx="44">
                  <c:v>45630</c:v>
                </c:pt>
                <c:pt idx="45">
                  <c:v>45623</c:v>
                </c:pt>
                <c:pt idx="46">
                  <c:v>45616</c:v>
                </c:pt>
                <c:pt idx="47">
                  <c:v>45609</c:v>
                </c:pt>
                <c:pt idx="48">
                  <c:v>45602</c:v>
                </c:pt>
                <c:pt idx="49">
                  <c:v>45595</c:v>
                </c:pt>
                <c:pt idx="50">
                  <c:v>45588</c:v>
                </c:pt>
                <c:pt idx="51">
                  <c:v>45581</c:v>
                </c:pt>
                <c:pt idx="52">
                  <c:v>45574</c:v>
                </c:pt>
                <c:pt idx="53">
                  <c:v>45567</c:v>
                </c:pt>
                <c:pt idx="54">
                  <c:v>45560</c:v>
                </c:pt>
                <c:pt idx="55">
                  <c:v>45553</c:v>
                </c:pt>
                <c:pt idx="56">
                  <c:v>45546</c:v>
                </c:pt>
                <c:pt idx="57">
                  <c:v>45539</c:v>
                </c:pt>
                <c:pt idx="58">
                  <c:v>45532</c:v>
                </c:pt>
                <c:pt idx="59">
                  <c:v>45525</c:v>
                </c:pt>
                <c:pt idx="60">
                  <c:v>45518</c:v>
                </c:pt>
                <c:pt idx="61">
                  <c:v>45511</c:v>
                </c:pt>
                <c:pt idx="62">
                  <c:v>45504</c:v>
                </c:pt>
                <c:pt idx="63">
                  <c:v>45497</c:v>
                </c:pt>
                <c:pt idx="64">
                  <c:v>45490</c:v>
                </c:pt>
                <c:pt idx="65">
                  <c:v>45483</c:v>
                </c:pt>
                <c:pt idx="66">
                  <c:v>45476</c:v>
                </c:pt>
                <c:pt idx="67">
                  <c:v>45469</c:v>
                </c:pt>
                <c:pt idx="68">
                  <c:v>45462</c:v>
                </c:pt>
                <c:pt idx="69">
                  <c:v>45455</c:v>
                </c:pt>
                <c:pt idx="70">
                  <c:v>45448</c:v>
                </c:pt>
                <c:pt idx="71">
                  <c:v>45441</c:v>
                </c:pt>
                <c:pt idx="72">
                  <c:v>45434</c:v>
                </c:pt>
                <c:pt idx="73">
                  <c:v>45427</c:v>
                </c:pt>
                <c:pt idx="74">
                  <c:v>45420</c:v>
                </c:pt>
                <c:pt idx="75">
                  <c:v>45413</c:v>
                </c:pt>
                <c:pt idx="76">
                  <c:v>45406</c:v>
                </c:pt>
                <c:pt idx="77">
                  <c:v>45399</c:v>
                </c:pt>
                <c:pt idx="78">
                  <c:v>45392</c:v>
                </c:pt>
                <c:pt idx="79">
                  <c:v>45385</c:v>
                </c:pt>
                <c:pt idx="80">
                  <c:v>45378</c:v>
                </c:pt>
                <c:pt idx="81">
                  <c:v>45371</c:v>
                </c:pt>
                <c:pt idx="82">
                  <c:v>45364</c:v>
                </c:pt>
                <c:pt idx="83">
                  <c:v>45357</c:v>
                </c:pt>
                <c:pt idx="84">
                  <c:v>45350</c:v>
                </c:pt>
                <c:pt idx="85">
                  <c:v>45343</c:v>
                </c:pt>
                <c:pt idx="86">
                  <c:v>45336</c:v>
                </c:pt>
                <c:pt idx="87">
                  <c:v>45329</c:v>
                </c:pt>
                <c:pt idx="88">
                  <c:v>45322</c:v>
                </c:pt>
                <c:pt idx="89">
                  <c:v>45315</c:v>
                </c:pt>
                <c:pt idx="90">
                  <c:v>45308</c:v>
                </c:pt>
                <c:pt idx="91">
                  <c:v>45301</c:v>
                </c:pt>
                <c:pt idx="92">
                  <c:v>45294</c:v>
                </c:pt>
                <c:pt idx="93">
                  <c:v>45287</c:v>
                </c:pt>
                <c:pt idx="94">
                  <c:v>45280</c:v>
                </c:pt>
                <c:pt idx="95">
                  <c:v>45273</c:v>
                </c:pt>
                <c:pt idx="96">
                  <c:v>45266</c:v>
                </c:pt>
                <c:pt idx="97">
                  <c:v>45259</c:v>
                </c:pt>
                <c:pt idx="98">
                  <c:v>45252</c:v>
                </c:pt>
                <c:pt idx="99">
                  <c:v>45245</c:v>
                </c:pt>
                <c:pt idx="100">
                  <c:v>45238</c:v>
                </c:pt>
                <c:pt idx="101">
                  <c:v>45231</c:v>
                </c:pt>
                <c:pt idx="102">
                  <c:v>45224</c:v>
                </c:pt>
                <c:pt idx="103">
                  <c:v>45217</c:v>
                </c:pt>
                <c:pt idx="104">
                  <c:v>45210</c:v>
                </c:pt>
                <c:pt idx="105">
                  <c:v>45203</c:v>
                </c:pt>
                <c:pt idx="106">
                  <c:v>45196</c:v>
                </c:pt>
                <c:pt idx="107">
                  <c:v>45189</c:v>
                </c:pt>
                <c:pt idx="108">
                  <c:v>45182</c:v>
                </c:pt>
                <c:pt idx="109">
                  <c:v>45175</c:v>
                </c:pt>
                <c:pt idx="110">
                  <c:v>45168</c:v>
                </c:pt>
                <c:pt idx="111">
                  <c:v>45161</c:v>
                </c:pt>
                <c:pt idx="112">
                  <c:v>45154</c:v>
                </c:pt>
                <c:pt idx="113">
                  <c:v>45147</c:v>
                </c:pt>
                <c:pt idx="114">
                  <c:v>45140</c:v>
                </c:pt>
                <c:pt idx="115">
                  <c:v>45133</c:v>
                </c:pt>
                <c:pt idx="116">
                  <c:v>45126</c:v>
                </c:pt>
                <c:pt idx="117">
                  <c:v>45119</c:v>
                </c:pt>
                <c:pt idx="118">
                  <c:v>45112</c:v>
                </c:pt>
                <c:pt idx="119">
                  <c:v>45105</c:v>
                </c:pt>
                <c:pt idx="120">
                  <c:v>45098</c:v>
                </c:pt>
                <c:pt idx="121">
                  <c:v>45091</c:v>
                </c:pt>
                <c:pt idx="122">
                  <c:v>45084</c:v>
                </c:pt>
                <c:pt idx="123">
                  <c:v>45077</c:v>
                </c:pt>
                <c:pt idx="124">
                  <c:v>45070</c:v>
                </c:pt>
                <c:pt idx="125">
                  <c:v>45063</c:v>
                </c:pt>
                <c:pt idx="126">
                  <c:v>45056</c:v>
                </c:pt>
                <c:pt idx="127">
                  <c:v>45049</c:v>
                </c:pt>
                <c:pt idx="128">
                  <c:v>45042</c:v>
                </c:pt>
                <c:pt idx="129">
                  <c:v>45035</c:v>
                </c:pt>
                <c:pt idx="130">
                  <c:v>45028</c:v>
                </c:pt>
                <c:pt idx="131">
                  <c:v>45021</c:v>
                </c:pt>
                <c:pt idx="132">
                  <c:v>45014</c:v>
                </c:pt>
                <c:pt idx="133">
                  <c:v>45007</c:v>
                </c:pt>
                <c:pt idx="134">
                  <c:v>45000</c:v>
                </c:pt>
                <c:pt idx="135">
                  <c:v>44993</c:v>
                </c:pt>
                <c:pt idx="136">
                  <c:v>44986</c:v>
                </c:pt>
                <c:pt idx="137">
                  <c:v>44979</c:v>
                </c:pt>
                <c:pt idx="138">
                  <c:v>44972</c:v>
                </c:pt>
                <c:pt idx="139">
                  <c:v>44965</c:v>
                </c:pt>
                <c:pt idx="140">
                  <c:v>44958</c:v>
                </c:pt>
                <c:pt idx="141">
                  <c:v>44951</c:v>
                </c:pt>
                <c:pt idx="142">
                  <c:v>44944</c:v>
                </c:pt>
                <c:pt idx="143">
                  <c:v>44937</c:v>
                </c:pt>
                <c:pt idx="144">
                  <c:v>44930</c:v>
                </c:pt>
                <c:pt idx="145">
                  <c:v>44923</c:v>
                </c:pt>
                <c:pt idx="146">
                  <c:v>44916</c:v>
                </c:pt>
                <c:pt idx="147">
                  <c:v>44909</c:v>
                </c:pt>
                <c:pt idx="148">
                  <c:v>44902</c:v>
                </c:pt>
                <c:pt idx="149">
                  <c:v>44895</c:v>
                </c:pt>
                <c:pt idx="150">
                  <c:v>44888</c:v>
                </c:pt>
                <c:pt idx="151">
                  <c:v>44881</c:v>
                </c:pt>
                <c:pt idx="152">
                  <c:v>44874</c:v>
                </c:pt>
                <c:pt idx="153">
                  <c:v>44867</c:v>
                </c:pt>
                <c:pt idx="154">
                  <c:v>44860</c:v>
                </c:pt>
              </c:numCache>
            </c:numRef>
          </c:cat>
          <c:val>
            <c:numRef>
              <c:f>'Stock Data'!$AJ$5:$AJ$159</c:f>
              <c:numCache>
                <c:formatCode>General</c:formatCode>
                <c:ptCount val="155"/>
                <c:pt idx="0">
                  <c:v>4.2431353671500496</c:v>
                </c:pt>
                <c:pt idx="1">
                  <c:v>4.2431353671500496</c:v>
                </c:pt>
                <c:pt idx="2">
                  <c:v>4.3494393966744891</c:v>
                </c:pt>
                <c:pt idx="3">
                  <c:v>4.3367363994357193</c:v>
                </c:pt>
                <c:pt idx="4">
                  <c:v>4.3554566058928534</c:v>
                </c:pt>
                <c:pt idx="5">
                  <c:v>4.2070321118398617</c:v>
                </c:pt>
                <c:pt idx="6">
                  <c:v>4.4162972768785398</c:v>
                </c:pt>
                <c:pt idx="7">
                  <c:v>4.2344438427235227</c:v>
                </c:pt>
                <c:pt idx="8">
                  <c:v>4.3561251846948936</c:v>
                </c:pt>
                <c:pt idx="9">
                  <c:v>4.1134310795541911</c:v>
                </c:pt>
                <c:pt idx="10">
                  <c:v>4.4223144860969033</c:v>
                </c:pt>
                <c:pt idx="11">
                  <c:v>4.5129069137733921</c:v>
                </c:pt>
                <c:pt idx="12">
                  <c:v>4.2956188031102283</c:v>
                </c:pt>
                <c:pt idx="13">
                  <c:v>4.4169658556805791</c:v>
                </c:pt>
                <c:pt idx="14">
                  <c:v>4.4293345635183288</c:v>
                </c:pt>
                <c:pt idx="15">
                  <c:v>4.1461914408541762</c:v>
                </c:pt>
                <c:pt idx="16">
                  <c:v>4.032198755106271</c:v>
                </c:pt>
                <c:pt idx="17">
                  <c:v>4.0311958869032098</c:v>
                </c:pt>
                <c:pt idx="18">
                  <c:v>3.8419880859257476</c:v>
                </c:pt>
                <c:pt idx="19">
                  <c:v>3.9553121928716126</c:v>
                </c:pt>
                <c:pt idx="20">
                  <c:v>4.0325330445072902</c:v>
                </c:pt>
                <c:pt idx="21">
                  <c:v>4.2695442298306485</c:v>
                </c:pt>
                <c:pt idx="22">
                  <c:v>3.6598003623697108</c:v>
                </c:pt>
                <c:pt idx="23">
                  <c:v>3.5474791236269065</c:v>
                </c:pt>
                <c:pt idx="24">
                  <c:v>3.3415568525984312</c:v>
                </c:pt>
                <c:pt idx="25">
                  <c:v>3.1252716101383289</c:v>
                </c:pt>
                <c:pt idx="26">
                  <c:v>3.528758917169772</c:v>
                </c:pt>
                <c:pt idx="27">
                  <c:v>3.7209753227564168</c:v>
                </c:pt>
                <c:pt idx="28">
                  <c:v>3.7062665891115256</c:v>
                </c:pt>
                <c:pt idx="29">
                  <c:v>3.7279954001778419</c:v>
                </c:pt>
                <c:pt idx="30">
                  <c:v>3.6450916287248196</c:v>
                </c:pt>
                <c:pt idx="31">
                  <c:v>3.7684444177012923</c:v>
                </c:pt>
                <c:pt idx="32">
                  <c:v>4.0906994002848149</c:v>
                </c:pt>
                <c:pt idx="33">
                  <c:v>4.5931363700182519</c:v>
                </c:pt>
                <c:pt idx="34">
                  <c:v>4.8408448161742585</c:v>
                </c:pt>
                <c:pt idx="35">
                  <c:v>4.5566988253070448</c:v>
                </c:pt>
                <c:pt idx="36">
                  <c:v>4.5446644068703153</c:v>
                </c:pt>
                <c:pt idx="37">
                  <c:v>4.5704046907488749</c:v>
                </c:pt>
                <c:pt idx="38">
                  <c:v>4.5593731405152065</c:v>
                </c:pt>
                <c:pt idx="39">
                  <c:v>4.5857820031958063</c:v>
                </c:pt>
                <c:pt idx="40">
                  <c:v>4.9304343756476863</c:v>
                </c:pt>
                <c:pt idx="41">
                  <c:v>4.9304343756476863</c:v>
                </c:pt>
                <c:pt idx="42">
                  <c:v>4.9304343756476863</c:v>
                </c:pt>
                <c:pt idx="43">
                  <c:v>5.2861182983332329</c:v>
                </c:pt>
                <c:pt idx="44">
                  <c:v>5.1858314780271577</c:v>
                </c:pt>
                <c:pt idx="45">
                  <c:v>5.0216953821262145</c:v>
                </c:pt>
                <c:pt idx="46">
                  <c:v>4.8983425931497413</c:v>
                </c:pt>
                <c:pt idx="47">
                  <c:v>4.9979608346537763</c:v>
                </c:pt>
                <c:pt idx="48">
                  <c:v>5.0718387922792516</c:v>
                </c:pt>
                <c:pt idx="49">
                  <c:v>4.4791436842703467</c:v>
                </c:pt>
                <c:pt idx="50">
                  <c:v>3.6594660729686903</c:v>
                </c:pt>
                <c:pt idx="51">
                  <c:v>3.9055030721195951</c:v>
                </c:pt>
                <c:pt idx="52">
                  <c:v>3.6450916287248196</c:v>
                </c:pt>
                <c:pt idx="53">
                  <c:v>3.5919396139625999</c:v>
                </c:pt>
                <c:pt idx="54">
                  <c:v>3.8062191200165807</c:v>
                </c:pt>
                <c:pt idx="55">
                  <c:v>3.7269925319747808</c:v>
                </c:pt>
                <c:pt idx="56">
                  <c:v>3.4391693576963447</c:v>
                </c:pt>
                <c:pt idx="57">
                  <c:v>3.7995333319961753</c:v>
                </c:pt>
                <c:pt idx="58">
                  <c:v>3.9385977228205999</c:v>
                </c:pt>
                <c:pt idx="59">
                  <c:v>4.0866879274725711</c:v>
                </c:pt>
                <c:pt idx="60">
                  <c:v>3.9048344933175549</c:v>
                </c:pt>
                <c:pt idx="61">
                  <c:v>3.6641461245829738</c:v>
                </c:pt>
                <c:pt idx="62">
                  <c:v>3.8406509283216663</c:v>
                </c:pt>
                <c:pt idx="63">
                  <c:v>3.6771834112227637</c:v>
                </c:pt>
                <c:pt idx="64">
                  <c:v>3.8149106444431071</c:v>
                </c:pt>
                <c:pt idx="65">
                  <c:v>3.408749022203502</c:v>
                </c:pt>
                <c:pt idx="66">
                  <c:v>3.5802394849268908</c:v>
                </c:pt>
                <c:pt idx="67">
                  <c:v>3.5117101577177392</c:v>
                </c:pt>
                <c:pt idx="68">
                  <c:v>3.5608506996677161</c:v>
                </c:pt>
                <c:pt idx="69">
                  <c:v>3.5608506996677161</c:v>
                </c:pt>
                <c:pt idx="70">
                  <c:v>3.6270400010697261</c:v>
                </c:pt>
                <c:pt idx="71">
                  <c:v>3.5906024563585186</c:v>
                </c:pt>
                <c:pt idx="72">
                  <c:v>3.5270874701646711</c:v>
                </c:pt>
                <c:pt idx="73">
                  <c:v>3.8129049080369857</c:v>
                </c:pt>
                <c:pt idx="74">
                  <c:v>3.7427041338227327</c:v>
                </c:pt>
                <c:pt idx="75">
                  <c:v>3.5561706480534325</c:v>
                </c:pt>
                <c:pt idx="76">
                  <c:v>3.9272318831859119</c:v>
                </c:pt>
                <c:pt idx="77">
                  <c:v>3.9783781615420102</c:v>
                </c:pt>
                <c:pt idx="78">
                  <c:v>4.2023520602255777</c:v>
                </c:pt>
                <c:pt idx="79">
                  <c:v>4.1354941800215279</c:v>
                </c:pt>
                <c:pt idx="80">
                  <c:v>4.0422274371368783</c:v>
                </c:pt>
                <c:pt idx="81">
                  <c:v>4.1572229910878447</c:v>
                </c:pt>
                <c:pt idx="82">
                  <c:v>4.1034023975235838</c:v>
                </c:pt>
                <c:pt idx="83">
                  <c:v>4.1889804841847686</c:v>
                </c:pt>
                <c:pt idx="84">
                  <c:v>3.9359234076124379</c:v>
                </c:pt>
                <c:pt idx="85">
                  <c:v>3.9857325283644558</c:v>
                </c:pt>
                <c:pt idx="86">
                  <c:v>4.0208329154715816</c:v>
                </c:pt>
                <c:pt idx="87">
                  <c:v>3.895808679490008</c:v>
                </c:pt>
                <c:pt idx="88">
                  <c:v>2.8561686423170265</c:v>
                </c:pt>
                <c:pt idx="89">
                  <c:v>2.808699547372151</c:v>
                </c:pt>
                <c:pt idx="90">
                  <c:v>2.7154328044875009</c:v>
                </c:pt>
                <c:pt idx="91">
                  <c:v>2.8454713814843786</c:v>
                </c:pt>
                <c:pt idx="92">
                  <c:v>2.7605618736252349</c:v>
                </c:pt>
                <c:pt idx="93">
                  <c:v>3.0059302939740991</c:v>
                </c:pt>
                <c:pt idx="94">
                  <c:v>2.8979548174445577</c:v>
                </c:pt>
                <c:pt idx="95">
                  <c:v>2.851488590702743</c:v>
                </c:pt>
                <c:pt idx="96">
                  <c:v>2.7231214607109666</c:v>
                </c:pt>
                <c:pt idx="97">
                  <c:v>2.8742202699721204</c:v>
                </c:pt>
                <c:pt idx="98">
                  <c:v>2.9714984856690134</c:v>
                </c:pt>
                <c:pt idx="99">
                  <c:v>2.8641915879415127</c:v>
                </c:pt>
                <c:pt idx="100">
                  <c:v>2.734153010944635</c:v>
                </c:pt>
                <c:pt idx="101">
                  <c:v>2.6064544597548989</c:v>
                </c:pt>
                <c:pt idx="102">
                  <c:v>2.3169598384713614</c:v>
                </c:pt>
                <c:pt idx="103">
                  <c:v>2.4717358311437376</c:v>
                </c:pt>
                <c:pt idx="104">
                  <c:v>2.6482406348824301</c:v>
                </c:pt>
                <c:pt idx="105">
                  <c:v>2.4837702495804668</c:v>
                </c:pt>
                <c:pt idx="106">
                  <c:v>2.3423658329489001</c:v>
                </c:pt>
                <c:pt idx="107">
                  <c:v>2.3065968670397337</c:v>
                </c:pt>
                <c:pt idx="108">
                  <c:v>2.3814776928682697</c:v>
                </c:pt>
                <c:pt idx="109">
                  <c:v>2.4296153666151863</c:v>
                </c:pt>
                <c:pt idx="110">
                  <c:v>2.4570270974988464</c:v>
                </c:pt>
                <c:pt idx="111">
                  <c:v>2.3497201997713462</c:v>
                </c:pt>
                <c:pt idx="112">
                  <c:v>2.4129008965641736</c:v>
                </c:pt>
                <c:pt idx="113">
                  <c:v>2.4650500431233326</c:v>
                </c:pt>
                <c:pt idx="114">
                  <c:v>2.2828623195672959</c:v>
                </c:pt>
                <c:pt idx="115">
                  <c:v>2.3951835583101002</c:v>
                </c:pt>
                <c:pt idx="116">
                  <c:v>2.2878766605825995</c:v>
                </c:pt>
                <c:pt idx="117">
                  <c:v>1.977321807034786</c:v>
                </c:pt>
                <c:pt idx="118">
                  <c:v>1.9542558383643889</c:v>
                </c:pt>
                <c:pt idx="119">
                  <c:v>1.9599387581817331</c:v>
                </c:pt>
                <c:pt idx="120">
                  <c:v>1.7409792005134683</c:v>
                </c:pt>
                <c:pt idx="121">
                  <c:v>1.7169103636400103</c:v>
                </c:pt>
                <c:pt idx="122">
                  <c:v>1.6480467470298386</c:v>
                </c:pt>
                <c:pt idx="123">
                  <c:v>1.5688201589880391</c:v>
                </c:pt>
                <c:pt idx="124">
                  <c:v>1.5628029497696745</c:v>
                </c:pt>
                <c:pt idx="125">
                  <c:v>1.5751716576074237</c:v>
                </c:pt>
                <c:pt idx="126">
                  <c:v>1.5818574456278289</c:v>
                </c:pt>
                <c:pt idx="127">
                  <c:v>1.4842449405299154</c:v>
                </c:pt>
                <c:pt idx="128">
                  <c:v>1.394321091655468</c:v>
                </c:pt>
                <c:pt idx="129">
                  <c:v>1.1559727487280287</c:v>
                </c:pt>
                <c:pt idx="130">
                  <c:v>1.088446289721938</c:v>
                </c:pt>
                <c:pt idx="131">
                  <c:v>0.99718528324340938</c:v>
                </c:pt>
                <c:pt idx="132">
                  <c:v>1.0356285643607384</c:v>
                </c:pt>
                <c:pt idx="133">
                  <c:v>1.0600316906352167</c:v>
                </c:pt>
                <c:pt idx="134">
                  <c:v>1.1028207339658089</c:v>
                </c:pt>
                <c:pt idx="135">
                  <c:v>1.1800415856014868</c:v>
                </c:pt>
                <c:pt idx="136">
                  <c:v>1.1532984335198668</c:v>
                </c:pt>
                <c:pt idx="137">
                  <c:v>1.15764419573313</c:v>
                </c:pt>
                <c:pt idx="138">
                  <c:v>1.2622767782524686</c:v>
                </c:pt>
                <c:pt idx="139">
                  <c:v>1.4702047856870648</c:v>
                </c:pt>
                <c:pt idx="140">
                  <c:v>1.4427930548034043</c:v>
                </c:pt>
                <c:pt idx="141">
                  <c:v>1.2702997238769547</c:v>
                </c:pt>
                <c:pt idx="142">
                  <c:v>1.2535852538259422</c:v>
                </c:pt>
                <c:pt idx="143">
                  <c:v>1.2616081994504282</c:v>
                </c:pt>
                <c:pt idx="144">
                  <c:v>1.116526599407639</c:v>
                </c:pt>
                <c:pt idx="145">
                  <c:v>1.1228780980270241</c:v>
                </c:pt>
                <c:pt idx="146">
                  <c:v>1.1740243763831222</c:v>
                </c:pt>
                <c:pt idx="147">
                  <c:v>1.2646168040596104</c:v>
                </c:pt>
                <c:pt idx="148">
                  <c:v>1.1940817404443373</c:v>
                </c:pt>
                <c:pt idx="149">
                  <c:v>1.2910256667402102</c:v>
                </c:pt>
                <c:pt idx="150">
                  <c:v>1.2569281478361447</c:v>
                </c:pt>
                <c:pt idx="151">
                  <c:v>1.2616081994504282</c:v>
                </c:pt>
                <c:pt idx="152">
                  <c:v>1.1492869607076239</c:v>
                </c:pt>
                <c:pt idx="153">
                  <c:v>1.0663831892546014</c:v>
                </c:pt>
                <c:pt idx="154">
                  <c:v>1</c:v>
                </c:pt>
              </c:numCache>
            </c:numRef>
          </c:val>
          <c:smooth val="0"/>
          <c:extLst>
            <c:ext xmlns:c16="http://schemas.microsoft.com/office/drawing/2014/chart" uri="{C3380CC4-5D6E-409C-BE32-E72D297353CC}">
              <c16:uniqueId val="{00000004-7FCB-4865-8E32-ABAA033EDCFC}"/>
            </c:ext>
          </c:extLst>
        </c:ser>
        <c:ser>
          <c:idx val="5"/>
          <c:order val="5"/>
          <c:tx>
            <c:strRef>
              <c:f>Inputs!$B$25</c:f>
              <c:strCache>
                <c:ptCount val="1"/>
                <c:pt idx="0">
                  <c:v>HUNT (JB) TRANS</c:v>
                </c:pt>
              </c:strCache>
            </c:strRef>
          </c:tx>
          <c:spPr>
            <a:ln w="28575" cap="rnd">
              <a:solidFill>
                <a:schemeClr val="accent5">
                  <a:lumMod val="60000"/>
                </a:schemeClr>
              </a:solidFill>
              <a:round/>
            </a:ln>
            <a:effectLst/>
          </c:spPr>
          <c:marker>
            <c:symbol val="none"/>
          </c:marker>
          <c:cat>
            <c:numRef>
              <c:f>'Stock Data'!$Q$5:$Q$159</c:f>
              <c:numCache>
                <c:formatCode>m/d/yyyy</c:formatCode>
                <c:ptCount val="155"/>
                <c:pt idx="0">
                  <c:v>45938</c:v>
                </c:pt>
                <c:pt idx="1">
                  <c:v>45931</c:v>
                </c:pt>
                <c:pt idx="2">
                  <c:v>45924</c:v>
                </c:pt>
                <c:pt idx="3">
                  <c:v>45917</c:v>
                </c:pt>
                <c:pt idx="4">
                  <c:v>45910</c:v>
                </c:pt>
                <c:pt idx="5">
                  <c:v>45903</c:v>
                </c:pt>
                <c:pt idx="6">
                  <c:v>45896</c:v>
                </c:pt>
                <c:pt idx="7">
                  <c:v>45889</c:v>
                </c:pt>
                <c:pt idx="8">
                  <c:v>45882</c:v>
                </c:pt>
                <c:pt idx="9">
                  <c:v>45875</c:v>
                </c:pt>
                <c:pt idx="10">
                  <c:v>45868</c:v>
                </c:pt>
                <c:pt idx="11">
                  <c:v>45861</c:v>
                </c:pt>
                <c:pt idx="12">
                  <c:v>45854</c:v>
                </c:pt>
                <c:pt idx="13">
                  <c:v>45847</c:v>
                </c:pt>
                <c:pt idx="14">
                  <c:v>45840</c:v>
                </c:pt>
                <c:pt idx="15">
                  <c:v>45833</c:v>
                </c:pt>
                <c:pt idx="16">
                  <c:v>45826</c:v>
                </c:pt>
                <c:pt idx="17">
                  <c:v>45819</c:v>
                </c:pt>
                <c:pt idx="18">
                  <c:v>45812</c:v>
                </c:pt>
                <c:pt idx="19">
                  <c:v>45805</c:v>
                </c:pt>
                <c:pt idx="20">
                  <c:v>45798</c:v>
                </c:pt>
                <c:pt idx="21">
                  <c:v>45791</c:v>
                </c:pt>
                <c:pt idx="22">
                  <c:v>45784</c:v>
                </c:pt>
                <c:pt idx="23">
                  <c:v>45777</c:v>
                </c:pt>
                <c:pt idx="24">
                  <c:v>45770</c:v>
                </c:pt>
                <c:pt idx="25">
                  <c:v>45763</c:v>
                </c:pt>
                <c:pt idx="26">
                  <c:v>45756</c:v>
                </c:pt>
                <c:pt idx="27">
                  <c:v>45749</c:v>
                </c:pt>
                <c:pt idx="28">
                  <c:v>45742</c:v>
                </c:pt>
                <c:pt idx="29">
                  <c:v>45735</c:v>
                </c:pt>
                <c:pt idx="30">
                  <c:v>45728</c:v>
                </c:pt>
                <c:pt idx="31">
                  <c:v>45721</c:v>
                </c:pt>
                <c:pt idx="32">
                  <c:v>45714</c:v>
                </c:pt>
                <c:pt idx="33">
                  <c:v>45707</c:v>
                </c:pt>
                <c:pt idx="34">
                  <c:v>45700</c:v>
                </c:pt>
                <c:pt idx="35">
                  <c:v>45693</c:v>
                </c:pt>
                <c:pt idx="36">
                  <c:v>45686</c:v>
                </c:pt>
                <c:pt idx="37">
                  <c:v>45679</c:v>
                </c:pt>
                <c:pt idx="38">
                  <c:v>45672</c:v>
                </c:pt>
                <c:pt idx="39">
                  <c:v>45665</c:v>
                </c:pt>
                <c:pt idx="40">
                  <c:v>45658</c:v>
                </c:pt>
                <c:pt idx="41">
                  <c:v>45651</c:v>
                </c:pt>
                <c:pt idx="42">
                  <c:v>45644</c:v>
                </c:pt>
                <c:pt idx="43">
                  <c:v>45637</c:v>
                </c:pt>
                <c:pt idx="44">
                  <c:v>45630</c:v>
                </c:pt>
                <c:pt idx="45">
                  <c:v>45623</c:v>
                </c:pt>
                <c:pt idx="46">
                  <c:v>45616</c:v>
                </c:pt>
                <c:pt idx="47">
                  <c:v>45609</c:v>
                </c:pt>
                <c:pt idx="48">
                  <c:v>45602</c:v>
                </c:pt>
                <c:pt idx="49">
                  <c:v>45595</c:v>
                </c:pt>
                <c:pt idx="50">
                  <c:v>45588</c:v>
                </c:pt>
                <c:pt idx="51">
                  <c:v>45581</c:v>
                </c:pt>
                <c:pt idx="52">
                  <c:v>45574</c:v>
                </c:pt>
                <c:pt idx="53">
                  <c:v>45567</c:v>
                </c:pt>
                <c:pt idx="54">
                  <c:v>45560</c:v>
                </c:pt>
                <c:pt idx="55">
                  <c:v>45553</c:v>
                </c:pt>
                <c:pt idx="56">
                  <c:v>45546</c:v>
                </c:pt>
                <c:pt idx="57">
                  <c:v>45539</c:v>
                </c:pt>
                <c:pt idx="58">
                  <c:v>45532</c:v>
                </c:pt>
                <c:pt idx="59">
                  <c:v>45525</c:v>
                </c:pt>
                <c:pt idx="60">
                  <c:v>45518</c:v>
                </c:pt>
                <c:pt idx="61">
                  <c:v>45511</c:v>
                </c:pt>
                <c:pt idx="62">
                  <c:v>45504</c:v>
                </c:pt>
                <c:pt idx="63">
                  <c:v>45497</c:v>
                </c:pt>
                <c:pt idx="64">
                  <c:v>45490</c:v>
                </c:pt>
                <c:pt idx="65">
                  <c:v>45483</c:v>
                </c:pt>
                <c:pt idx="66">
                  <c:v>45476</c:v>
                </c:pt>
                <c:pt idx="67">
                  <c:v>45469</c:v>
                </c:pt>
                <c:pt idx="68">
                  <c:v>45462</c:v>
                </c:pt>
                <c:pt idx="69">
                  <c:v>45455</c:v>
                </c:pt>
                <c:pt idx="70">
                  <c:v>45448</c:v>
                </c:pt>
                <c:pt idx="71">
                  <c:v>45441</c:v>
                </c:pt>
                <c:pt idx="72">
                  <c:v>45434</c:v>
                </c:pt>
                <c:pt idx="73">
                  <c:v>45427</c:v>
                </c:pt>
                <c:pt idx="74">
                  <c:v>45420</c:v>
                </c:pt>
                <c:pt idx="75">
                  <c:v>45413</c:v>
                </c:pt>
                <c:pt idx="76">
                  <c:v>45406</c:v>
                </c:pt>
                <c:pt idx="77">
                  <c:v>45399</c:v>
                </c:pt>
                <c:pt idx="78">
                  <c:v>45392</c:v>
                </c:pt>
                <c:pt idx="79">
                  <c:v>45385</c:v>
                </c:pt>
                <c:pt idx="80">
                  <c:v>45378</c:v>
                </c:pt>
                <c:pt idx="81">
                  <c:v>45371</c:v>
                </c:pt>
                <c:pt idx="82">
                  <c:v>45364</c:v>
                </c:pt>
                <c:pt idx="83">
                  <c:v>45357</c:v>
                </c:pt>
                <c:pt idx="84">
                  <c:v>45350</c:v>
                </c:pt>
                <c:pt idx="85">
                  <c:v>45343</c:v>
                </c:pt>
                <c:pt idx="86">
                  <c:v>45336</c:v>
                </c:pt>
                <c:pt idx="87">
                  <c:v>45329</c:v>
                </c:pt>
                <c:pt idx="88">
                  <c:v>45322</c:v>
                </c:pt>
                <c:pt idx="89">
                  <c:v>45315</c:v>
                </c:pt>
                <c:pt idx="90">
                  <c:v>45308</c:v>
                </c:pt>
                <c:pt idx="91">
                  <c:v>45301</c:v>
                </c:pt>
                <c:pt idx="92">
                  <c:v>45294</c:v>
                </c:pt>
                <c:pt idx="93">
                  <c:v>45287</c:v>
                </c:pt>
                <c:pt idx="94">
                  <c:v>45280</c:v>
                </c:pt>
                <c:pt idx="95">
                  <c:v>45273</c:v>
                </c:pt>
                <c:pt idx="96">
                  <c:v>45266</c:v>
                </c:pt>
                <c:pt idx="97">
                  <c:v>45259</c:v>
                </c:pt>
                <c:pt idx="98">
                  <c:v>45252</c:v>
                </c:pt>
                <c:pt idx="99">
                  <c:v>45245</c:v>
                </c:pt>
                <c:pt idx="100">
                  <c:v>45238</c:v>
                </c:pt>
                <c:pt idx="101">
                  <c:v>45231</c:v>
                </c:pt>
                <c:pt idx="102">
                  <c:v>45224</c:v>
                </c:pt>
                <c:pt idx="103">
                  <c:v>45217</c:v>
                </c:pt>
                <c:pt idx="104">
                  <c:v>45210</c:v>
                </c:pt>
                <c:pt idx="105">
                  <c:v>45203</c:v>
                </c:pt>
                <c:pt idx="106">
                  <c:v>45196</c:v>
                </c:pt>
                <c:pt idx="107">
                  <c:v>45189</c:v>
                </c:pt>
                <c:pt idx="108">
                  <c:v>45182</c:v>
                </c:pt>
                <c:pt idx="109">
                  <c:v>45175</c:v>
                </c:pt>
                <c:pt idx="110">
                  <c:v>45168</c:v>
                </c:pt>
                <c:pt idx="111">
                  <c:v>45161</c:v>
                </c:pt>
                <c:pt idx="112">
                  <c:v>45154</c:v>
                </c:pt>
                <c:pt idx="113">
                  <c:v>45147</c:v>
                </c:pt>
                <c:pt idx="114">
                  <c:v>45140</c:v>
                </c:pt>
                <c:pt idx="115">
                  <c:v>45133</c:v>
                </c:pt>
                <c:pt idx="116">
                  <c:v>45126</c:v>
                </c:pt>
                <c:pt idx="117">
                  <c:v>45119</c:v>
                </c:pt>
                <c:pt idx="118">
                  <c:v>45112</c:v>
                </c:pt>
                <c:pt idx="119">
                  <c:v>45105</c:v>
                </c:pt>
                <c:pt idx="120">
                  <c:v>45098</c:v>
                </c:pt>
                <c:pt idx="121">
                  <c:v>45091</c:v>
                </c:pt>
                <c:pt idx="122">
                  <c:v>45084</c:v>
                </c:pt>
                <c:pt idx="123">
                  <c:v>45077</c:v>
                </c:pt>
                <c:pt idx="124">
                  <c:v>45070</c:v>
                </c:pt>
                <c:pt idx="125">
                  <c:v>45063</c:v>
                </c:pt>
                <c:pt idx="126">
                  <c:v>45056</c:v>
                </c:pt>
                <c:pt idx="127">
                  <c:v>45049</c:v>
                </c:pt>
                <c:pt idx="128">
                  <c:v>45042</c:v>
                </c:pt>
                <c:pt idx="129">
                  <c:v>45035</c:v>
                </c:pt>
                <c:pt idx="130">
                  <c:v>45028</c:v>
                </c:pt>
                <c:pt idx="131">
                  <c:v>45021</c:v>
                </c:pt>
                <c:pt idx="132">
                  <c:v>45014</c:v>
                </c:pt>
                <c:pt idx="133">
                  <c:v>45007</c:v>
                </c:pt>
                <c:pt idx="134">
                  <c:v>45000</c:v>
                </c:pt>
                <c:pt idx="135">
                  <c:v>44993</c:v>
                </c:pt>
                <c:pt idx="136">
                  <c:v>44986</c:v>
                </c:pt>
                <c:pt idx="137">
                  <c:v>44979</c:v>
                </c:pt>
                <c:pt idx="138">
                  <c:v>44972</c:v>
                </c:pt>
                <c:pt idx="139">
                  <c:v>44965</c:v>
                </c:pt>
                <c:pt idx="140">
                  <c:v>44958</c:v>
                </c:pt>
                <c:pt idx="141">
                  <c:v>44951</c:v>
                </c:pt>
                <c:pt idx="142">
                  <c:v>44944</c:v>
                </c:pt>
                <c:pt idx="143">
                  <c:v>44937</c:v>
                </c:pt>
                <c:pt idx="144">
                  <c:v>44930</c:v>
                </c:pt>
                <c:pt idx="145">
                  <c:v>44923</c:v>
                </c:pt>
                <c:pt idx="146">
                  <c:v>44916</c:v>
                </c:pt>
                <c:pt idx="147">
                  <c:v>44909</c:v>
                </c:pt>
                <c:pt idx="148">
                  <c:v>44902</c:v>
                </c:pt>
                <c:pt idx="149">
                  <c:v>44895</c:v>
                </c:pt>
                <c:pt idx="150">
                  <c:v>44888</c:v>
                </c:pt>
                <c:pt idx="151">
                  <c:v>44881</c:v>
                </c:pt>
                <c:pt idx="152">
                  <c:v>44874</c:v>
                </c:pt>
                <c:pt idx="153">
                  <c:v>44867</c:v>
                </c:pt>
                <c:pt idx="154">
                  <c:v>44860</c:v>
                </c:pt>
              </c:numCache>
            </c:numRef>
          </c:cat>
          <c:val>
            <c:numRef>
              <c:f>'Stock Data'!$AK$5:$AK$159</c:f>
              <c:numCache>
                <c:formatCode>General</c:formatCode>
                <c:ptCount val="155"/>
                <c:pt idx="0">
                  <c:v>0.78240358532845855</c:v>
                </c:pt>
                <c:pt idx="1">
                  <c:v>0.78240358532845855</c:v>
                </c:pt>
                <c:pt idx="2">
                  <c:v>0.78352400047175375</c:v>
                </c:pt>
                <c:pt idx="3">
                  <c:v>0.79325392145300155</c:v>
                </c:pt>
                <c:pt idx="4">
                  <c:v>0.80752447222549817</c:v>
                </c:pt>
                <c:pt idx="5">
                  <c:v>0.85729449227503229</c:v>
                </c:pt>
                <c:pt idx="6">
                  <c:v>0.85971223021582721</c:v>
                </c:pt>
                <c:pt idx="7">
                  <c:v>0.84048826512560437</c:v>
                </c:pt>
                <c:pt idx="8">
                  <c:v>0.86006604552423627</c:v>
                </c:pt>
                <c:pt idx="9">
                  <c:v>0.84626724849628487</c:v>
                </c:pt>
                <c:pt idx="10">
                  <c:v>0.84839014034673899</c:v>
                </c:pt>
                <c:pt idx="11">
                  <c:v>0.88359476353343547</c:v>
                </c:pt>
                <c:pt idx="12">
                  <c:v>0.89302983842434236</c:v>
                </c:pt>
                <c:pt idx="13">
                  <c:v>0.90028305224672711</c:v>
                </c:pt>
                <c:pt idx="14">
                  <c:v>0.90234697487911308</c:v>
                </c:pt>
                <c:pt idx="15">
                  <c:v>0.84172661870503596</c:v>
                </c:pt>
                <c:pt idx="16">
                  <c:v>0.81973110036560903</c:v>
                </c:pt>
                <c:pt idx="17">
                  <c:v>0.83087628258049295</c:v>
                </c:pt>
                <c:pt idx="18">
                  <c:v>0.82621771435310765</c:v>
                </c:pt>
                <c:pt idx="19">
                  <c:v>0.81754923929708678</c:v>
                </c:pt>
                <c:pt idx="20">
                  <c:v>0.82185399221606315</c:v>
                </c:pt>
                <c:pt idx="21">
                  <c:v>0.8720957660101426</c:v>
                </c:pt>
                <c:pt idx="22">
                  <c:v>0.78399575421629897</c:v>
                </c:pt>
                <c:pt idx="23">
                  <c:v>0.77002004953414316</c:v>
                </c:pt>
                <c:pt idx="24">
                  <c:v>0.76872272673664355</c:v>
                </c:pt>
                <c:pt idx="25">
                  <c:v>0.73552305696426468</c:v>
                </c:pt>
                <c:pt idx="26">
                  <c:v>0.83529897393560559</c:v>
                </c:pt>
                <c:pt idx="27">
                  <c:v>0.90093171364547697</c:v>
                </c:pt>
                <c:pt idx="28">
                  <c:v>0.89273499233400155</c:v>
                </c:pt>
                <c:pt idx="29">
                  <c:v>0.8671423516924166</c:v>
                </c:pt>
                <c:pt idx="30">
                  <c:v>0.91077957306286106</c:v>
                </c:pt>
                <c:pt idx="31">
                  <c:v>0.94374336596296726</c:v>
                </c:pt>
                <c:pt idx="32">
                  <c:v>0.94539450406887593</c:v>
                </c:pt>
                <c:pt idx="33">
                  <c:v>0.99805401580375042</c:v>
                </c:pt>
                <c:pt idx="34">
                  <c:v>0.97081023705625658</c:v>
                </c:pt>
                <c:pt idx="35">
                  <c:v>1.0053072296261349</c:v>
                </c:pt>
                <c:pt idx="36">
                  <c:v>1.0138577662460195</c:v>
                </c:pt>
                <c:pt idx="37">
                  <c:v>1.0314011086212995</c:v>
                </c:pt>
                <c:pt idx="38">
                  <c:v>1.1000707630616817</c:v>
                </c:pt>
                <c:pt idx="39">
                  <c:v>1.048649604906239</c:v>
                </c:pt>
                <c:pt idx="40">
                  <c:v>1.0041868144828399</c:v>
                </c:pt>
                <c:pt idx="41">
                  <c:v>1.0041868144828399</c:v>
                </c:pt>
                <c:pt idx="42">
                  <c:v>1.0041868144828399</c:v>
                </c:pt>
                <c:pt idx="43">
                  <c:v>1.0732987380587331</c:v>
                </c:pt>
                <c:pt idx="44">
                  <c:v>1.0916971340960018</c:v>
                </c:pt>
                <c:pt idx="45">
                  <c:v>1.1222431890553131</c:v>
                </c:pt>
                <c:pt idx="46">
                  <c:v>1.070763061681802</c:v>
                </c:pt>
                <c:pt idx="47">
                  <c:v>1.1156976058497463</c:v>
                </c:pt>
                <c:pt idx="48">
                  <c:v>1.1370444627904233</c:v>
                </c:pt>
                <c:pt idx="49">
                  <c:v>1.0725321382238471</c:v>
                </c:pt>
                <c:pt idx="50">
                  <c:v>1.0346149310060146</c:v>
                </c:pt>
                <c:pt idx="51">
                  <c:v>1.0623304634980539</c:v>
                </c:pt>
                <c:pt idx="52">
                  <c:v>0.97941974289420919</c:v>
                </c:pt>
                <c:pt idx="53">
                  <c:v>0.99150843259818355</c:v>
                </c:pt>
                <c:pt idx="54">
                  <c:v>1.0127373511027244</c:v>
                </c:pt>
                <c:pt idx="55">
                  <c:v>0.99864370798443203</c:v>
                </c:pt>
                <c:pt idx="56">
                  <c:v>0.99811298502181844</c:v>
                </c:pt>
                <c:pt idx="57">
                  <c:v>1.0191060266540866</c:v>
                </c:pt>
                <c:pt idx="58">
                  <c:v>1.0270668710932891</c:v>
                </c:pt>
                <c:pt idx="59">
                  <c:v>1.0349097770963556</c:v>
                </c:pt>
                <c:pt idx="60">
                  <c:v>0.96491331524943968</c:v>
                </c:pt>
                <c:pt idx="61">
                  <c:v>0.96054959311239518</c:v>
                </c:pt>
                <c:pt idx="62">
                  <c:v>1.021052010850336</c:v>
                </c:pt>
                <c:pt idx="63">
                  <c:v>0.9659157919565986</c:v>
                </c:pt>
                <c:pt idx="64">
                  <c:v>0.96650548413728032</c:v>
                </c:pt>
                <c:pt idx="65">
                  <c:v>0.94221016629319487</c:v>
                </c:pt>
                <c:pt idx="66">
                  <c:v>0.9359004599599009</c:v>
                </c:pt>
                <c:pt idx="67">
                  <c:v>0.92658332350513017</c:v>
                </c:pt>
                <c:pt idx="68">
                  <c:v>0.94922750324330696</c:v>
                </c:pt>
                <c:pt idx="69">
                  <c:v>0.94922750324330696</c:v>
                </c:pt>
                <c:pt idx="70">
                  <c:v>0.93855407477296837</c:v>
                </c:pt>
                <c:pt idx="71">
                  <c:v>0.9119589574242245</c:v>
                </c:pt>
                <c:pt idx="72">
                  <c:v>0.93159570704092454</c:v>
                </c:pt>
                <c:pt idx="73">
                  <c:v>0.98826512560443447</c:v>
                </c:pt>
                <c:pt idx="74">
                  <c:v>0.98920863309352514</c:v>
                </c:pt>
                <c:pt idx="75">
                  <c:v>0.96426465385068993</c:v>
                </c:pt>
                <c:pt idx="76">
                  <c:v>0.97081023705625658</c:v>
                </c:pt>
                <c:pt idx="77">
                  <c:v>0.99144946338011553</c:v>
                </c:pt>
                <c:pt idx="78">
                  <c:v>1.1097417148248614</c:v>
                </c:pt>
                <c:pt idx="79">
                  <c:v>1.1627550418681447</c:v>
                </c:pt>
                <c:pt idx="80">
                  <c:v>1.1510791366906474</c:v>
                </c:pt>
                <c:pt idx="81">
                  <c:v>1.150253567637693</c:v>
                </c:pt>
                <c:pt idx="82">
                  <c:v>1.188052836419389</c:v>
                </c:pt>
                <c:pt idx="83">
                  <c:v>1.1783229154381412</c:v>
                </c:pt>
                <c:pt idx="84">
                  <c:v>1.2100483547588157</c:v>
                </c:pt>
                <c:pt idx="85">
                  <c:v>1.1981365727090458</c:v>
                </c:pt>
                <c:pt idx="86">
                  <c:v>1.282934308291072</c:v>
                </c:pt>
                <c:pt idx="87">
                  <c:v>1.2630027125840311</c:v>
                </c:pt>
                <c:pt idx="88">
                  <c:v>1.1851633447340486</c:v>
                </c:pt>
                <c:pt idx="89">
                  <c:v>1.2012619412666588</c:v>
                </c:pt>
                <c:pt idx="90">
                  <c:v>1.1304988795848567</c:v>
                </c:pt>
                <c:pt idx="91">
                  <c:v>1.1379290010614458</c:v>
                </c:pt>
                <c:pt idx="92">
                  <c:v>1.1319141408184925</c:v>
                </c:pt>
                <c:pt idx="93">
                  <c:v>1.192652435428706</c:v>
                </c:pt>
                <c:pt idx="94">
                  <c:v>1.1651138105908716</c:v>
                </c:pt>
                <c:pt idx="95">
                  <c:v>1.1558556433541689</c:v>
                </c:pt>
                <c:pt idx="96">
                  <c:v>1.1090930534261116</c:v>
                </c:pt>
                <c:pt idx="97">
                  <c:v>1.0735346149310061</c:v>
                </c:pt>
                <c:pt idx="98">
                  <c:v>1.0681684160868026</c:v>
                </c:pt>
                <c:pt idx="99">
                  <c:v>1.0728859535322561</c:v>
                </c:pt>
                <c:pt idx="100">
                  <c:v>1.0319613161929473</c:v>
                </c:pt>
                <c:pt idx="101">
                  <c:v>1.0198726264889726</c:v>
                </c:pt>
                <c:pt idx="102">
                  <c:v>1.0027125840311357</c:v>
                </c:pt>
                <c:pt idx="103">
                  <c:v>1.0536030192239649</c:v>
                </c:pt>
                <c:pt idx="104">
                  <c:v>1.142587569288831</c:v>
                </c:pt>
                <c:pt idx="105">
                  <c:v>1.1046113928529306</c:v>
                </c:pt>
                <c:pt idx="106">
                  <c:v>1.0944097181271375</c:v>
                </c:pt>
                <c:pt idx="107">
                  <c:v>1.1421158155442859</c:v>
                </c:pt>
                <c:pt idx="108">
                  <c:v>1.1165821441207688</c:v>
                </c:pt>
                <c:pt idx="109">
                  <c:v>1.0943507489090694</c:v>
                </c:pt>
                <c:pt idx="110">
                  <c:v>1.120474112513268</c:v>
                </c:pt>
                <c:pt idx="111">
                  <c:v>1.1236584502889491</c:v>
                </c:pt>
                <c:pt idx="112">
                  <c:v>1.1363368321736051</c:v>
                </c:pt>
                <c:pt idx="113">
                  <c:v>1.19961080316075</c:v>
                </c:pt>
                <c:pt idx="114">
                  <c:v>1.2082203089987025</c:v>
                </c:pt>
                <c:pt idx="115">
                  <c:v>1.1960726500766599</c:v>
                </c:pt>
                <c:pt idx="116">
                  <c:v>1.1512560443448518</c:v>
                </c:pt>
                <c:pt idx="117">
                  <c:v>1.0891024885010023</c:v>
                </c:pt>
                <c:pt idx="118">
                  <c:v>1.0584384951055548</c:v>
                </c:pt>
                <c:pt idx="119">
                  <c:v>1.0546644651491921</c:v>
                </c:pt>
                <c:pt idx="120">
                  <c:v>1.0399811298502182</c:v>
                </c:pt>
                <c:pt idx="121">
                  <c:v>1.0283641938907888</c:v>
                </c:pt>
                <c:pt idx="122">
                  <c:v>1.034025238825333</c:v>
                </c:pt>
                <c:pt idx="123">
                  <c:v>0.98460903408420797</c:v>
                </c:pt>
                <c:pt idx="124">
                  <c:v>0.99215709399693353</c:v>
                </c:pt>
                <c:pt idx="125">
                  <c:v>1.0149781813893148</c:v>
                </c:pt>
                <c:pt idx="126">
                  <c:v>1.0414553603019223</c:v>
                </c:pt>
                <c:pt idx="127">
                  <c:v>1.0316075008845382</c:v>
                </c:pt>
                <c:pt idx="128">
                  <c:v>0.97664818964500522</c:v>
                </c:pt>
                <c:pt idx="129">
                  <c:v>1.0520698195541927</c:v>
                </c:pt>
                <c:pt idx="130">
                  <c:v>1.0347328694421511</c:v>
                </c:pt>
                <c:pt idx="131">
                  <c:v>1.0040099068286352</c:v>
                </c:pt>
                <c:pt idx="132">
                  <c:v>1.0087274442740888</c:v>
                </c:pt>
                <c:pt idx="133">
                  <c:v>0.9847859417384125</c:v>
                </c:pt>
                <c:pt idx="134">
                  <c:v>0.9952234933364783</c:v>
                </c:pt>
                <c:pt idx="135">
                  <c:v>1.0826158745135039</c:v>
                </c:pt>
                <c:pt idx="136">
                  <c:v>1.0741243071116877</c:v>
                </c:pt>
                <c:pt idx="137">
                  <c:v>1.076659983488619</c:v>
                </c:pt>
                <c:pt idx="138">
                  <c:v>1.1345677556315603</c:v>
                </c:pt>
                <c:pt idx="139">
                  <c:v>1.1659983488618939</c:v>
                </c:pt>
                <c:pt idx="140">
                  <c:v>1.1555607972638282</c:v>
                </c:pt>
                <c:pt idx="141">
                  <c:v>1.1122184219837246</c:v>
                </c:pt>
                <c:pt idx="142">
                  <c:v>1.091048472697252</c:v>
                </c:pt>
                <c:pt idx="143">
                  <c:v>1.0654558320556669</c:v>
                </c:pt>
                <c:pt idx="144">
                  <c:v>1.0318433777568108</c:v>
                </c:pt>
                <c:pt idx="145">
                  <c:v>1.0287769784172662</c:v>
                </c:pt>
                <c:pt idx="146">
                  <c:v>1.0494751739591932</c:v>
                </c:pt>
                <c:pt idx="147">
                  <c:v>1.1043165467625899</c:v>
                </c:pt>
                <c:pt idx="148">
                  <c:v>1.0396273145418091</c:v>
                </c:pt>
                <c:pt idx="149">
                  <c:v>1.0843849510555488</c:v>
                </c:pt>
                <c:pt idx="150">
                  <c:v>1.0635688170774855</c:v>
                </c:pt>
                <c:pt idx="151">
                  <c:v>1.0638636631678262</c:v>
                </c:pt>
                <c:pt idx="152">
                  <c:v>1.006309706333294</c:v>
                </c:pt>
                <c:pt idx="153">
                  <c:v>0.988442033258639</c:v>
                </c:pt>
                <c:pt idx="154">
                  <c:v>1</c:v>
                </c:pt>
              </c:numCache>
            </c:numRef>
          </c:val>
          <c:smooth val="0"/>
          <c:extLst>
            <c:ext xmlns:c16="http://schemas.microsoft.com/office/drawing/2014/chart" uri="{C3380CC4-5D6E-409C-BE32-E72D297353CC}">
              <c16:uniqueId val="{00000005-7FCB-4865-8E32-ABAA033EDCFC}"/>
            </c:ext>
          </c:extLst>
        </c:ser>
        <c:dLbls>
          <c:showLegendKey val="0"/>
          <c:showVal val="0"/>
          <c:showCatName val="0"/>
          <c:showSerName val="0"/>
          <c:showPercent val="0"/>
          <c:showBubbleSize val="0"/>
        </c:dLbls>
        <c:smooth val="0"/>
        <c:axId val="1046459376"/>
        <c:axId val="1046460032"/>
      </c:lineChart>
      <c:dateAx>
        <c:axId val="104645937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46460032"/>
        <c:crosses val="autoZero"/>
        <c:auto val="1"/>
        <c:lblOffset val="100"/>
        <c:baseTimeUnit val="days"/>
      </c:dateAx>
      <c:valAx>
        <c:axId val="104646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46459376"/>
        <c:crosses val="autoZero"/>
        <c:crossBetween val="between"/>
      </c:valAx>
      <c:spPr>
        <a:noFill/>
        <a:ln>
          <a:noFill/>
        </a:ln>
        <a:effectLst/>
      </c:spPr>
    </c:plotArea>
    <c:legend>
      <c:legendPos val="b"/>
      <c:layout>
        <c:manualLayout>
          <c:xMode val="edge"/>
          <c:yMode val="edge"/>
          <c:x val="0"/>
          <c:y val="0.86841770168981003"/>
          <c:w val="1"/>
          <c:h val="0.11413088286756529"/>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Global transportation and Logistics Market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Industry!$D$12:$K$12</c:f>
              <c:strCache>
                <c:ptCount val="8"/>
                <c:pt idx="0">
                  <c:v>1,272,945 </c:v>
                </c:pt>
                <c:pt idx="1">
                  <c:v>1,337,993 </c:v>
                </c:pt>
                <c:pt idx="2">
                  <c:v>1,406,364 </c:v>
                </c:pt>
                <c:pt idx="3">
                  <c:v>1,478,229 </c:v>
                </c:pt>
                <c:pt idx="4">
                  <c:v>1,553,767 </c:v>
                </c:pt>
                <c:pt idx="5">
                  <c:v>1,633,164 </c:v>
                </c:pt>
                <c:pt idx="6">
                  <c:v>1,716,619 </c:v>
                </c:pt>
                <c:pt idx="7">
                  <c:v>1,804,338 </c:v>
                </c:pt>
              </c:strCache>
            </c:strRef>
          </c:tx>
          <c:spPr>
            <a:solidFill>
              <a:schemeClr val="accent1"/>
            </a:solidFill>
            <a:ln>
              <a:noFill/>
            </a:ln>
            <a:effectLst/>
            <a:sp3d/>
          </c:spPr>
          <c:invertIfNegative val="0"/>
          <c:dPt>
            <c:idx val="0"/>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0A-3DA4-4176-9D90-3B04848B0222}"/>
              </c:ext>
            </c:extLst>
          </c:dPt>
          <c:dPt>
            <c:idx val="1"/>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08-3DA4-4176-9D90-3B04848B0222}"/>
              </c:ext>
            </c:extLst>
          </c:dPt>
          <c:dPt>
            <c:idx val="2"/>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09-3DA4-4176-9D90-3B04848B0222}"/>
              </c:ext>
            </c:extLst>
          </c:dPt>
          <c:cat>
            <c:numRef>
              <c:f>Industry!$D$9:$K$9</c:f>
              <c:numCache>
                <c:formatCode>0"A"</c:formatCode>
                <c:ptCount val="8"/>
                <c:pt idx="0">
                  <c:v>2022</c:v>
                </c:pt>
                <c:pt idx="1">
                  <c:v>2023</c:v>
                </c:pt>
                <c:pt idx="2">
                  <c:v>2024</c:v>
                </c:pt>
                <c:pt idx="3" formatCode="0&quot;E&quot;">
                  <c:v>2025</c:v>
                </c:pt>
                <c:pt idx="4" formatCode="0&quot;E&quot;">
                  <c:v>2026</c:v>
                </c:pt>
                <c:pt idx="5" formatCode="0&quot;E&quot;">
                  <c:v>2027</c:v>
                </c:pt>
                <c:pt idx="6" formatCode="0&quot;E&quot;">
                  <c:v>2028</c:v>
                </c:pt>
                <c:pt idx="7" formatCode="0&quot;E&quot;">
                  <c:v>2029</c:v>
                </c:pt>
              </c:numCache>
            </c:numRef>
          </c:cat>
          <c:val>
            <c:numRef>
              <c:f>Industry!$D$12:$K$12</c:f>
              <c:numCache>
                <c:formatCode>#,##0_);\(#,##0\)</c:formatCode>
                <c:ptCount val="8"/>
                <c:pt idx="0">
                  <c:v>1272945.166</c:v>
                </c:pt>
                <c:pt idx="1">
                  <c:v>1337992.6639826</c:v>
                </c:pt>
                <c:pt idx="2">
                  <c:v>1406364.0891121107</c:v>
                </c:pt>
                <c:pt idx="3">
                  <c:v>1478229.2940657395</c:v>
                </c:pt>
                <c:pt idx="4">
                  <c:v>1553766.8109924986</c:v>
                </c:pt>
                <c:pt idx="5">
                  <c:v>1633164.2950342153</c:v>
                </c:pt>
                <c:pt idx="6">
                  <c:v>1716618.9905104635</c:v>
                </c:pt>
                <c:pt idx="7">
                  <c:v>1804338.2209255481</c:v>
                </c:pt>
              </c:numCache>
            </c:numRef>
          </c:val>
          <c:extLst>
            <c:ext xmlns:c16="http://schemas.microsoft.com/office/drawing/2014/chart" uri="{C3380CC4-5D6E-409C-BE32-E72D297353CC}">
              <c16:uniqueId val="{00000000-3DA4-4176-9D90-3B04848B0222}"/>
            </c:ext>
          </c:extLst>
        </c:ser>
        <c:dLbls>
          <c:showLegendKey val="0"/>
          <c:showVal val="0"/>
          <c:showCatName val="0"/>
          <c:showSerName val="0"/>
          <c:showPercent val="0"/>
          <c:showBubbleSize val="0"/>
        </c:dLbls>
        <c:gapWidth val="150"/>
        <c:shape val="box"/>
        <c:axId val="457646607"/>
        <c:axId val="457668687"/>
        <c:axId val="0"/>
      </c:bar3DChart>
      <c:catAx>
        <c:axId val="457646607"/>
        <c:scaling>
          <c:orientation val="minMax"/>
        </c:scaling>
        <c:delete val="0"/>
        <c:axPos val="b"/>
        <c:numFmt formatCode="0&quot;A&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668687"/>
        <c:crosses val="autoZero"/>
        <c:auto val="1"/>
        <c:lblAlgn val="ctr"/>
        <c:lblOffset val="100"/>
        <c:noMultiLvlLbl val="0"/>
      </c:catAx>
      <c:valAx>
        <c:axId val="45766868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64660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E-commerce Market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chemeClr val="accent1"/>
            </a:solidFill>
            <a:ln>
              <a:noFill/>
            </a:ln>
            <a:effectLst/>
            <a:sp3d/>
          </c:spPr>
          <c:invertIfNegative val="0"/>
          <c:dPt>
            <c:idx val="0"/>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11-172D-42BB-8FC4-C950F399904B}"/>
              </c:ext>
            </c:extLst>
          </c:dPt>
          <c:dPt>
            <c:idx val="1"/>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10-172D-42BB-8FC4-C950F399904B}"/>
              </c:ext>
            </c:extLst>
          </c:dPt>
          <c:dPt>
            <c:idx val="2"/>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0F-172D-42BB-8FC4-C950F399904B}"/>
              </c:ext>
            </c:extLst>
          </c:dPt>
          <c:cat>
            <c:numRef>
              <c:f>Industry!$D$9:$K$9</c:f>
              <c:numCache>
                <c:formatCode>0"A"</c:formatCode>
                <c:ptCount val="8"/>
                <c:pt idx="0">
                  <c:v>2022</c:v>
                </c:pt>
                <c:pt idx="1">
                  <c:v>2023</c:v>
                </c:pt>
                <c:pt idx="2">
                  <c:v>2024</c:v>
                </c:pt>
                <c:pt idx="3" formatCode="0&quot;E&quot;">
                  <c:v>2025</c:v>
                </c:pt>
                <c:pt idx="4" formatCode="0&quot;E&quot;">
                  <c:v>2026</c:v>
                </c:pt>
                <c:pt idx="5" formatCode="0&quot;E&quot;">
                  <c:v>2027</c:v>
                </c:pt>
                <c:pt idx="6" formatCode="0&quot;E&quot;">
                  <c:v>2028</c:v>
                </c:pt>
                <c:pt idx="7" formatCode="0&quot;E&quot;">
                  <c:v>2029</c:v>
                </c:pt>
              </c:numCache>
            </c:numRef>
          </c:cat>
          <c:val>
            <c:numRef>
              <c:f>Industry!$D$14:$K$14</c:f>
              <c:numCache>
                <c:formatCode>#,##0_);\(#,##0\)</c:formatCode>
                <c:ptCount val="8"/>
                <c:pt idx="0">
                  <c:v>30830770</c:v>
                </c:pt>
                <c:pt idx="1">
                  <c:v>36657785.530000001</c:v>
                </c:pt>
                <c:pt idx="2">
                  <c:v>43586106.995170005</c:v>
                </c:pt>
                <c:pt idx="3">
                  <c:v>51823881.217257135</c:v>
                </c:pt>
                <c:pt idx="4">
                  <c:v>61618594.767318733</c:v>
                </c:pt>
                <c:pt idx="5">
                  <c:v>73264509.17834197</c:v>
                </c:pt>
                <c:pt idx="6">
                  <c:v>87111501.41304861</c:v>
                </c:pt>
                <c:pt idx="7">
                  <c:v>83260000</c:v>
                </c:pt>
              </c:numCache>
            </c:numRef>
          </c:val>
          <c:extLst>
            <c:ext xmlns:c16="http://schemas.microsoft.com/office/drawing/2014/chart" uri="{C3380CC4-5D6E-409C-BE32-E72D297353CC}">
              <c16:uniqueId val="{00000000-172D-42BB-8FC4-C950F399904B}"/>
            </c:ext>
          </c:extLst>
        </c:ser>
        <c:dLbls>
          <c:showLegendKey val="0"/>
          <c:showVal val="0"/>
          <c:showCatName val="0"/>
          <c:showSerName val="0"/>
          <c:showPercent val="0"/>
          <c:showBubbleSize val="0"/>
        </c:dLbls>
        <c:gapWidth val="150"/>
        <c:shape val="box"/>
        <c:axId val="53321823"/>
        <c:axId val="53306463"/>
        <c:axId val="0"/>
      </c:bar3DChart>
      <c:catAx>
        <c:axId val="53321823"/>
        <c:scaling>
          <c:orientation val="minMax"/>
        </c:scaling>
        <c:delete val="0"/>
        <c:axPos val="b"/>
        <c:numFmt formatCode="0&quot;A&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06463"/>
        <c:crosses val="autoZero"/>
        <c:auto val="1"/>
        <c:lblAlgn val="ctr"/>
        <c:lblOffset val="100"/>
        <c:noMultiLvlLbl val="0"/>
      </c:catAx>
      <c:valAx>
        <c:axId val="53306463"/>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21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E-commerce Market Size 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chemeClr val="accent1"/>
            </a:solidFill>
            <a:ln>
              <a:noFill/>
            </a:ln>
            <a:effectLst/>
            <a:sp3d/>
          </c:spPr>
          <c:invertIfNegative val="0"/>
          <c:cat>
            <c:multiLvlStrRef>
              <c:f>Industry!$D$9:$K$10</c:f>
              <c:multiLvlStrCache>
                <c:ptCount val="8"/>
                <c:lvl/>
                <c:lvl>
                  <c:pt idx="0">
                    <c:v>2022A</c:v>
                  </c:pt>
                  <c:pt idx="1">
                    <c:v>2023A</c:v>
                  </c:pt>
                  <c:pt idx="2">
                    <c:v>2024A</c:v>
                  </c:pt>
                  <c:pt idx="3">
                    <c:v>2025E</c:v>
                  </c:pt>
                  <c:pt idx="4">
                    <c:v>2026E</c:v>
                  </c:pt>
                  <c:pt idx="5">
                    <c:v>2027E</c:v>
                  </c:pt>
                  <c:pt idx="6">
                    <c:v>2028E</c:v>
                  </c:pt>
                  <c:pt idx="7">
                    <c:v>2029E</c:v>
                  </c:pt>
                </c:lvl>
              </c:multiLvlStrCache>
            </c:multiLvlStrRef>
          </c:cat>
          <c:val>
            <c:numRef>
              <c:f>Industry!$D$9:$K$9</c:f>
              <c:numCache>
                <c:formatCode>0"A"</c:formatCode>
                <c:ptCount val="8"/>
                <c:pt idx="0">
                  <c:v>2022</c:v>
                </c:pt>
                <c:pt idx="1">
                  <c:v>2023</c:v>
                </c:pt>
                <c:pt idx="2">
                  <c:v>2024</c:v>
                </c:pt>
                <c:pt idx="3" formatCode="0&quot;E&quot;">
                  <c:v>2025</c:v>
                </c:pt>
                <c:pt idx="4" formatCode="0&quot;E&quot;">
                  <c:v>2026</c:v>
                </c:pt>
                <c:pt idx="5" formatCode="0&quot;E&quot;">
                  <c:v>2027</c:v>
                </c:pt>
                <c:pt idx="6" formatCode="0&quot;E&quot;">
                  <c:v>2028</c:v>
                </c:pt>
                <c:pt idx="7" formatCode="0&quot;E&quot;">
                  <c:v>2029</c:v>
                </c:pt>
              </c:numCache>
            </c:numRef>
          </c:val>
          <c:extLst>
            <c:ext xmlns:c16="http://schemas.microsoft.com/office/drawing/2014/chart" uri="{C3380CC4-5D6E-409C-BE32-E72D297353CC}">
              <c16:uniqueId val="{00000006-8F3E-4592-998E-2CD178F928B2}"/>
            </c:ext>
          </c:extLst>
        </c:ser>
        <c:ser>
          <c:idx val="1"/>
          <c:order val="1"/>
          <c:spPr>
            <a:solidFill>
              <a:schemeClr val="accent2"/>
            </a:solidFill>
            <a:ln>
              <a:noFill/>
            </a:ln>
            <a:effectLst/>
            <a:sp3d/>
          </c:spPr>
          <c:invertIfNegative val="0"/>
          <c:dPt>
            <c:idx val="3"/>
            <c:invertIfNegative val="0"/>
            <c:bubble3D val="0"/>
            <c:spPr>
              <a:solidFill>
                <a:srgbClr val="7B1314"/>
              </a:solidFill>
              <a:ln>
                <a:noFill/>
              </a:ln>
              <a:effectLst/>
              <a:sp3d/>
            </c:spPr>
            <c:extLst>
              <c:ext xmlns:c16="http://schemas.microsoft.com/office/drawing/2014/chart" uri="{C3380CC4-5D6E-409C-BE32-E72D297353CC}">
                <c16:uniqueId val="{0000000C-8F3E-4592-998E-2CD178F928B2}"/>
              </c:ext>
            </c:extLst>
          </c:dPt>
          <c:dPt>
            <c:idx val="4"/>
            <c:invertIfNegative val="0"/>
            <c:bubble3D val="0"/>
            <c:spPr>
              <a:solidFill>
                <a:srgbClr val="7B1314"/>
              </a:solidFill>
              <a:ln>
                <a:noFill/>
              </a:ln>
              <a:effectLst/>
              <a:sp3d/>
            </c:spPr>
            <c:extLst>
              <c:ext xmlns:c16="http://schemas.microsoft.com/office/drawing/2014/chart" uri="{C3380CC4-5D6E-409C-BE32-E72D297353CC}">
                <c16:uniqueId val="{0000000B-8F3E-4592-998E-2CD178F928B2}"/>
              </c:ext>
            </c:extLst>
          </c:dPt>
          <c:dPt>
            <c:idx val="5"/>
            <c:invertIfNegative val="0"/>
            <c:bubble3D val="0"/>
            <c:spPr>
              <a:solidFill>
                <a:srgbClr val="7B1314"/>
              </a:solidFill>
              <a:ln>
                <a:noFill/>
              </a:ln>
              <a:effectLst/>
              <a:sp3d/>
            </c:spPr>
            <c:extLst>
              <c:ext xmlns:c16="http://schemas.microsoft.com/office/drawing/2014/chart" uri="{C3380CC4-5D6E-409C-BE32-E72D297353CC}">
                <c16:uniqueId val="{0000000A-8F3E-4592-998E-2CD178F928B2}"/>
              </c:ext>
            </c:extLst>
          </c:dPt>
          <c:dPt>
            <c:idx val="6"/>
            <c:invertIfNegative val="0"/>
            <c:bubble3D val="0"/>
            <c:spPr>
              <a:solidFill>
                <a:srgbClr val="7B1314"/>
              </a:solidFill>
              <a:ln>
                <a:noFill/>
              </a:ln>
              <a:effectLst/>
              <a:sp3d/>
            </c:spPr>
            <c:extLst>
              <c:ext xmlns:c16="http://schemas.microsoft.com/office/drawing/2014/chart" uri="{C3380CC4-5D6E-409C-BE32-E72D297353CC}">
                <c16:uniqueId val="{00000009-8F3E-4592-998E-2CD178F928B2}"/>
              </c:ext>
            </c:extLst>
          </c:dPt>
          <c:dPt>
            <c:idx val="7"/>
            <c:invertIfNegative val="0"/>
            <c:bubble3D val="0"/>
            <c:spPr>
              <a:solidFill>
                <a:srgbClr val="7B1314"/>
              </a:solidFill>
              <a:ln>
                <a:noFill/>
              </a:ln>
              <a:effectLst/>
              <a:sp3d/>
            </c:spPr>
            <c:extLst>
              <c:ext xmlns:c16="http://schemas.microsoft.com/office/drawing/2014/chart" uri="{C3380CC4-5D6E-409C-BE32-E72D297353CC}">
                <c16:uniqueId val="{00000008-8F3E-4592-998E-2CD178F928B2}"/>
              </c:ext>
            </c:extLst>
          </c:dPt>
          <c:cat>
            <c:multiLvlStrRef>
              <c:f>Industry!$D$9:$K$10</c:f>
              <c:multiLvlStrCache>
                <c:ptCount val="8"/>
                <c:lvl/>
                <c:lvl>
                  <c:pt idx="0">
                    <c:v>2022A</c:v>
                  </c:pt>
                  <c:pt idx="1">
                    <c:v>2023A</c:v>
                  </c:pt>
                  <c:pt idx="2">
                    <c:v>2024A</c:v>
                  </c:pt>
                  <c:pt idx="3">
                    <c:v>2025E</c:v>
                  </c:pt>
                  <c:pt idx="4">
                    <c:v>2026E</c:v>
                  </c:pt>
                  <c:pt idx="5">
                    <c:v>2027E</c:v>
                  </c:pt>
                  <c:pt idx="6">
                    <c:v>2028E</c:v>
                  </c:pt>
                  <c:pt idx="7">
                    <c:v>2029E</c:v>
                  </c:pt>
                </c:lvl>
              </c:multiLvlStrCache>
            </c:multiLvlStrRef>
          </c:cat>
          <c:val>
            <c:numRef>
              <c:f>Industry!$D$16:$K$16</c:f>
              <c:numCache>
                <c:formatCode>#,##0_);\(#,##0\)</c:formatCode>
                <c:ptCount val="8"/>
                <c:pt idx="0">
                  <c:v>921190.52154557069</c:v>
                </c:pt>
                <c:pt idx="1">
                  <c:v>1019850.0264031013</c:v>
                </c:pt>
                <c:pt idx="2">
                  <c:v>1129075.9642308734</c:v>
                </c:pt>
                <c:pt idx="3">
                  <c:v>1250000</c:v>
                </c:pt>
                <c:pt idx="4">
                  <c:v>1383875</c:v>
                </c:pt>
                <c:pt idx="5">
                  <c:v>1532088.0125</c:v>
                </c:pt>
                <c:pt idx="6">
                  <c:v>1696174.63863875</c:v>
                </c:pt>
                <c:pt idx="7">
                  <c:v>2080000</c:v>
                </c:pt>
              </c:numCache>
            </c:numRef>
          </c:val>
          <c:extLst>
            <c:ext xmlns:c16="http://schemas.microsoft.com/office/drawing/2014/chart" uri="{C3380CC4-5D6E-409C-BE32-E72D297353CC}">
              <c16:uniqueId val="{00000007-8F3E-4592-998E-2CD178F928B2}"/>
            </c:ext>
          </c:extLst>
        </c:ser>
        <c:dLbls>
          <c:showLegendKey val="0"/>
          <c:showVal val="0"/>
          <c:showCatName val="0"/>
          <c:showSerName val="0"/>
          <c:showPercent val="0"/>
          <c:showBubbleSize val="0"/>
        </c:dLbls>
        <c:gapWidth val="150"/>
        <c:shape val="box"/>
        <c:axId val="53321823"/>
        <c:axId val="53306463"/>
        <c:axId val="0"/>
      </c:bar3DChart>
      <c:catAx>
        <c:axId val="53321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06463"/>
        <c:crosses val="autoZero"/>
        <c:auto val="1"/>
        <c:lblAlgn val="ctr"/>
        <c:lblOffset val="100"/>
        <c:noMultiLvlLbl val="0"/>
      </c:catAx>
      <c:valAx>
        <c:axId val="53306463"/>
        <c:scaling>
          <c:orientation val="minMax"/>
        </c:scaling>
        <c:delete val="0"/>
        <c:axPos val="l"/>
        <c:majorGridlines>
          <c:spPr>
            <a:ln w="9525" cap="flat" cmpd="sng" algn="ctr">
              <a:solidFill>
                <a:schemeClr val="tx1">
                  <a:lumMod val="15000"/>
                  <a:lumOff val="85000"/>
                </a:schemeClr>
              </a:solidFill>
              <a:round/>
            </a:ln>
            <a:effectLst/>
          </c:spPr>
        </c:majorGridlines>
        <c:numFmt formatCode="0&quot;A&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21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BE606D"/>
            </a:solidFill>
            <a:ln>
              <a:noFill/>
            </a:ln>
            <a:effectLst/>
          </c:spPr>
          <c:invertIfNegative val="0"/>
          <c:cat>
            <c:strRef>
              <c:f>Sensitivity!$AD$28:$AD$34</c:f>
              <c:strCache>
                <c:ptCount val="7"/>
                <c:pt idx="0">
                  <c:v>SG&amp;A Margin</c:v>
                </c:pt>
                <c:pt idx="1">
                  <c:v>Terminal g</c:v>
                </c:pt>
                <c:pt idx="2">
                  <c:v>Capex Intensity</c:v>
                </c:pt>
                <c:pt idx="3">
                  <c:v>WACC</c:v>
                </c:pt>
                <c:pt idx="4">
                  <c:v>COGS Margin</c:v>
                </c:pt>
                <c:pt idx="5">
                  <c:v>EBITDA Exit</c:v>
                </c:pt>
                <c:pt idx="6">
                  <c:v>Revenue Exit</c:v>
                </c:pt>
              </c:strCache>
            </c:strRef>
          </c:cat>
          <c:val>
            <c:numRef>
              <c:f>Sensitivity!$AJ$28:$AJ$34</c:f>
              <c:numCache>
                <c:formatCode>General</c:formatCode>
                <c:ptCount val="7"/>
                <c:pt idx="0">
                  <c:v>-35.779999999999973</c:v>
                </c:pt>
                <c:pt idx="1">
                  <c:v>-33.95999999999998</c:v>
                </c:pt>
                <c:pt idx="2">
                  <c:v>-43.689999999999969</c:v>
                </c:pt>
                <c:pt idx="3">
                  <c:v>-53.919999999999959</c:v>
                </c:pt>
                <c:pt idx="4">
                  <c:v>-68.769999999999982</c:v>
                </c:pt>
                <c:pt idx="5">
                  <c:v>-116.44999999999996</c:v>
                </c:pt>
                <c:pt idx="6">
                  <c:v>-163.01999999999998</c:v>
                </c:pt>
              </c:numCache>
            </c:numRef>
          </c:val>
          <c:extLst>
            <c:ext xmlns:c16="http://schemas.microsoft.com/office/drawing/2014/chart" uri="{C3380CC4-5D6E-409C-BE32-E72D297353CC}">
              <c16:uniqueId val="{00000000-DA41-4D29-AB78-C345C0660518}"/>
            </c:ext>
          </c:extLst>
        </c:ser>
        <c:ser>
          <c:idx val="1"/>
          <c:order val="1"/>
          <c:spPr>
            <a:solidFill>
              <a:srgbClr val="7B1314"/>
            </a:solidFill>
            <a:ln>
              <a:noFill/>
            </a:ln>
            <a:effectLst/>
          </c:spPr>
          <c:invertIfNegative val="0"/>
          <c:cat>
            <c:strRef>
              <c:f>Sensitivity!$AD$28:$AD$34</c:f>
              <c:strCache>
                <c:ptCount val="7"/>
                <c:pt idx="0">
                  <c:v>SG&amp;A Margin</c:v>
                </c:pt>
                <c:pt idx="1">
                  <c:v>Terminal g</c:v>
                </c:pt>
                <c:pt idx="2">
                  <c:v>Capex Intensity</c:v>
                </c:pt>
                <c:pt idx="3">
                  <c:v>WACC</c:v>
                </c:pt>
                <c:pt idx="4">
                  <c:v>COGS Margin</c:v>
                </c:pt>
                <c:pt idx="5">
                  <c:v>EBITDA Exit</c:v>
                </c:pt>
                <c:pt idx="6">
                  <c:v>Revenue Exit</c:v>
                </c:pt>
              </c:strCache>
            </c:strRef>
          </c:cat>
          <c:val>
            <c:numRef>
              <c:f>Sensitivity!$AK$28:$AK$34</c:f>
              <c:numCache>
                <c:formatCode>General</c:formatCode>
                <c:ptCount val="7"/>
                <c:pt idx="0">
                  <c:v>35.770000000000039</c:v>
                </c:pt>
                <c:pt idx="1">
                  <c:v>42.5</c:v>
                </c:pt>
                <c:pt idx="2">
                  <c:v>43.680000000000007</c:v>
                </c:pt>
                <c:pt idx="3">
                  <c:v>68.670000000000016</c:v>
                </c:pt>
                <c:pt idx="4">
                  <c:v>68.760000000000048</c:v>
                </c:pt>
                <c:pt idx="5">
                  <c:v>113.91000000000003</c:v>
                </c:pt>
                <c:pt idx="6">
                  <c:v>154.73000000000002</c:v>
                </c:pt>
              </c:numCache>
            </c:numRef>
          </c:val>
          <c:extLst>
            <c:ext xmlns:c16="http://schemas.microsoft.com/office/drawing/2014/chart" uri="{C3380CC4-5D6E-409C-BE32-E72D297353CC}">
              <c16:uniqueId val="{00000001-DA41-4D29-AB78-C345C0660518}"/>
            </c:ext>
          </c:extLst>
        </c:ser>
        <c:dLbls>
          <c:showLegendKey val="0"/>
          <c:showVal val="0"/>
          <c:showCatName val="0"/>
          <c:showSerName val="0"/>
          <c:showPercent val="0"/>
          <c:showBubbleSize val="0"/>
        </c:dLbls>
        <c:gapWidth val="50"/>
        <c:overlap val="100"/>
        <c:axId val="1326461311"/>
        <c:axId val="1326463231"/>
      </c:barChart>
      <c:catAx>
        <c:axId val="1326461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326463231"/>
        <c:crosses val="autoZero"/>
        <c:auto val="1"/>
        <c:lblAlgn val="ctr"/>
        <c:lblOffset val="100"/>
        <c:noMultiLvlLbl val="0"/>
      </c:catAx>
      <c:valAx>
        <c:axId val="13264632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32646131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Trading Comps'!A1"/><Relationship Id="rId13" Type="http://schemas.openxmlformats.org/officeDocument/2006/relationships/hyperlink" Target="#BS!A1"/><Relationship Id="rId18" Type="http://schemas.openxmlformats.org/officeDocument/2006/relationships/chart" Target="../charts/chart2.xml"/><Relationship Id="rId3" Type="http://schemas.openxmlformats.org/officeDocument/2006/relationships/hyperlink" Target="#'Key Info'!A1"/><Relationship Id="rId21" Type="http://schemas.openxmlformats.org/officeDocument/2006/relationships/hyperlink" Target="#Dashboard!A1"/><Relationship Id="rId7" Type="http://schemas.openxmlformats.org/officeDocument/2006/relationships/hyperlink" Target="#Peers!A1"/><Relationship Id="rId12" Type="http://schemas.openxmlformats.org/officeDocument/2006/relationships/hyperlink" Target="#IS!A1"/><Relationship Id="rId17" Type="http://schemas.openxmlformats.org/officeDocument/2006/relationships/chart" Target="../charts/chart1.xml"/><Relationship Id="rId2" Type="http://schemas.openxmlformats.org/officeDocument/2006/relationships/image" Target="../media/image1.png"/><Relationship Id="rId16" Type="http://schemas.openxmlformats.org/officeDocument/2006/relationships/hyperlink" Target="#Inputs!A1"/><Relationship Id="rId20" Type="http://schemas.openxmlformats.org/officeDocument/2006/relationships/chart" Target="../charts/chart4.xml"/><Relationship Id="rId1" Type="http://schemas.openxmlformats.org/officeDocument/2006/relationships/hyperlink" Target="#Sensitivity!A1"/><Relationship Id="rId6" Type="http://schemas.openxmlformats.org/officeDocument/2006/relationships/hyperlink" Target="#Segments!A1"/><Relationship Id="rId11" Type="http://schemas.openxmlformats.org/officeDocument/2006/relationships/hyperlink" Target="#LBO!A1"/><Relationship Id="rId5" Type="http://schemas.openxmlformats.org/officeDocument/2006/relationships/hyperlink" Target="#ESG!A1"/><Relationship Id="rId15" Type="http://schemas.openxmlformats.org/officeDocument/2006/relationships/hyperlink" Target="#'Error Check'!A1"/><Relationship Id="rId10" Type="http://schemas.openxmlformats.org/officeDocument/2006/relationships/hyperlink" Target="#FCFF!A1"/><Relationship Id="rId19" Type="http://schemas.openxmlformats.org/officeDocument/2006/relationships/chart" Target="../charts/chart3.xml"/><Relationship Id="rId4" Type="http://schemas.openxmlformats.org/officeDocument/2006/relationships/hyperlink" Target="#Industry!A1"/><Relationship Id="rId9" Type="http://schemas.openxmlformats.org/officeDocument/2006/relationships/hyperlink" Target="#WACC!A1"/><Relationship Id="rId14" Type="http://schemas.openxmlformats.org/officeDocument/2006/relationships/hyperlink" Target="#CF!A1"/><Relationship Id="rId22"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hyperlink" Target="#Segments!A1"/><Relationship Id="rId13" Type="http://schemas.openxmlformats.org/officeDocument/2006/relationships/hyperlink" Target="#LBO!A1"/><Relationship Id="rId18" Type="http://schemas.openxmlformats.org/officeDocument/2006/relationships/hyperlink" Target="#Inputs!A1"/><Relationship Id="rId3" Type="http://schemas.openxmlformats.org/officeDocument/2006/relationships/image" Target="../media/image1.png"/><Relationship Id="rId7" Type="http://schemas.openxmlformats.org/officeDocument/2006/relationships/hyperlink" Target="#ESG!A1"/><Relationship Id="rId12" Type="http://schemas.openxmlformats.org/officeDocument/2006/relationships/hyperlink" Target="#FCFF!A1"/><Relationship Id="rId17" Type="http://schemas.openxmlformats.org/officeDocument/2006/relationships/hyperlink" Target="#'Error Check'!A1"/><Relationship Id="rId2" Type="http://schemas.openxmlformats.org/officeDocument/2006/relationships/hyperlink" Target="#Sensitivity!A1"/><Relationship Id="rId16" Type="http://schemas.openxmlformats.org/officeDocument/2006/relationships/hyperlink" Target="#CF!A1"/><Relationship Id="rId1" Type="http://schemas.openxmlformats.org/officeDocument/2006/relationships/chart" Target="../charts/chart5.xml"/><Relationship Id="rId6" Type="http://schemas.openxmlformats.org/officeDocument/2006/relationships/hyperlink" Target="#Industry!A1"/><Relationship Id="rId11" Type="http://schemas.openxmlformats.org/officeDocument/2006/relationships/hyperlink" Target="#WACC!A1"/><Relationship Id="rId5" Type="http://schemas.openxmlformats.org/officeDocument/2006/relationships/hyperlink" Target="#'Key Info'!A1"/><Relationship Id="rId15" Type="http://schemas.openxmlformats.org/officeDocument/2006/relationships/hyperlink" Target="#BS!A1"/><Relationship Id="rId10" Type="http://schemas.openxmlformats.org/officeDocument/2006/relationships/hyperlink" Target="#'Trading Comps'!A1"/><Relationship Id="rId4" Type="http://schemas.openxmlformats.org/officeDocument/2006/relationships/hyperlink" Target="#Dashboard!A1"/><Relationship Id="rId9" Type="http://schemas.openxmlformats.org/officeDocument/2006/relationships/hyperlink" Target="#Peers!A1"/><Relationship Id="rId14" Type="http://schemas.openxmlformats.org/officeDocument/2006/relationships/hyperlink" Target="#IS!A1"/></Relationships>
</file>

<file path=xl/drawings/_rels/drawing3.xml.rels><?xml version="1.0" encoding="UTF-8" standalone="yes"?>
<Relationships xmlns="http://schemas.openxmlformats.org/package/2006/relationships"><Relationship Id="rId8" Type="http://schemas.openxmlformats.org/officeDocument/2006/relationships/hyperlink" Target="#ESG!A1"/><Relationship Id="rId13" Type="http://schemas.openxmlformats.org/officeDocument/2006/relationships/hyperlink" Target="#FCFF!A1"/><Relationship Id="rId18" Type="http://schemas.openxmlformats.org/officeDocument/2006/relationships/hyperlink" Target="#'Error Check'!A1"/><Relationship Id="rId3" Type="http://schemas.openxmlformats.org/officeDocument/2006/relationships/hyperlink" Target="#Sensitivity!A1"/><Relationship Id="rId7" Type="http://schemas.openxmlformats.org/officeDocument/2006/relationships/hyperlink" Target="#Industry!A1"/><Relationship Id="rId12" Type="http://schemas.openxmlformats.org/officeDocument/2006/relationships/hyperlink" Target="#WACC!A1"/><Relationship Id="rId17" Type="http://schemas.openxmlformats.org/officeDocument/2006/relationships/hyperlink" Target="#CF!A1"/><Relationship Id="rId2" Type="http://schemas.openxmlformats.org/officeDocument/2006/relationships/chart" Target="../charts/chart7.xml"/><Relationship Id="rId16" Type="http://schemas.openxmlformats.org/officeDocument/2006/relationships/hyperlink" Target="#BS!A1"/><Relationship Id="rId1" Type="http://schemas.openxmlformats.org/officeDocument/2006/relationships/chart" Target="../charts/chart6.xml"/><Relationship Id="rId6" Type="http://schemas.openxmlformats.org/officeDocument/2006/relationships/hyperlink" Target="#'Key Info'!A1"/><Relationship Id="rId11" Type="http://schemas.openxmlformats.org/officeDocument/2006/relationships/hyperlink" Target="#'Trading Comps'!A1"/><Relationship Id="rId5" Type="http://schemas.openxmlformats.org/officeDocument/2006/relationships/hyperlink" Target="#Dashboard!A1"/><Relationship Id="rId15" Type="http://schemas.openxmlformats.org/officeDocument/2006/relationships/hyperlink" Target="#IS!A1"/><Relationship Id="rId10" Type="http://schemas.openxmlformats.org/officeDocument/2006/relationships/hyperlink" Target="#Peers!A1"/><Relationship Id="rId19" Type="http://schemas.openxmlformats.org/officeDocument/2006/relationships/hyperlink" Target="#Inputs!A1"/><Relationship Id="rId4" Type="http://schemas.openxmlformats.org/officeDocument/2006/relationships/image" Target="../media/image1.png"/><Relationship Id="rId9" Type="http://schemas.openxmlformats.org/officeDocument/2006/relationships/hyperlink" Target="#Segments!A1"/><Relationship Id="rId14" Type="http://schemas.openxmlformats.org/officeDocument/2006/relationships/hyperlink" Target="#LBO!A1"/></Relationships>
</file>

<file path=xl/drawings/_rels/drawing4.xml.rels><?xml version="1.0" encoding="UTF-8" standalone="yes"?>
<Relationships xmlns="http://schemas.openxmlformats.org/package/2006/relationships"><Relationship Id="rId8" Type="http://schemas.openxmlformats.org/officeDocument/2006/relationships/hyperlink" Target="#'Key Info'!A1"/><Relationship Id="rId13" Type="http://schemas.openxmlformats.org/officeDocument/2006/relationships/hyperlink" Target="#'Trading Comps'!A1"/><Relationship Id="rId18" Type="http://schemas.openxmlformats.org/officeDocument/2006/relationships/hyperlink" Target="#BS!A1"/><Relationship Id="rId3" Type="http://schemas.openxmlformats.org/officeDocument/2006/relationships/chart" Target="../charts/chart10.xml"/><Relationship Id="rId21" Type="http://schemas.openxmlformats.org/officeDocument/2006/relationships/hyperlink" Target="#Inputs!A1"/><Relationship Id="rId7" Type="http://schemas.openxmlformats.org/officeDocument/2006/relationships/hyperlink" Target="#Dashboard!A1"/><Relationship Id="rId12" Type="http://schemas.openxmlformats.org/officeDocument/2006/relationships/hyperlink" Target="#Peers!A1"/><Relationship Id="rId17" Type="http://schemas.openxmlformats.org/officeDocument/2006/relationships/hyperlink" Target="#IS!A1"/><Relationship Id="rId2" Type="http://schemas.openxmlformats.org/officeDocument/2006/relationships/chart" Target="../charts/chart9.xml"/><Relationship Id="rId16" Type="http://schemas.openxmlformats.org/officeDocument/2006/relationships/hyperlink" Target="#LBO!A1"/><Relationship Id="rId20" Type="http://schemas.openxmlformats.org/officeDocument/2006/relationships/hyperlink" Target="#'Error Check'!A1"/><Relationship Id="rId1" Type="http://schemas.openxmlformats.org/officeDocument/2006/relationships/chart" Target="../charts/chart8.xml"/><Relationship Id="rId6" Type="http://schemas.openxmlformats.org/officeDocument/2006/relationships/image" Target="../media/image1.png"/><Relationship Id="rId11" Type="http://schemas.openxmlformats.org/officeDocument/2006/relationships/hyperlink" Target="#Segments!A1"/><Relationship Id="rId5" Type="http://schemas.openxmlformats.org/officeDocument/2006/relationships/hyperlink" Target="#Sensitivity!A1"/><Relationship Id="rId15" Type="http://schemas.openxmlformats.org/officeDocument/2006/relationships/hyperlink" Target="#FCFF!A1"/><Relationship Id="rId10" Type="http://schemas.openxmlformats.org/officeDocument/2006/relationships/hyperlink" Target="#ESG!A1"/><Relationship Id="rId19" Type="http://schemas.openxmlformats.org/officeDocument/2006/relationships/hyperlink" Target="#CF!A1"/><Relationship Id="rId4" Type="http://schemas.openxmlformats.org/officeDocument/2006/relationships/chart" Target="../charts/chart11.xml"/><Relationship Id="rId9" Type="http://schemas.openxmlformats.org/officeDocument/2006/relationships/hyperlink" Target="#Industry!A1"/><Relationship Id="rId14" Type="http://schemas.openxmlformats.org/officeDocument/2006/relationships/hyperlink" Target="#WACC!A1"/></Relationships>
</file>

<file path=xl/drawings/_rels/drawing5.xml.rels><?xml version="1.0" encoding="UTF-8" standalone="yes"?>
<Relationships xmlns="http://schemas.openxmlformats.org/package/2006/relationships"><Relationship Id="rId8" Type="http://schemas.openxmlformats.org/officeDocument/2006/relationships/hyperlink" Target="#ESG!A1"/><Relationship Id="rId13" Type="http://schemas.openxmlformats.org/officeDocument/2006/relationships/hyperlink" Target="#FCFF!A1"/><Relationship Id="rId18" Type="http://schemas.openxmlformats.org/officeDocument/2006/relationships/hyperlink" Target="#'Error Check'!A1"/><Relationship Id="rId3" Type="http://schemas.openxmlformats.org/officeDocument/2006/relationships/hyperlink" Target="#Sensitivity!A1"/><Relationship Id="rId7" Type="http://schemas.openxmlformats.org/officeDocument/2006/relationships/hyperlink" Target="#Industry!A1"/><Relationship Id="rId12" Type="http://schemas.openxmlformats.org/officeDocument/2006/relationships/hyperlink" Target="#WACC!A1"/><Relationship Id="rId17" Type="http://schemas.openxmlformats.org/officeDocument/2006/relationships/hyperlink" Target="#CF!A1"/><Relationship Id="rId2" Type="http://schemas.openxmlformats.org/officeDocument/2006/relationships/image" Target="../media/image4.png"/><Relationship Id="rId16" Type="http://schemas.openxmlformats.org/officeDocument/2006/relationships/hyperlink" Target="#BS!A1"/><Relationship Id="rId1" Type="http://schemas.openxmlformats.org/officeDocument/2006/relationships/image" Target="../media/image3.png"/><Relationship Id="rId6" Type="http://schemas.openxmlformats.org/officeDocument/2006/relationships/hyperlink" Target="#'Key Info'!A1"/><Relationship Id="rId11" Type="http://schemas.openxmlformats.org/officeDocument/2006/relationships/hyperlink" Target="#'Trading Comps'!A1"/><Relationship Id="rId5" Type="http://schemas.openxmlformats.org/officeDocument/2006/relationships/hyperlink" Target="#Dashboard!A1"/><Relationship Id="rId15" Type="http://schemas.openxmlformats.org/officeDocument/2006/relationships/hyperlink" Target="#IS!A1"/><Relationship Id="rId10" Type="http://schemas.openxmlformats.org/officeDocument/2006/relationships/hyperlink" Target="#Peers!A1"/><Relationship Id="rId19" Type="http://schemas.openxmlformats.org/officeDocument/2006/relationships/hyperlink" Target="#Inputs!A1"/><Relationship Id="rId4" Type="http://schemas.openxmlformats.org/officeDocument/2006/relationships/image" Target="../media/image1.png"/><Relationship Id="rId9" Type="http://schemas.openxmlformats.org/officeDocument/2006/relationships/hyperlink" Target="#Segments!A1"/><Relationship Id="rId14" Type="http://schemas.openxmlformats.org/officeDocument/2006/relationships/hyperlink" Target="#LBO!A1"/></Relationships>
</file>

<file path=xl/drawings/_rels/drawing6.xml.rels><?xml version="1.0" encoding="UTF-8" standalone="yes"?>
<Relationships xmlns="http://schemas.openxmlformats.org/package/2006/relationships"><Relationship Id="rId8" Type="http://schemas.openxmlformats.org/officeDocument/2006/relationships/hyperlink" Target="#ESG!A1"/><Relationship Id="rId13" Type="http://schemas.openxmlformats.org/officeDocument/2006/relationships/hyperlink" Target="#FCFF!A1"/><Relationship Id="rId18" Type="http://schemas.openxmlformats.org/officeDocument/2006/relationships/hyperlink" Target="#'Error Check'!A1"/><Relationship Id="rId3" Type="http://schemas.openxmlformats.org/officeDocument/2006/relationships/hyperlink" Target="#Sensitivity!A1"/><Relationship Id="rId7" Type="http://schemas.openxmlformats.org/officeDocument/2006/relationships/hyperlink" Target="#Industry!A1"/><Relationship Id="rId12" Type="http://schemas.openxmlformats.org/officeDocument/2006/relationships/hyperlink" Target="#WACC!A1"/><Relationship Id="rId17" Type="http://schemas.openxmlformats.org/officeDocument/2006/relationships/hyperlink" Target="#CF!A1"/><Relationship Id="rId2" Type="http://schemas.openxmlformats.org/officeDocument/2006/relationships/chart" Target="../charts/chart13.xml"/><Relationship Id="rId16" Type="http://schemas.openxmlformats.org/officeDocument/2006/relationships/hyperlink" Target="#BS!A1"/><Relationship Id="rId1" Type="http://schemas.openxmlformats.org/officeDocument/2006/relationships/chart" Target="../charts/chart12.xml"/><Relationship Id="rId6" Type="http://schemas.openxmlformats.org/officeDocument/2006/relationships/hyperlink" Target="#'Key Info'!A1"/><Relationship Id="rId11" Type="http://schemas.openxmlformats.org/officeDocument/2006/relationships/hyperlink" Target="#'Trading Comps'!A1"/><Relationship Id="rId5" Type="http://schemas.openxmlformats.org/officeDocument/2006/relationships/hyperlink" Target="#Dashboard!A1"/><Relationship Id="rId15" Type="http://schemas.openxmlformats.org/officeDocument/2006/relationships/hyperlink" Target="#IS!A1"/><Relationship Id="rId10" Type="http://schemas.openxmlformats.org/officeDocument/2006/relationships/hyperlink" Target="#Peers!A1"/><Relationship Id="rId19" Type="http://schemas.openxmlformats.org/officeDocument/2006/relationships/hyperlink" Target="#Inputs!A1"/><Relationship Id="rId4" Type="http://schemas.openxmlformats.org/officeDocument/2006/relationships/image" Target="../media/image1.png"/><Relationship Id="rId9" Type="http://schemas.openxmlformats.org/officeDocument/2006/relationships/hyperlink" Target="#Segments!A1"/><Relationship Id="rId14" Type="http://schemas.openxmlformats.org/officeDocument/2006/relationships/hyperlink" Target="#LBO!A1"/></Relationships>
</file>

<file path=xl/drawings/_rels/drawing7.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8.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18" Type="http://schemas.openxmlformats.org/officeDocument/2006/relationships/chart" Target="../charts/chart14.xml"/><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0.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18" Type="http://schemas.openxmlformats.org/officeDocument/2006/relationships/image" Target="../media/image5.png"/><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1.xml.rels><?xml version="1.0" encoding="UTF-8" standalone="yes"?>
<Relationships xmlns="http://schemas.openxmlformats.org/package/2006/relationships"><Relationship Id="rId8" Type="http://schemas.openxmlformats.org/officeDocument/2006/relationships/hyperlink" Target="#Segments!A1"/><Relationship Id="rId13" Type="http://schemas.openxmlformats.org/officeDocument/2006/relationships/hyperlink" Target="#LBO!A1"/><Relationship Id="rId18" Type="http://schemas.openxmlformats.org/officeDocument/2006/relationships/hyperlink" Target="#Inputs!A1"/><Relationship Id="rId3" Type="http://schemas.openxmlformats.org/officeDocument/2006/relationships/image" Target="../media/image1.png"/><Relationship Id="rId7" Type="http://schemas.openxmlformats.org/officeDocument/2006/relationships/hyperlink" Target="#ESG!A1"/><Relationship Id="rId12" Type="http://schemas.openxmlformats.org/officeDocument/2006/relationships/hyperlink" Target="#FCFF!A1"/><Relationship Id="rId17" Type="http://schemas.openxmlformats.org/officeDocument/2006/relationships/hyperlink" Target="#'Error Check'!A1"/><Relationship Id="rId2" Type="http://schemas.openxmlformats.org/officeDocument/2006/relationships/hyperlink" Target="#Sensitivity!A1"/><Relationship Id="rId16" Type="http://schemas.openxmlformats.org/officeDocument/2006/relationships/hyperlink" Target="#CF!A1"/><Relationship Id="rId1" Type="http://schemas.openxmlformats.org/officeDocument/2006/relationships/chart" Target="../charts/chart15.xml"/><Relationship Id="rId6" Type="http://schemas.openxmlformats.org/officeDocument/2006/relationships/hyperlink" Target="#Industry!A1"/><Relationship Id="rId11" Type="http://schemas.openxmlformats.org/officeDocument/2006/relationships/hyperlink" Target="#WACC!A1"/><Relationship Id="rId5" Type="http://schemas.openxmlformats.org/officeDocument/2006/relationships/hyperlink" Target="#'Key Info'!A1"/><Relationship Id="rId15" Type="http://schemas.openxmlformats.org/officeDocument/2006/relationships/hyperlink" Target="#BS!A1"/><Relationship Id="rId10" Type="http://schemas.openxmlformats.org/officeDocument/2006/relationships/hyperlink" Target="#'Trading Comps'!A1"/><Relationship Id="rId19" Type="http://schemas.openxmlformats.org/officeDocument/2006/relationships/image" Target="../media/image6.png"/><Relationship Id="rId4" Type="http://schemas.openxmlformats.org/officeDocument/2006/relationships/hyperlink" Target="#Dashboard!A1"/><Relationship Id="rId9" Type="http://schemas.openxmlformats.org/officeDocument/2006/relationships/hyperlink" Target="#Peers!A1"/><Relationship Id="rId14" Type="http://schemas.openxmlformats.org/officeDocument/2006/relationships/hyperlink" Target="#IS!A1"/></Relationships>
</file>

<file path=xl/drawings/_rels/drawing12.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3.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4.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5.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6.xml.rels><?xml version="1.0" encoding="UTF-8" standalone="yes"?>
<Relationships xmlns="http://schemas.openxmlformats.org/package/2006/relationships"><Relationship Id="rId8" Type="http://schemas.openxmlformats.org/officeDocument/2006/relationships/hyperlink" Target="#ESG!A1"/><Relationship Id="rId13" Type="http://schemas.openxmlformats.org/officeDocument/2006/relationships/hyperlink" Target="#FCFF!A1"/><Relationship Id="rId18" Type="http://schemas.openxmlformats.org/officeDocument/2006/relationships/hyperlink" Target="#'Error Check'!A1"/><Relationship Id="rId3" Type="http://schemas.openxmlformats.org/officeDocument/2006/relationships/hyperlink" Target="#Sensitivity!A1"/><Relationship Id="rId7" Type="http://schemas.openxmlformats.org/officeDocument/2006/relationships/hyperlink" Target="#Industry!A1"/><Relationship Id="rId12" Type="http://schemas.openxmlformats.org/officeDocument/2006/relationships/hyperlink" Target="#WACC!A1"/><Relationship Id="rId17" Type="http://schemas.openxmlformats.org/officeDocument/2006/relationships/hyperlink" Target="#CF!A1"/><Relationship Id="rId2" Type="http://schemas.openxmlformats.org/officeDocument/2006/relationships/chart" Target="../charts/chart17.xml"/><Relationship Id="rId16" Type="http://schemas.openxmlformats.org/officeDocument/2006/relationships/hyperlink" Target="#BS!A1"/><Relationship Id="rId1" Type="http://schemas.openxmlformats.org/officeDocument/2006/relationships/chart" Target="../charts/chart16.xml"/><Relationship Id="rId6" Type="http://schemas.openxmlformats.org/officeDocument/2006/relationships/hyperlink" Target="#'Key Info'!A1"/><Relationship Id="rId11" Type="http://schemas.openxmlformats.org/officeDocument/2006/relationships/hyperlink" Target="#'Trading Comps'!A1"/><Relationship Id="rId5" Type="http://schemas.openxmlformats.org/officeDocument/2006/relationships/hyperlink" Target="#Dashboard!A1"/><Relationship Id="rId15" Type="http://schemas.openxmlformats.org/officeDocument/2006/relationships/hyperlink" Target="#IS!A1"/><Relationship Id="rId10" Type="http://schemas.openxmlformats.org/officeDocument/2006/relationships/hyperlink" Target="#Peers!A1"/><Relationship Id="rId19" Type="http://schemas.openxmlformats.org/officeDocument/2006/relationships/hyperlink" Target="#Inputs!A1"/><Relationship Id="rId4" Type="http://schemas.openxmlformats.org/officeDocument/2006/relationships/image" Target="../media/image1.png"/><Relationship Id="rId9" Type="http://schemas.openxmlformats.org/officeDocument/2006/relationships/hyperlink" Target="#Segments!A1"/><Relationship Id="rId14" Type="http://schemas.openxmlformats.org/officeDocument/2006/relationships/hyperlink" Target="#LBO!A1"/></Relationships>
</file>

<file path=xl/drawings/_rels/drawing17.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4"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0</xdr:col>
      <xdr:colOff>234398</xdr:colOff>
      <xdr:row>5</xdr:row>
      <xdr:rowOff>61949</xdr:rowOff>
    </xdr:from>
    <xdr:to>
      <xdr:col>5</xdr:col>
      <xdr:colOff>596566</xdr:colOff>
      <xdr:row>17</xdr:row>
      <xdr:rowOff>116402</xdr:rowOff>
    </xdr:to>
    <xdr:sp macro="" textlink="">
      <xdr:nvSpPr>
        <xdr:cNvPr id="3" name="Rounded Rectangle 2">
          <a:extLst>
            <a:ext uri="{FF2B5EF4-FFF2-40B4-BE49-F238E27FC236}">
              <a16:creationId xmlns:a16="http://schemas.microsoft.com/office/drawing/2014/main" id="{00000000-0008-0000-0000-000003000000}"/>
            </a:ext>
          </a:extLst>
        </xdr:cNvPr>
        <xdr:cNvSpPr/>
      </xdr:nvSpPr>
      <xdr:spPr>
        <a:xfrm>
          <a:off x="234398" y="871574"/>
          <a:ext cx="4048343" cy="2340453"/>
        </a:xfrm>
        <a:prstGeom prst="roundRect">
          <a:avLst/>
        </a:prstGeom>
        <a:solidFill>
          <a:schemeClr val="bg1">
            <a:alpha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85726</xdr:colOff>
      <xdr:row>7</xdr:row>
      <xdr:rowOff>112059</xdr:rowOff>
    </xdr:from>
    <xdr:to>
      <xdr:col>5</xdr:col>
      <xdr:colOff>307666</xdr:colOff>
      <xdr:row>21</xdr:row>
      <xdr:rowOff>73960</xdr:rowOff>
    </xdr:to>
    <xdr:sp macro="" textlink="">
      <xdr:nvSpPr>
        <xdr:cNvPr id="4" name="Rounded Rectangle 3">
          <a:extLst>
            <a:ext uri="{FF2B5EF4-FFF2-40B4-BE49-F238E27FC236}">
              <a16:creationId xmlns:a16="http://schemas.microsoft.com/office/drawing/2014/main" id="{00000000-0008-0000-0000-000004000000}"/>
            </a:ext>
          </a:extLst>
        </xdr:cNvPr>
        <xdr:cNvSpPr/>
      </xdr:nvSpPr>
      <xdr:spPr>
        <a:xfrm>
          <a:off x="769285" y="1445559"/>
          <a:ext cx="2956175" cy="262890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296310</xdr:colOff>
      <xdr:row>5</xdr:row>
      <xdr:rowOff>127796</xdr:rowOff>
    </xdr:from>
    <xdr:to>
      <xdr:col>5</xdr:col>
      <xdr:colOff>505497</xdr:colOff>
      <xdr:row>17</xdr:row>
      <xdr:rowOff>4637</xdr:rowOff>
    </xdr:to>
    <xdr:sp macro="" textlink="">
      <xdr:nvSpPr>
        <xdr:cNvPr id="9" name="Rounded Rectangle 8">
          <a:extLst>
            <a:ext uri="{FF2B5EF4-FFF2-40B4-BE49-F238E27FC236}">
              <a16:creationId xmlns:a16="http://schemas.microsoft.com/office/drawing/2014/main" id="{00000000-0008-0000-0000-000009000000}"/>
            </a:ext>
          </a:extLst>
        </xdr:cNvPr>
        <xdr:cNvSpPr/>
      </xdr:nvSpPr>
      <xdr:spPr>
        <a:xfrm>
          <a:off x="296310" y="937421"/>
          <a:ext cx="3895362" cy="2162841"/>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366163</xdr:colOff>
      <xdr:row>5</xdr:row>
      <xdr:rowOff>175421</xdr:rowOff>
    </xdr:from>
    <xdr:to>
      <xdr:col>5</xdr:col>
      <xdr:colOff>457200</xdr:colOff>
      <xdr:row>16</xdr:row>
      <xdr:rowOff>114300</xdr:rowOff>
    </xdr:to>
    <xdr:sp macro="" textlink="">
      <xdr:nvSpPr>
        <xdr:cNvPr id="2" name="Rounded Rectangle 1">
          <a:extLst>
            <a:ext uri="{FF2B5EF4-FFF2-40B4-BE49-F238E27FC236}">
              <a16:creationId xmlns:a16="http://schemas.microsoft.com/office/drawing/2014/main" id="{00000000-0008-0000-0000-000002000000}"/>
            </a:ext>
          </a:extLst>
        </xdr:cNvPr>
        <xdr:cNvSpPr/>
      </xdr:nvSpPr>
      <xdr:spPr>
        <a:xfrm>
          <a:off x="366163" y="985046"/>
          <a:ext cx="3777212" cy="2034379"/>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566944</xdr:colOff>
      <xdr:row>11</xdr:row>
      <xdr:rowOff>133265</xdr:rowOff>
    </xdr:from>
    <xdr:to>
      <xdr:col>4</xdr:col>
      <xdr:colOff>395494</xdr:colOff>
      <xdr:row>16</xdr:row>
      <xdr:rowOff>76116</xdr:rowOff>
    </xdr:to>
    <xdr:sp macro="" textlink="FCFF!R206">
      <xdr:nvSpPr>
        <xdr:cNvPr id="6" name="TextBox 5">
          <a:extLst>
            <a:ext uri="{FF2B5EF4-FFF2-40B4-BE49-F238E27FC236}">
              <a16:creationId xmlns:a16="http://schemas.microsoft.com/office/drawing/2014/main" id="{00000000-0008-0000-0000-000006000000}"/>
            </a:ext>
          </a:extLst>
        </xdr:cNvPr>
        <xdr:cNvSpPr txBox="1"/>
      </xdr:nvSpPr>
      <xdr:spPr>
        <a:xfrm>
          <a:off x="566944" y="2085890"/>
          <a:ext cx="2743200" cy="895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F65EA20-3753-4CCE-BFB8-4A3D51EE86A5}" type="TxLink">
            <a:rPr lang="en-US" sz="2400" b="0" i="0" u="none" strike="noStrike" cap="none" spc="0">
              <a:ln w="0"/>
              <a:solidFill>
                <a:schemeClr val="accent1"/>
              </a:solidFill>
              <a:effectLst>
                <a:outerShdw blurRad="50800" dist="38100" dir="2700000" algn="tl" rotWithShape="0">
                  <a:prstClr val="black">
                    <a:alpha val="40000"/>
                  </a:prstClr>
                </a:outerShdw>
              </a:effectLst>
              <a:latin typeface="Arial Nova"/>
              <a:cs typeface="Arial"/>
            </a:rPr>
            <a:pPr/>
            <a:t>Upside</a:t>
          </a:fld>
          <a:endParaRPr lang="en-US" sz="6600" b="0" cap="none" spc="0">
            <a:ln w="0"/>
            <a:solidFill>
              <a:schemeClr val="accent1"/>
            </a:solidFill>
            <a:effectLst>
              <a:outerShdw blurRad="50800" dist="38100" dir="2700000" algn="tl" rotWithShape="0">
                <a:prstClr val="black">
                  <a:alpha val="40000"/>
                </a:prstClr>
              </a:outerShdw>
            </a:effectLst>
            <a:latin typeface="Arial Black" panose="020B0A04020102020204" pitchFamily="34" charset="0"/>
          </a:endParaRPr>
        </a:p>
      </xdr:txBody>
    </xdr:sp>
    <xdr:clientData/>
  </xdr:twoCellAnchor>
  <xdr:twoCellAnchor>
    <xdr:from>
      <xdr:col>1</xdr:col>
      <xdr:colOff>95251</xdr:colOff>
      <xdr:row>7</xdr:row>
      <xdr:rowOff>112059</xdr:rowOff>
    </xdr:from>
    <xdr:to>
      <xdr:col>5</xdr:col>
      <xdr:colOff>317191</xdr:colOff>
      <xdr:row>21</xdr:row>
      <xdr:rowOff>112060</xdr:rowOff>
    </xdr:to>
    <xdr:sp macro="" textlink="">
      <xdr:nvSpPr>
        <xdr:cNvPr id="8" name="Rounded Rectangle 7">
          <a:extLst>
            <a:ext uri="{FF2B5EF4-FFF2-40B4-BE49-F238E27FC236}">
              <a16:creationId xmlns:a16="http://schemas.microsoft.com/office/drawing/2014/main" id="{00000000-0008-0000-0000-000008000000}"/>
            </a:ext>
          </a:extLst>
        </xdr:cNvPr>
        <xdr:cNvSpPr/>
      </xdr:nvSpPr>
      <xdr:spPr>
        <a:xfrm>
          <a:off x="778810" y="1445559"/>
          <a:ext cx="2956175" cy="266700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171450</xdr:colOff>
      <xdr:row>18</xdr:row>
      <xdr:rowOff>26335</xdr:rowOff>
    </xdr:from>
    <xdr:to>
      <xdr:col>8</xdr:col>
      <xdr:colOff>522194</xdr:colOff>
      <xdr:row>35</xdr:row>
      <xdr:rowOff>122647</xdr:rowOff>
    </xdr:to>
    <xdr:sp macro="" textlink="">
      <xdr:nvSpPr>
        <xdr:cNvPr id="11" name="Rounded Rectangle 10">
          <a:extLst>
            <a:ext uri="{FF2B5EF4-FFF2-40B4-BE49-F238E27FC236}">
              <a16:creationId xmlns:a16="http://schemas.microsoft.com/office/drawing/2014/main" id="{00000000-0008-0000-0000-00000B000000}"/>
            </a:ext>
          </a:extLst>
        </xdr:cNvPr>
        <xdr:cNvSpPr/>
      </xdr:nvSpPr>
      <xdr:spPr>
        <a:xfrm>
          <a:off x="171450" y="3312460"/>
          <a:ext cx="6094319" cy="3334812"/>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218419</xdr:colOff>
      <xdr:row>18</xdr:row>
      <xdr:rowOff>73959</xdr:rowOff>
    </xdr:from>
    <xdr:to>
      <xdr:col>8</xdr:col>
      <xdr:colOff>435252</xdr:colOff>
      <xdr:row>35</xdr:row>
      <xdr:rowOff>76200</xdr:rowOff>
    </xdr:to>
    <xdr:sp macro="" textlink="">
      <xdr:nvSpPr>
        <xdr:cNvPr id="12" name="Rounded Rectangle 11">
          <a:extLst>
            <a:ext uri="{FF2B5EF4-FFF2-40B4-BE49-F238E27FC236}">
              <a16:creationId xmlns:a16="http://schemas.microsoft.com/office/drawing/2014/main" id="{00000000-0008-0000-0000-00000C000000}"/>
            </a:ext>
          </a:extLst>
        </xdr:cNvPr>
        <xdr:cNvSpPr/>
      </xdr:nvSpPr>
      <xdr:spPr>
        <a:xfrm>
          <a:off x="218419" y="3358442"/>
          <a:ext cx="5938402" cy="3240741"/>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Nova" panose="020B0504020202020204" pitchFamily="34" charset="0"/>
          </a:endParaRPr>
        </a:p>
      </xdr:txBody>
    </xdr:sp>
    <xdr:clientData/>
  </xdr:twoCellAnchor>
  <xdr:twoCellAnchor>
    <xdr:from>
      <xdr:col>0</xdr:col>
      <xdr:colOff>304799</xdr:colOff>
      <xdr:row>18</xdr:row>
      <xdr:rowOff>140635</xdr:rowOff>
    </xdr:from>
    <xdr:to>
      <xdr:col>8</xdr:col>
      <xdr:colOff>398929</xdr:colOff>
      <xdr:row>35</xdr:row>
      <xdr:rowOff>24415</xdr:rowOff>
    </xdr:to>
    <xdr:sp macro="" textlink="">
      <xdr:nvSpPr>
        <xdr:cNvPr id="15" name="Rounded Rectangle 14">
          <a:extLst>
            <a:ext uri="{FF2B5EF4-FFF2-40B4-BE49-F238E27FC236}">
              <a16:creationId xmlns:a16="http://schemas.microsoft.com/office/drawing/2014/main" id="{00000000-0008-0000-0000-00000F000000}"/>
            </a:ext>
          </a:extLst>
        </xdr:cNvPr>
        <xdr:cNvSpPr/>
      </xdr:nvSpPr>
      <xdr:spPr>
        <a:xfrm>
          <a:off x="304799" y="3426760"/>
          <a:ext cx="5837705" cy="3122280"/>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Nova" panose="020B0504020202020204" pitchFamily="34" charset="0"/>
          </a:endParaRPr>
        </a:p>
      </xdr:txBody>
    </xdr:sp>
    <xdr:clientData/>
  </xdr:twoCellAnchor>
  <xdr:twoCellAnchor>
    <xdr:from>
      <xdr:col>5</xdr:col>
      <xdr:colOff>676275</xdr:colOff>
      <xdr:row>5</xdr:row>
      <xdr:rowOff>92221</xdr:rowOff>
    </xdr:from>
    <xdr:to>
      <xdr:col>16</xdr:col>
      <xdr:colOff>438150</xdr:colOff>
      <xdr:row>17</xdr:row>
      <xdr:rowOff>123825</xdr:rowOff>
    </xdr:to>
    <xdr:sp macro="" textlink="">
      <xdr:nvSpPr>
        <xdr:cNvPr id="17" name="Rounded Rectangle 16">
          <a:extLst>
            <a:ext uri="{FF2B5EF4-FFF2-40B4-BE49-F238E27FC236}">
              <a16:creationId xmlns:a16="http://schemas.microsoft.com/office/drawing/2014/main" id="{00000000-0008-0000-0000-000011000000}"/>
            </a:ext>
          </a:extLst>
        </xdr:cNvPr>
        <xdr:cNvSpPr/>
      </xdr:nvSpPr>
      <xdr:spPr>
        <a:xfrm>
          <a:off x="4362450" y="901846"/>
          <a:ext cx="7305675" cy="2317604"/>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45190</xdr:colOff>
      <xdr:row>5</xdr:row>
      <xdr:rowOff>171451</xdr:rowOff>
    </xdr:from>
    <xdr:to>
      <xdr:col>16</xdr:col>
      <xdr:colOff>381000</xdr:colOff>
      <xdr:row>17</xdr:row>
      <xdr:rowOff>24233</xdr:rowOff>
    </xdr:to>
    <xdr:sp macro="" textlink="">
      <xdr:nvSpPr>
        <xdr:cNvPr id="18" name="Rounded Rectangle 17">
          <a:extLst>
            <a:ext uri="{FF2B5EF4-FFF2-40B4-BE49-F238E27FC236}">
              <a16:creationId xmlns:a16="http://schemas.microsoft.com/office/drawing/2014/main" id="{00000000-0008-0000-0000-000012000000}"/>
            </a:ext>
          </a:extLst>
        </xdr:cNvPr>
        <xdr:cNvSpPr/>
      </xdr:nvSpPr>
      <xdr:spPr>
        <a:xfrm>
          <a:off x="4417165" y="981076"/>
          <a:ext cx="7193810" cy="2138782"/>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98986</xdr:colOff>
      <xdr:row>6</xdr:row>
      <xdr:rowOff>48394</xdr:rowOff>
    </xdr:from>
    <xdr:to>
      <xdr:col>16</xdr:col>
      <xdr:colOff>314326</xdr:colOff>
      <xdr:row>16</xdr:row>
      <xdr:rowOff>135568</xdr:rowOff>
    </xdr:to>
    <xdr:sp macro="" textlink="">
      <xdr:nvSpPr>
        <xdr:cNvPr id="19" name="Rounded Rectangle 18">
          <a:extLst>
            <a:ext uri="{FF2B5EF4-FFF2-40B4-BE49-F238E27FC236}">
              <a16:creationId xmlns:a16="http://schemas.microsoft.com/office/drawing/2014/main" id="{00000000-0008-0000-0000-000013000000}"/>
            </a:ext>
          </a:extLst>
        </xdr:cNvPr>
        <xdr:cNvSpPr/>
      </xdr:nvSpPr>
      <xdr:spPr>
        <a:xfrm>
          <a:off x="4470961" y="1048519"/>
          <a:ext cx="7073340" cy="1992174"/>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u="none">
            <a:solidFill>
              <a:schemeClr val="accent1">
                <a:lumMod val="50000"/>
              </a:schemeClr>
            </a:solidFill>
          </a:endParaRPr>
        </a:p>
      </xdr:txBody>
    </xdr:sp>
    <xdr:clientData/>
  </xdr:twoCellAnchor>
  <xdr:twoCellAnchor>
    <xdr:from>
      <xdr:col>0</xdr:col>
      <xdr:colOff>0</xdr:colOff>
      <xdr:row>0</xdr:row>
      <xdr:rowOff>0</xdr:rowOff>
    </xdr:from>
    <xdr:to>
      <xdr:col>62</xdr:col>
      <xdr:colOff>589561</xdr:colOff>
      <xdr:row>4</xdr:row>
      <xdr:rowOff>0</xdr:rowOff>
    </xdr:to>
    <xdr:sp macro="" textlink="">
      <xdr:nvSpPr>
        <xdr:cNvPr id="58" name="Rectangle 57">
          <a:extLst>
            <a:ext uri="{FF2B5EF4-FFF2-40B4-BE49-F238E27FC236}">
              <a16:creationId xmlns:a16="http://schemas.microsoft.com/office/drawing/2014/main" id="{AF733DE3-35E1-4EEC-B834-C1DBBEAA33BF}"/>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208947</xdr:colOff>
      <xdr:row>1</xdr:row>
      <xdr:rowOff>19879</xdr:rowOff>
    </xdr:from>
    <xdr:to>
      <xdr:col>19</xdr:col>
      <xdr:colOff>474115</xdr:colOff>
      <xdr:row>3</xdr:row>
      <xdr:rowOff>10354</xdr:rowOff>
    </xdr:to>
    <xdr:sp macro="" textlink="">
      <xdr:nvSpPr>
        <xdr:cNvPr id="59" name="TextBox 58">
          <a:hlinkClick xmlns:r="http://schemas.openxmlformats.org/officeDocument/2006/relationships" r:id="rId1"/>
          <a:extLst>
            <a:ext uri="{FF2B5EF4-FFF2-40B4-BE49-F238E27FC236}">
              <a16:creationId xmlns:a16="http://schemas.microsoft.com/office/drawing/2014/main" id="{1FCA6EB7-95F6-4D97-9B19-5BAE7D22A7ED}"/>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0" name="Picture 59">
          <a:extLst>
            <a:ext uri="{FF2B5EF4-FFF2-40B4-BE49-F238E27FC236}">
              <a16:creationId xmlns:a16="http://schemas.microsoft.com/office/drawing/2014/main" id="{1F2B1FCB-97BE-434F-9A93-E40D6B8F0576}"/>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2</xdr:col>
      <xdr:colOff>88127</xdr:colOff>
      <xdr:row>1</xdr:row>
      <xdr:rowOff>28201</xdr:rowOff>
    </xdr:from>
    <xdr:to>
      <xdr:col>2</xdr:col>
      <xdr:colOff>88127</xdr:colOff>
      <xdr:row>2</xdr:row>
      <xdr:rowOff>138545</xdr:rowOff>
    </xdr:to>
    <xdr:cxnSp macro="">
      <xdr:nvCxnSpPr>
        <xdr:cNvPr id="62" name="Straight Connector 61">
          <a:extLst>
            <a:ext uri="{FF2B5EF4-FFF2-40B4-BE49-F238E27FC236}">
              <a16:creationId xmlns:a16="http://schemas.microsoft.com/office/drawing/2014/main" id="{7F983B49-BEA6-4327-A2CC-6E44AC24A0EA}"/>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20378</xdr:colOff>
      <xdr:row>1</xdr:row>
      <xdr:rowOff>19879</xdr:rowOff>
    </xdr:from>
    <xdr:to>
      <xdr:col>8</xdr:col>
      <xdr:colOff>293001</xdr:colOff>
      <xdr:row>3</xdr:row>
      <xdr:rowOff>10354</xdr:rowOff>
    </xdr:to>
    <xdr:sp macro="" textlink="">
      <xdr:nvSpPr>
        <xdr:cNvPr id="64" name="TextBox 63">
          <a:hlinkClick xmlns:r="http://schemas.openxmlformats.org/officeDocument/2006/relationships" r:id="rId3"/>
          <a:extLst>
            <a:ext uri="{FF2B5EF4-FFF2-40B4-BE49-F238E27FC236}">
              <a16:creationId xmlns:a16="http://schemas.microsoft.com/office/drawing/2014/main" id="{6BB4CA84-4E6D-4A61-8FD7-E93FE7FC9BD7}"/>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8</xdr:col>
      <xdr:colOff>195727</xdr:colOff>
      <xdr:row>1</xdr:row>
      <xdr:rowOff>19879</xdr:rowOff>
    </xdr:from>
    <xdr:to>
      <xdr:col>9</xdr:col>
      <xdr:colOff>462291</xdr:colOff>
      <xdr:row>3</xdr:row>
      <xdr:rowOff>10354</xdr:rowOff>
    </xdr:to>
    <xdr:sp macro="" textlink="">
      <xdr:nvSpPr>
        <xdr:cNvPr id="65" name="TextBox 64">
          <a:hlinkClick xmlns:r="http://schemas.openxmlformats.org/officeDocument/2006/relationships" r:id="rId4"/>
          <a:extLst>
            <a:ext uri="{FF2B5EF4-FFF2-40B4-BE49-F238E27FC236}">
              <a16:creationId xmlns:a16="http://schemas.microsoft.com/office/drawing/2014/main" id="{5E788863-28A2-4C8D-A16F-D4A62DF4ED60}"/>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9</xdr:col>
      <xdr:colOff>365017</xdr:colOff>
      <xdr:row>1</xdr:row>
      <xdr:rowOff>19879</xdr:rowOff>
    </xdr:from>
    <xdr:to>
      <xdr:col>10</xdr:col>
      <xdr:colOff>637612</xdr:colOff>
      <xdr:row>3</xdr:row>
      <xdr:rowOff>10354</xdr:rowOff>
    </xdr:to>
    <xdr:sp macro="" textlink="">
      <xdr:nvSpPr>
        <xdr:cNvPr id="66" name="TextBox 65">
          <a:hlinkClick xmlns:r="http://schemas.openxmlformats.org/officeDocument/2006/relationships" r:id="rId5"/>
          <a:extLst>
            <a:ext uri="{FF2B5EF4-FFF2-40B4-BE49-F238E27FC236}">
              <a16:creationId xmlns:a16="http://schemas.microsoft.com/office/drawing/2014/main" id="{8E63717A-9DA7-4A62-9F4B-5EC2C4B82751}"/>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10</xdr:col>
      <xdr:colOff>540338</xdr:colOff>
      <xdr:row>1</xdr:row>
      <xdr:rowOff>19879</xdr:rowOff>
    </xdr:from>
    <xdr:to>
      <xdr:col>12</xdr:col>
      <xdr:colOff>131214</xdr:colOff>
      <xdr:row>3</xdr:row>
      <xdr:rowOff>10354</xdr:rowOff>
    </xdr:to>
    <xdr:sp macro="" textlink="">
      <xdr:nvSpPr>
        <xdr:cNvPr id="67" name="TextBox 66">
          <a:hlinkClick xmlns:r="http://schemas.openxmlformats.org/officeDocument/2006/relationships" r:id="rId6"/>
          <a:extLst>
            <a:ext uri="{FF2B5EF4-FFF2-40B4-BE49-F238E27FC236}">
              <a16:creationId xmlns:a16="http://schemas.microsoft.com/office/drawing/2014/main" id="{DAA5A255-A636-4B09-AAFE-9A04E9CCB95C}"/>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12</xdr:col>
      <xdr:colOff>33940</xdr:colOff>
      <xdr:row>1</xdr:row>
      <xdr:rowOff>19879</xdr:rowOff>
    </xdr:from>
    <xdr:to>
      <xdr:col>13</xdr:col>
      <xdr:colOff>303545</xdr:colOff>
      <xdr:row>3</xdr:row>
      <xdr:rowOff>10354</xdr:rowOff>
    </xdr:to>
    <xdr:sp macro="" textlink="">
      <xdr:nvSpPr>
        <xdr:cNvPr id="68" name="TextBox 67">
          <a:hlinkClick xmlns:r="http://schemas.openxmlformats.org/officeDocument/2006/relationships" r:id="rId7"/>
          <a:extLst>
            <a:ext uri="{FF2B5EF4-FFF2-40B4-BE49-F238E27FC236}">
              <a16:creationId xmlns:a16="http://schemas.microsoft.com/office/drawing/2014/main" id="{03EC94A1-4B9F-45EB-AEFA-6A8A5D8CDCD9}"/>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13</xdr:col>
      <xdr:colOff>207952</xdr:colOff>
      <xdr:row>1</xdr:row>
      <xdr:rowOff>19879</xdr:rowOff>
    </xdr:from>
    <xdr:to>
      <xdr:col>14</xdr:col>
      <xdr:colOff>475877</xdr:colOff>
      <xdr:row>3</xdr:row>
      <xdr:rowOff>10354</xdr:rowOff>
    </xdr:to>
    <xdr:sp macro="" textlink="">
      <xdr:nvSpPr>
        <xdr:cNvPr id="69" name="TextBox 68">
          <a:hlinkClick xmlns:r="http://schemas.openxmlformats.org/officeDocument/2006/relationships" r:id="rId8"/>
          <a:extLst>
            <a:ext uri="{FF2B5EF4-FFF2-40B4-BE49-F238E27FC236}">
              <a16:creationId xmlns:a16="http://schemas.microsoft.com/office/drawing/2014/main" id="{B182EBCB-B912-4705-89AA-5FC7543697BE}"/>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14</xdr:col>
      <xdr:colOff>380284</xdr:colOff>
      <xdr:row>1</xdr:row>
      <xdr:rowOff>19879</xdr:rowOff>
    </xdr:from>
    <xdr:to>
      <xdr:col>15</xdr:col>
      <xdr:colOff>650667</xdr:colOff>
      <xdr:row>3</xdr:row>
      <xdr:rowOff>10354</xdr:rowOff>
    </xdr:to>
    <xdr:sp macro="" textlink="">
      <xdr:nvSpPr>
        <xdr:cNvPr id="70" name="TextBox 69">
          <a:hlinkClick xmlns:r="http://schemas.openxmlformats.org/officeDocument/2006/relationships" r:id="rId9"/>
          <a:extLst>
            <a:ext uri="{FF2B5EF4-FFF2-40B4-BE49-F238E27FC236}">
              <a16:creationId xmlns:a16="http://schemas.microsoft.com/office/drawing/2014/main" id="{8E24EAE8-D0D9-4385-9FCB-AE319BD9AF4F}"/>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15</xdr:col>
      <xdr:colOff>553393</xdr:colOff>
      <xdr:row>1</xdr:row>
      <xdr:rowOff>19879</xdr:rowOff>
    </xdr:from>
    <xdr:to>
      <xdr:col>17</xdr:col>
      <xdr:colOff>138329</xdr:colOff>
      <xdr:row>3</xdr:row>
      <xdr:rowOff>10354</xdr:rowOff>
    </xdr:to>
    <xdr:sp macro="" textlink="">
      <xdr:nvSpPr>
        <xdr:cNvPr id="71" name="TextBox 70">
          <a:hlinkClick xmlns:r="http://schemas.openxmlformats.org/officeDocument/2006/relationships" r:id="rId10"/>
          <a:extLst>
            <a:ext uri="{FF2B5EF4-FFF2-40B4-BE49-F238E27FC236}">
              <a16:creationId xmlns:a16="http://schemas.microsoft.com/office/drawing/2014/main" id="{FBA45ED2-1CB1-4705-8D68-282891BF6B41}"/>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17</xdr:col>
      <xdr:colOff>41055</xdr:colOff>
      <xdr:row>1</xdr:row>
      <xdr:rowOff>19879</xdr:rowOff>
    </xdr:from>
    <xdr:to>
      <xdr:col>18</xdr:col>
      <xdr:colOff>306221</xdr:colOff>
      <xdr:row>3</xdr:row>
      <xdr:rowOff>10354</xdr:rowOff>
    </xdr:to>
    <xdr:sp macro="" textlink="">
      <xdr:nvSpPr>
        <xdr:cNvPr id="72" name="TextBox 71">
          <a:hlinkClick xmlns:r="http://schemas.openxmlformats.org/officeDocument/2006/relationships" r:id="rId11"/>
          <a:extLst>
            <a:ext uri="{FF2B5EF4-FFF2-40B4-BE49-F238E27FC236}">
              <a16:creationId xmlns:a16="http://schemas.microsoft.com/office/drawing/2014/main" id="{CBD6013A-3815-459D-99CC-C5FB0FCD93D7}"/>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19</xdr:col>
      <xdr:colOff>376841</xdr:colOff>
      <xdr:row>1</xdr:row>
      <xdr:rowOff>19879</xdr:rowOff>
    </xdr:from>
    <xdr:to>
      <xdr:col>20</xdr:col>
      <xdr:colOff>645182</xdr:colOff>
      <xdr:row>3</xdr:row>
      <xdr:rowOff>10354</xdr:rowOff>
    </xdr:to>
    <xdr:sp macro="" textlink="">
      <xdr:nvSpPr>
        <xdr:cNvPr id="73" name="TextBox 72">
          <a:hlinkClick xmlns:r="http://schemas.openxmlformats.org/officeDocument/2006/relationships" r:id="rId12"/>
          <a:extLst>
            <a:ext uri="{FF2B5EF4-FFF2-40B4-BE49-F238E27FC236}">
              <a16:creationId xmlns:a16="http://schemas.microsoft.com/office/drawing/2014/main" id="{AD8B6910-B64A-4111-B4E8-DE5B9C578551}"/>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20</xdr:col>
      <xdr:colOff>547908</xdr:colOff>
      <xdr:row>1</xdr:row>
      <xdr:rowOff>19879</xdr:rowOff>
    </xdr:from>
    <xdr:to>
      <xdr:col>22</xdr:col>
      <xdr:colOff>133461</xdr:colOff>
      <xdr:row>3</xdr:row>
      <xdr:rowOff>10354</xdr:rowOff>
    </xdr:to>
    <xdr:sp macro="" textlink="">
      <xdr:nvSpPr>
        <xdr:cNvPr id="74" name="TextBox 73">
          <a:hlinkClick xmlns:r="http://schemas.openxmlformats.org/officeDocument/2006/relationships" r:id="rId13"/>
          <a:extLst>
            <a:ext uri="{FF2B5EF4-FFF2-40B4-BE49-F238E27FC236}">
              <a16:creationId xmlns:a16="http://schemas.microsoft.com/office/drawing/2014/main" id="{ECD5056D-985C-4AF7-9F8A-C26477B1CD6A}"/>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22</xdr:col>
      <xdr:colOff>36187</xdr:colOff>
      <xdr:row>1</xdr:row>
      <xdr:rowOff>19879</xdr:rowOff>
    </xdr:from>
    <xdr:to>
      <xdr:col>23</xdr:col>
      <xdr:colOff>305882</xdr:colOff>
      <xdr:row>3</xdr:row>
      <xdr:rowOff>10354</xdr:rowOff>
    </xdr:to>
    <xdr:sp macro="" textlink="">
      <xdr:nvSpPr>
        <xdr:cNvPr id="75" name="TextBox 74">
          <a:hlinkClick xmlns:r="http://schemas.openxmlformats.org/officeDocument/2006/relationships" r:id="rId14"/>
          <a:extLst>
            <a:ext uri="{FF2B5EF4-FFF2-40B4-BE49-F238E27FC236}">
              <a16:creationId xmlns:a16="http://schemas.microsoft.com/office/drawing/2014/main" id="{C1402E3A-702D-48FC-800A-114E0117A99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23</xdr:col>
      <xdr:colOff>208608</xdr:colOff>
      <xdr:row>1</xdr:row>
      <xdr:rowOff>19879</xdr:rowOff>
    </xdr:from>
    <xdr:to>
      <xdr:col>24</xdr:col>
      <xdr:colOff>482000</xdr:colOff>
      <xdr:row>3</xdr:row>
      <xdr:rowOff>10354</xdr:rowOff>
    </xdr:to>
    <xdr:sp macro="" textlink="">
      <xdr:nvSpPr>
        <xdr:cNvPr id="76" name="TextBox 75">
          <a:hlinkClick xmlns:r="http://schemas.openxmlformats.org/officeDocument/2006/relationships" r:id="rId15"/>
          <a:extLst>
            <a:ext uri="{FF2B5EF4-FFF2-40B4-BE49-F238E27FC236}">
              <a16:creationId xmlns:a16="http://schemas.microsoft.com/office/drawing/2014/main" id="{DE123833-0431-4A06-BDDC-57CDB371FE2E}"/>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24</xdr:col>
      <xdr:colOff>384737</xdr:colOff>
      <xdr:row>1</xdr:row>
      <xdr:rowOff>19879</xdr:rowOff>
    </xdr:from>
    <xdr:to>
      <xdr:col>25</xdr:col>
      <xdr:colOff>655702</xdr:colOff>
      <xdr:row>3</xdr:row>
      <xdr:rowOff>10354</xdr:rowOff>
    </xdr:to>
    <xdr:sp macro="" textlink="">
      <xdr:nvSpPr>
        <xdr:cNvPr id="77" name="TextBox 76">
          <a:hlinkClick xmlns:r="http://schemas.openxmlformats.org/officeDocument/2006/relationships" r:id="rId16"/>
          <a:extLst>
            <a:ext uri="{FF2B5EF4-FFF2-40B4-BE49-F238E27FC236}">
              <a16:creationId xmlns:a16="http://schemas.microsoft.com/office/drawing/2014/main" id="{B83CB797-6225-4825-B7D8-45F4AD762299}"/>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9</xdr:col>
      <xdr:colOff>413654</xdr:colOff>
      <xdr:row>1</xdr:row>
      <xdr:rowOff>103586</xdr:rowOff>
    </xdr:from>
    <xdr:to>
      <xdr:col>9</xdr:col>
      <xdr:colOff>413654</xdr:colOff>
      <xdr:row>2</xdr:row>
      <xdr:rowOff>117146</xdr:rowOff>
    </xdr:to>
    <xdr:cxnSp macro="">
      <xdr:nvCxnSpPr>
        <xdr:cNvPr id="78" name="Straight Connector 77">
          <a:extLst>
            <a:ext uri="{FF2B5EF4-FFF2-40B4-BE49-F238E27FC236}">
              <a16:creationId xmlns:a16="http://schemas.microsoft.com/office/drawing/2014/main" id="{E67AEF58-80F3-420C-B0AE-F034D5E73C54}"/>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244364</xdr:colOff>
      <xdr:row>1</xdr:row>
      <xdr:rowOff>103586</xdr:rowOff>
    </xdr:from>
    <xdr:to>
      <xdr:col>8</xdr:col>
      <xdr:colOff>244364</xdr:colOff>
      <xdr:row>2</xdr:row>
      <xdr:rowOff>117146</xdr:rowOff>
    </xdr:to>
    <xdr:cxnSp macro="">
      <xdr:nvCxnSpPr>
        <xdr:cNvPr id="79" name="Straight Connector 78">
          <a:extLst>
            <a:ext uri="{FF2B5EF4-FFF2-40B4-BE49-F238E27FC236}">
              <a16:creationId xmlns:a16="http://schemas.microsoft.com/office/drawing/2014/main" id="{0F22A2E0-A526-47DB-B928-1D0F3C6D6A5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69015</xdr:colOff>
      <xdr:row>1</xdr:row>
      <xdr:rowOff>103586</xdr:rowOff>
    </xdr:from>
    <xdr:to>
      <xdr:col>7</xdr:col>
      <xdr:colOff>69015</xdr:colOff>
      <xdr:row>2</xdr:row>
      <xdr:rowOff>117146</xdr:rowOff>
    </xdr:to>
    <xdr:cxnSp macro="">
      <xdr:nvCxnSpPr>
        <xdr:cNvPr id="80" name="Straight Connector 79">
          <a:extLst>
            <a:ext uri="{FF2B5EF4-FFF2-40B4-BE49-F238E27FC236}">
              <a16:creationId xmlns:a16="http://schemas.microsoft.com/office/drawing/2014/main" id="{DFD3ED74-129F-409A-BA13-111C6924F81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588975</xdr:colOff>
      <xdr:row>1</xdr:row>
      <xdr:rowOff>103586</xdr:rowOff>
    </xdr:from>
    <xdr:to>
      <xdr:col>10</xdr:col>
      <xdr:colOff>588975</xdr:colOff>
      <xdr:row>2</xdr:row>
      <xdr:rowOff>117146</xdr:rowOff>
    </xdr:to>
    <xdr:cxnSp macro="">
      <xdr:nvCxnSpPr>
        <xdr:cNvPr id="81" name="Straight Connector 80">
          <a:extLst>
            <a:ext uri="{FF2B5EF4-FFF2-40B4-BE49-F238E27FC236}">
              <a16:creationId xmlns:a16="http://schemas.microsoft.com/office/drawing/2014/main" id="{C2FB533F-14DF-4A4A-A9A5-B03B6FFEEEB3}"/>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82577</xdr:colOff>
      <xdr:row>1</xdr:row>
      <xdr:rowOff>103586</xdr:rowOff>
    </xdr:from>
    <xdr:to>
      <xdr:col>12</xdr:col>
      <xdr:colOff>82577</xdr:colOff>
      <xdr:row>2</xdr:row>
      <xdr:rowOff>117146</xdr:rowOff>
    </xdr:to>
    <xdr:cxnSp macro="">
      <xdr:nvCxnSpPr>
        <xdr:cNvPr id="82" name="Straight Connector 81">
          <a:extLst>
            <a:ext uri="{FF2B5EF4-FFF2-40B4-BE49-F238E27FC236}">
              <a16:creationId xmlns:a16="http://schemas.microsoft.com/office/drawing/2014/main" id="{37B60877-9501-43BB-A948-11B4D2AE22A0}"/>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254908</xdr:colOff>
      <xdr:row>1</xdr:row>
      <xdr:rowOff>103586</xdr:rowOff>
    </xdr:from>
    <xdr:to>
      <xdr:col>13</xdr:col>
      <xdr:colOff>254908</xdr:colOff>
      <xdr:row>2</xdr:row>
      <xdr:rowOff>117146</xdr:rowOff>
    </xdr:to>
    <xdr:cxnSp macro="">
      <xdr:nvCxnSpPr>
        <xdr:cNvPr id="84" name="Straight Connector 83">
          <a:extLst>
            <a:ext uri="{FF2B5EF4-FFF2-40B4-BE49-F238E27FC236}">
              <a16:creationId xmlns:a16="http://schemas.microsoft.com/office/drawing/2014/main" id="{876F524B-14A9-48AD-923A-496857E55639}"/>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428921</xdr:colOff>
      <xdr:row>1</xdr:row>
      <xdr:rowOff>103586</xdr:rowOff>
    </xdr:from>
    <xdr:to>
      <xdr:col>14</xdr:col>
      <xdr:colOff>428921</xdr:colOff>
      <xdr:row>2</xdr:row>
      <xdr:rowOff>117146</xdr:rowOff>
    </xdr:to>
    <xdr:cxnSp macro="">
      <xdr:nvCxnSpPr>
        <xdr:cNvPr id="85" name="Straight Connector 84">
          <a:extLst>
            <a:ext uri="{FF2B5EF4-FFF2-40B4-BE49-F238E27FC236}">
              <a16:creationId xmlns:a16="http://schemas.microsoft.com/office/drawing/2014/main" id="{20BC7918-103B-4AFF-B156-967F87A70344}"/>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602030</xdr:colOff>
      <xdr:row>1</xdr:row>
      <xdr:rowOff>103586</xdr:rowOff>
    </xdr:from>
    <xdr:to>
      <xdr:col>15</xdr:col>
      <xdr:colOff>602030</xdr:colOff>
      <xdr:row>2</xdr:row>
      <xdr:rowOff>117146</xdr:rowOff>
    </xdr:to>
    <xdr:cxnSp macro="">
      <xdr:nvCxnSpPr>
        <xdr:cNvPr id="115" name="Straight Connector 114">
          <a:extLst>
            <a:ext uri="{FF2B5EF4-FFF2-40B4-BE49-F238E27FC236}">
              <a16:creationId xmlns:a16="http://schemas.microsoft.com/office/drawing/2014/main" id="{1E18C591-8FE2-4FE4-B845-7E94E82E8E6E}"/>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89692</xdr:colOff>
      <xdr:row>1</xdr:row>
      <xdr:rowOff>103586</xdr:rowOff>
    </xdr:from>
    <xdr:to>
      <xdr:col>17</xdr:col>
      <xdr:colOff>89692</xdr:colOff>
      <xdr:row>2</xdr:row>
      <xdr:rowOff>117146</xdr:rowOff>
    </xdr:to>
    <xdr:cxnSp macro="">
      <xdr:nvCxnSpPr>
        <xdr:cNvPr id="116" name="Straight Connector 115">
          <a:extLst>
            <a:ext uri="{FF2B5EF4-FFF2-40B4-BE49-F238E27FC236}">
              <a16:creationId xmlns:a16="http://schemas.microsoft.com/office/drawing/2014/main" id="{316B61E2-D170-477F-A2C7-E319C4D145FB}"/>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425478</xdr:colOff>
      <xdr:row>1</xdr:row>
      <xdr:rowOff>103586</xdr:rowOff>
    </xdr:from>
    <xdr:to>
      <xdr:col>19</xdr:col>
      <xdr:colOff>425478</xdr:colOff>
      <xdr:row>2</xdr:row>
      <xdr:rowOff>117146</xdr:rowOff>
    </xdr:to>
    <xdr:cxnSp macro="">
      <xdr:nvCxnSpPr>
        <xdr:cNvPr id="117" name="Straight Connector 116">
          <a:extLst>
            <a:ext uri="{FF2B5EF4-FFF2-40B4-BE49-F238E27FC236}">
              <a16:creationId xmlns:a16="http://schemas.microsoft.com/office/drawing/2014/main" id="{A82630A1-8FF0-4992-870A-786C9D84607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596545</xdr:colOff>
      <xdr:row>1</xdr:row>
      <xdr:rowOff>103586</xdr:rowOff>
    </xdr:from>
    <xdr:to>
      <xdr:col>20</xdr:col>
      <xdr:colOff>596545</xdr:colOff>
      <xdr:row>2</xdr:row>
      <xdr:rowOff>117146</xdr:rowOff>
    </xdr:to>
    <xdr:cxnSp macro="">
      <xdr:nvCxnSpPr>
        <xdr:cNvPr id="118" name="Straight Connector 117">
          <a:extLst>
            <a:ext uri="{FF2B5EF4-FFF2-40B4-BE49-F238E27FC236}">
              <a16:creationId xmlns:a16="http://schemas.microsoft.com/office/drawing/2014/main" id="{279DE7FB-3DA7-4C33-9224-4380880BCD7E}"/>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84824</xdr:colOff>
      <xdr:row>1</xdr:row>
      <xdr:rowOff>103586</xdr:rowOff>
    </xdr:from>
    <xdr:to>
      <xdr:col>22</xdr:col>
      <xdr:colOff>84824</xdr:colOff>
      <xdr:row>2</xdr:row>
      <xdr:rowOff>117146</xdr:rowOff>
    </xdr:to>
    <xdr:cxnSp macro="">
      <xdr:nvCxnSpPr>
        <xdr:cNvPr id="119" name="Straight Connector 118">
          <a:extLst>
            <a:ext uri="{FF2B5EF4-FFF2-40B4-BE49-F238E27FC236}">
              <a16:creationId xmlns:a16="http://schemas.microsoft.com/office/drawing/2014/main" id="{DF23A989-B048-49BE-AB98-C72B7DF62345}"/>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257245</xdr:colOff>
      <xdr:row>1</xdr:row>
      <xdr:rowOff>103586</xdr:rowOff>
    </xdr:from>
    <xdr:to>
      <xdr:col>23</xdr:col>
      <xdr:colOff>257245</xdr:colOff>
      <xdr:row>2</xdr:row>
      <xdr:rowOff>117146</xdr:rowOff>
    </xdr:to>
    <xdr:cxnSp macro="">
      <xdr:nvCxnSpPr>
        <xdr:cNvPr id="120" name="Straight Connector 119">
          <a:extLst>
            <a:ext uri="{FF2B5EF4-FFF2-40B4-BE49-F238E27FC236}">
              <a16:creationId xmlns:a16="http://schemas.microsoft.com/office/drawing/2014/main" id="{271AD687-A2BA-4C32-90BF-1361E0F6E18A}"/>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433363</xdr:colOff>
      <xdr:row>1</xdr:row>
      <xdr:rowOff>103586</xdr:rowOff>
    </xdr:from>
    <xdr:to>
      <xdr:col>24</xdr:col>
      <xdr:colOff>433363</xdr:colOff>
      <xdr:row>2</xdr:row>
      <xdr:rowOff>117146</xdr:rowOff>
    </xdr:to>
    <xdr:cxnSp macro="">
      <xdr:nvCxnSpPr>
        <xdr:cNvPr id="121" name="Straight Connector 120">
          <a:extLst>
            <a:ext uri="{FF2B5EF4-FFF2-40B4-BE49-F238E27FC236}">
              <a16:creationId xmlns:a16="http://schemas.microsoft.com/office/drawing/2014/main" id="{4C77FFF6-F4DC-4181-BAB8-F713C9DFF6D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257584</xdr:colOff>
      <xdr:row>1</xdr:row>
      <xdr:rowOff>103586</xdr:rowOff>
    </xdr:from>
    <xdr:to>
      <xdr:col>18</xdr:col>
      <xdr:colOff>257584</xdr:colOff>
      <xdr:row>2</xdr:row>
      <xdr:rowOff>117146</xdr:rowOff>
    </xdr:to>
    <xdr:cxnSp macro="">
      <xdr:nvCxnSpPr>
        <xdr:cNvPr id="122" name="Straight Connector 121">
          <a:extLst>
            <a:ext uri="{FF2B5EF4-FFF2-40B4-BE49-F238E27FC236}">
              <a16:creationId xmlns:a16="http://schemas.microsoft.com/office/drawing/2014/main" id="{2965A0F9-619F-4DF3-894C-8E792C0195FE}"/>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6</xdr:row>
      <xdr:rowOff>47625</xdr:rowOff>
    </xdr:from>
    <xdr:to>
      <xdr:col>5</xdr:col>
      <xdr:colOff>371474</xdr:colOff>
      <xdr:row>16</xdr:row>
      <xdr:rowOff>123825</xdr:rowOff>
    </xdr:to>
    <xdr:graphicFrame macro="">
      <xdr:nvGraphicFramePr>
        <xdr:cNvPr id="26" name="Chart 25">
          <a:extLst>
            <a:ext uri="{FF2B5EF4-FFF2-40B4-BE49-F238E27FC236}">
              <a16:creationId xmlns:a16="http://schemas.microsoft.com/office/drawing/2014/main" id="{68539338-8E37-474B-81FD-5C005BA70AF3}"/>
            </a:ext>
            <a:ext uri="{147F2762-F138-4A5C-976F-8EAC2B608ADB}">
              <a16:predDERef xmlns:a16="http://schemas.microsoft.com/office/drawing/2014/main" pred="{2965A0F9-619F-4DF3-894C-8E792C0195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xdr:col>
      <xdr:colOff>624111</xdr:colOff>
      <xdr:row>5</xdr:row>
      <xdr:rowOff>85725</xdr:rowOff>
    </xdr:from>
    <xdr:to>
      <xdr:col>25</xdr:col>
      <xdr:colOff>283509</xdr:colOff>
      <xdr:row>35</xdr:row>
      <xdr:rowOff>68829</xdr:rowOff>
    </xdr:to>
    <xdr:sp macro="" textlink="">
      <xdr:nvSpPr>
        <xdr:cNvPr id="32" name="Rounded Rectangle 16">
          <a:extLst>
            <a:ext uri="{FF2B5EF4-FFF2-40B4-BE49-F238E27FC236}">
              <a16:creationId xmlns:a16="http://schemas.microsoft.com/office/drawing/2014/main" id="{46D9BA80-56FC-4E28-8153-8EACCC6D2817}"/>
            </a:ext>
          </a:extLst>
        </xdr:cNvPr>
        <xdr:cNvSpPr/>
      </xdr:nvSpPr>
      <xdr:spPr>
        <a:xfrm>
          <a:off x="11854086" y="895350"/>
          <a:ext cx="5831598" cy="5698104"/>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656282</xdr:colOff>
      <xdr:row>5</xdr:row>
      <xdr:rowOff>133350</xdr:rowOff>
    </xdr:from>
    <xdr:to>
      <xdr:col>25</xdr:col>
      <xdr:colOff>226359</xdr:colOff>
      <xdr:row>34</xdr:row>
      <xdr:rowOff>178733</xdr:rowOff>
    </xdr:to>
    <xdr:sp macro="" textlink="">
      <xdr:nvSpPr>
        <xdr:cNvPr id="33" name="Rounded Rectangle 17">
          <a:extLst>
            <a:ext uri="{FF2B5EF4-FFF2-40B4-BE49-F238E27FC236}">
              <a16:creationId xmlns:a16="http://schemas.microsoft.com/office/drawing/2014/main" id="{67724C0E-2EEA-421E-9EBA-6368226C5899}"/>
            </a:ext>
          </a:extLst>
        </xdr:cNvPr>
        <xdr:cNvSpPr/>
      </xdr:nvSpPr>
      <xdr:spPr>
        <a:xfrm>
          <a:off x="11886257" y="942975"/>
          <a:ext cx="5742277" cy="5569883"/>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28575</xdr:colOff>
      <xdr:row>6</xdr:row>
      <xdr:rowOff>9525</xdr:rowOff>
    </xdr:from>
    <xdr:to>
      <xdr:col>25</xdr:col>
      <xdr:colOff>188260</xdr:colOff>
      <xdr:row>34</xdr:row>
      <xdr:rowOff>122705</xdr:rowOff>
    </xdr:to>
    <xdr:sp macro="" textlink="">
      <xdr:nvSpPr>
        <xdr:cNvPr id="29" name="Rounded Rectangle 18">
          <a:extLst>
            <a:ext uri="{FF2B5EF4-FFF2-40B4-BE49-F238E27FC236}">
              <a16:creationId xmlns:a16="http://schemas.microsoft.com/office/drawing/2014/main" id="{CDDB93CD-33C0-40F6-8B5D-2ED2511119D8}"/>
            </a:ext>
          </a:extLst>
        </xdr:cNvPr>
        <xdr:cNvSpPr/>
      </xdr:nvSpPr>
      <xdr:spPr>
        <a:xfrm>
          <a:off x="11944350" y="1009650"/>
          <a:ext cx="5646085" cy="5447180"/>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u="none"/>
        </a:p>
      </xdr:txBody>
    </xdr:sp>
    <xdr:clientData/>
  </xdr:twoCellAnchor>
  <xdr:twoCellAnchor>
    <xdr:from>
      <xdr:col>0</xdr:col>
      <xdr:colOff>381000</xdr:colOff>
      <xdr:row>19</xdr:row>
      <xdr:rowOff>77560</xdr:rowOff>
    </xdr:from>
    <xdr:to>
      <xdr:col>8</xdr:col>
      <xdr:colOff>283780</xdr:colOff>
      <xdr:row>34</xdr:row>
      <xdr:rowOff>96957</xdr:rowOff>
    </xdr:to>
    <xdr:graphicFrame macro="">
      <xdr:nvGraphicFramePr>
        <xdr:cNvPr id="36" name="Chart 35">
          <a:extLst>
            <a:ext uri="{FF2B5EF4-FFF2-40B4-BE49-F238E27FC236}">
              <a16:creationId xmlns:a16="http://schemas.microsoft.com/office/drawing/2014/main" id="{A62C2B4E-E52A-4877-B4D0-ADF4C95EC8D0}"/>
            </a:ext>
            <a:ext uri="{147F2762-F138-4A5C-976F-8EAC2B608ADB}">
              <a16:predDERef xmlns:a16="http://schemas.microsoft.com/office/drawing/2014/main" pred="{CDDB93CD-33C0-40F6-8B5D-2ED251111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389282</xdr:colOff>
      <xdr:row>7</xdr:row>
      <xdr:rowOff>75908</xdr:rowOff>
    </xdr:from>
    <xdr:to>
      <xdr:col>4</xdr:col>
      <xdr:colOff>361950</xdr:colOff>
      <xdr:row>13</xdr:row>
      <xdr:rowOff>66383</xdr:rowOff>
    </xdr:to>
    <xdr:sp macro="" textlink="FCFF!R204">
      <xdr:nvSpPr>
        <xdr:cNvPr id="5" name="TextBox 4">
          <a:extLst>
            <a:ext uri="{FF2B5EF4-FFF2-40B4-BE49-F238E27FC236}">
              <a16:creationId xmlns:a16="http://schemas.microsoft.com/office/drawing/2014/main" id="{00000000-0008-0000-0000-000005000000}"/>
            </a:ext>
          </a:extLst>
        </xdr:cNvPr>
        <xdr:cNvSpPr txBox="1"/>
      </xdr:nvSpPr>
      <xdr:spPr>
        <a:xfrm>
          <a:off x="389282" y="1266533"/>
          <a:ext cx="2887318" cy="1133475"/>
        </a:xfrm>
        <a:prstGeom prst="rect">
          <a:avLst/>
        </a:prstGeom>
        <a:noFill/>
        <a:ln w="9525" cmpd="sng">
          <a:noFill/>
        </a:ln>
        <a:effectLst>
          <a:glow rad="635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B416593-3911-4086-9678-272915FA7569}" type="TxLink">
            <a:rPr lang="en-US" sz="6000" b="0" i="0" u="none" strike="noStrike" cap="none" spc="0">
              <a:ln w="0"/>
              <a:solidFill>
                <a:schemeClr val="accent1"/>
              </a:solidFill>
              <a:effectLst>
                <a:outerShdw blurRad="38100" dist="25400" dir="5400000" algn="ctr" rotWithShape="0">
                  <a:srgbClr val="6E747A">
                    <a:alpha val="43000"/>
                  </a:srgbClr>
                </a:outerShdw>
              </a:effectLst>
              <a:latin typeface="Arial Nova"/>
              <a:cs typeface="Arial"/>
            </a:rPr>
            <a:pPr/>
            <a:t>20.7%</a:t>
          </a:fld>
          <a:endParaRPr lang="en-US" sz="41300" b="0" cap="none" spc="0">
            <a:ln w="0"/>
            <a:solidFill>
              <a:schemeClr val="accent1"/>
            </a:solidFill>
            <a:effectLst>
              <a:outerShdw blurRad="38100" dist="25400" dir="5400000" algn="ctr" rotWithShape="0">
                <a:srgbClr val="6E747A">
                  <a:alpha val="43000"/>
                </a:srgbClr>
              </a:outerShdw>
            </a:effectLst>
            <a:latin typeface="Arial Black" panose="020B0A04020102020204" pitchFamily="34" charset="0"/>
          </a:endParaRPr>
        </a:p>
      </xdr:txBody>
    </xdr:sp>
    <xdr:clientData/>
  </xdr:twoCellAnchor>
  <xdr:twoCellAnchor>
    <xdr:from>
      <xdr:col>8</xdr:col>
      <xdr:colOff>680939</xdr:colOff>
      <xdr:row>18</xdr:row>
      <xdr:rowOff>26335</xdr:rowOff>
    </xdr:from>
    <xdr:to>
      <xdr:col>16</xdr:col>
      <xdr:colOff>480522</xdr:colOff>
      <xdr:row>35</xdr:row>
      <xdr:rowOff>122647</xdr:rowOff>
    </xdr:to>
    <xdr:sp macro="" textlink="">
      <xdr:nvSpPr>
        <xdr:cNvPr id="7" name="Rounded Rectangle 10">
          <a:extLst>
            <a:ext uri="{FF2B5EF4-FFF2-40B4-BE49-F238E27FC236}">
              <a16:creationId xmlns:a16="http://schemas.microsoft.com/office/drawing/2014/main" id="{8490BD13-3504-E948-E037-FA939D752C03}"/>
            </a:ext>
          </a:extLst>
        </xdr:cNvPr>
        <xdr:cNvSpPr/>
      </xdr:nvSpPr>
      <xdr:spPr>
        <a:xfrm>
          <a:off x="6425705" y="3312460"/>
          <a:ext cx="5276458" cy="3334812"/>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45244</xdr:colOff>
      <xdr:row>18</xdr:row>
      <xdr:rowOff>73959</xdr:rowOff>
    </xdr:from>
    <xdr:to>
      <xdr:col>16</xdr:col>
      <xdr:colOff>413287</xdr:colOff>
      <xdr:row>35</xdr:row>
      <xdr:rowOff>76200</xdr:rowOff>
    </xdr:to>
    <xdr:sp macro="" textlink="">
      <xdr:nvSpPr>
        <xdr:cNvPr id="10" name="Rounded Rectangle 11">
          <a:extLst>
            <a:ext uri="{FF2B5EF4-FFF2-40B4-BE49-F238E27FC236}">
              <a16:creationId xmlns:a16="http://schemas.microsoft.com/office/drawing/2014/main" id="{B80D1CD0-7E40-B6FE-DBD7-6C70CAAA467B}"/>
            </a:ext>
          </a:extLst>
        </xdr:cNvPr>
        <xdr:cNvSpPr/>
      </xdr:nvSpPr>
      <xdr:spPr>
        <a:xfrm>
          <a:off x="6474619" y="3360084"/>
          <a:ext cx="5160309" cy="3240741"/>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94451</xdr:colOff>
      <xdr:row>18</xdr:row>
      <xdr:rowOff>140635</xdr:rowOff>
    </xdr:from>
    <xdr:to>
      <xdr:col>16</xdr:col>
      <xdr:colOff>357257</xdr:colOff>
      <xdr:row>35</xdr:row>
      <xdr:rowOff>24415</xdr:rowOff>
    </xdr:to>
    <xdr:sp macro="" textlink="">
      <xdr:nvSpPr>
        <xdr:cNvPr id="13" name="Rounded Rectangle 14">
          <a:extLst>
            <a:ext uri="{FF2B5EF4-FFF2-40B4-BE49-F238E27FC236}">
              <a16:creationId xmlns:a16="http://schemas.microsoft.com/office/drawing/2014/main" id="{01C2A47D-4BD3-4EB9-C6AA-A4BE89298E14}"/>
            </a:ext>
          </a:extLst>
        </xdr:cNvPr>
        <xdr:cNvSpPr/>
      </xdr:nvSpPr>
      <xdr:spPr>
        <a:xfrm>
          <a:off x="6523826" y="3426760"/>
          <a:ext cx="5055072" cy="3122280"/>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247649</xdr:colOff>
      <xdr:row>19</xdr:row>
      <xdr:rowOff>66675</xdr:rowOff>
    </xdr:from>
    <xdr:to>
      <xdr:col>16</xdr:col>
      <xdr:colOff>161924</xdr:colOff>
      <xdr:row>34</xdr:row>
      <xdr:rowOff>47624</xdr:rowOff>
    </xdr:to>
    <xdr:graphicFrame macro="">
      <xdr:nvGraphicFramePr>
        <xdr:cNvPr id="14" name="Chart 13">
          <a:extLst>
            <a:ext uri="{FF2B5EF4-FFF2-40B4-BE49-F238E27FC236}">
              <a16:creationId xmlns:a16="http://schemas.microsoft.com/office/drawing/2014/main" id="{BC41E0A5-4240-4AC5-A691-2AA770B95588}"/>
            </a:ext>
            <a:ext uri="{147F2762-F138-4A5C-976F-8EAC2B608ADB}">
              <a16:predDERef xmlns:a16="http://schemas.microsoft.com/office/drawing/2014/main" pred="{01C2A47D-4BD3-4EB9-C6AA-A4BE89298E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xdr:col>
      <xdr:colOff>219076</xdr:colOff>
      <xdr:row>6</xdr:row>
      <xdr:rowOff>171450</xdr:rowOff>
    </xdr:from>
    <xdr:to>
      <xdr:col>16</xdr:col>
      <xdr:colOff>161926</xdr:colOff>
      <xdr:row>16</xdr:row>
      <xdr:rowOff>142875</xdr:rowOff>
    </xdr:to>
    <xdr:graphicFrame macro="">
      <xdr:nvGraphicFramePr>
        <xdr:cNvPr id="16" name="Chart 15">
          <a:extLst>
            <a:ext uri="{FF2B5EF4-FFF2-40B4-BE49-F238E27FC236}">
              <a16:creationId xmlns:a16="http://schemas.microsoft.com/office/drawing/2014/main" id="{559FB92E-12C7-4529-B6C2-6C782CCCF5FB}"/>
            </a:ext>
            <a:ext uri="{147F2762-F138-4A5C-976F-8EAC2B608ADB}">
              <a16:predDERef xmlns:a16="http://schemas.microsoft.com/office/drawing/2014/main" pred="{BC41E0A5-4240-4AC5-A691-2AA770B95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5</xdr:col>
      <xdr:colOff>476250</xdr:colOff>
      <xdr:row>1</xdr:row>
      <xdr:rowOff>57151</xdr:rowOff>
    </xdr:from>
    <xdr:to>
      <xdr:col>7</xdr:col>
      <xdr:colOff>59177</xdr:colOff>
      <xdr:row>3</xdr:row>
      <xdr:rowOff>1</xdr:rowOff>
    </xdr:to>
    <xdr:sp macro="" textlink="">
      <xdr:nvSpPr>
        <xdr:cNvPr id="20" name="TextBox 19">
          <a:hlinkClick xmlns:r="http://schemas.openxmlformats.org/officeDocument/2006/relationships" r:id="rId21"/>
          <a:extLst>
            <a:ext uri="{FF2B5EF4-FFF2-40B4-BE49-F238E27FC236}">
              <a16:creationId xmlns:a16="http://schemas.microsoft.com/office/drawing/2014/main" id="{D480B2ED-49A9-429D-9590-86E5540912AD}"/>
            </a:ext>
          </a:extLst>
        </xdr:cNvPr>
        <xdr:cNvSpPr txBox="1"/>
      </xdr:nvSpPr>
      <xdr:spPr>
        <a:xfrm>
          <a:off x="4162425" y="247651"/>
          <a:ext cx="954527"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editAs="oneCell">
    <xdr:from>
      <xdr:col>7</xdr:col>
      <xdr:colOff>66675</xdr:colOff>
      <xdr:row>173</xdr:row>
      <xdr:rowOff>180975</xdr:rowOff>
    </xdr:from>
    <xdr:to>
      <xdr:col>7</xdr:col>
      <xdr:colOff>209550</xdr:colOff>
      <xdr:row>174</xdr:row>
      <xdr:rowOff>47625</xdr:rowOff>
    </xdr:to>
    <xdr:pic>
      <xdr:nvPicPr>
        <xdr:cNvPr id="27" name="Picture 20">
          <a:extLst>
            <a:ext uri="{FF2B5EF4-FFF2-40B4-BE49-F238E27FC236}">
              <a16:creationId xmlns:a16="http://schemas.microsoft.com/office/drawing/2014/main" id="{C80302FD-CFB1-0B6B-64B8-4F14F359220A}"/>
            </a:ext>
            <a:ext uri="{147F2762-F138-4A5C-976F-8EAC2B608ADB}">
              <a16:predDERef xmlns:a16="http://schemas.microsoft.com/office/drawing/2014/main" pred="{D480B2ED-49A9-429D-9590-86E5540912AD}"/>
            </a:ext>
          </a:extLst>
        </xdr:cNvPr>
        <xdr:cNvPicPr>
          <a:picLocks noChangeAspect="1"/>
        </xdr:cNvPicPr>
      </xdr:nvPicPr>
      <xdr:blipFill>
        <a:blip xmlns:r="http://schemas.openxmlformats.org/officeDocument/2006/relationships" r:embed="rId22"/>
        <a:stretch>
          <a:fillRect/>
        </a:stretch>
      </xdr:blipFill>
      <xdr:spPr>
        <a:xfrm>
          <a:off x="5124450" y="32994600"/>
          <a:ext cx="142875" cy="571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9524</xdr:colOff>
      <xdr:row>10</xdr:row>
      <xdr:rowOff>19050</xdr:rowOff>
    </xdr:from>
    <xdr:to>
      <xdr:col>15</xdr:col>
      <xdr:colOff>857249</xdr:colOff>
      <xdr:row>32</xdr:row>
      <xdr:rowOff>38100</xdr:rowOff>
    </xdr:to>
    <xdr:graphicFrame macro="">
      <xdr:nvGraphicFramePr>
        <xdr:cNvPr id="2" name="Chart 1">
          <a:extLst>
            <a:ext uri="{FF2B5EF4-FFF2-40B4-BE49-F238E27FC236}">
              <a16:creationId xmlns:a16="http://schemas.microsoft.com/office/drawing/2014/main" id="{AF9BE819-4B5E-4E98-88F6-232A84C06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53</xdr:col>
      <xdr:colOff>179986</xdr:colOff>
      <xdr:row>4</xdr:row>
      <xdr:rowOff>0</xdr:rowOff>
    </xdr:to>
    <xdr:sp macro="" textlink="">
      <xdr:nvSpPr>
        <xdr:cNvPr id="104" name="Rectangle 103">
          <a:extLst>
            <a:ext uri="{FF2B5EF4-FFF2-40B4-BE49-F238E27FC236}">
              <a16:creationId xmlns:a16="http://schemas.microsoft.com/office/drawing/2014/main" id="{57657D92-280B-42FC-9A6A-1CE5D5EDB1DE}"/>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399447</xdr:colOff>
      <xdr:row>1</xdr:row>
      <xdr:rowOff>19879</xdr:rowOff>
    </xdr:from>
    <xdr:to>
      <xdr:col>12</xdr:col>
      <xdr:colOff>464590</xdr:colOff>
      <xdr:row>3</xdr:row>
      <xdr:rowOff>10354</xdr:rowOff>
    </xdr:to>
    <xdr:sp macro="" textlink="">
      <xdr:nvSpPr>
        <xdr:cNvPr id="105" name="TextBox 104">
          <a:hlinkClick xmlns:r="http://schemas.openxmlformats.org/officeDocument/2006/relationships" r:id="rId2"/>
          <a:extLst>
            <a:ext uri="{FF2B5EF4-FFF2-40B4-BE49-F238E27FC236}">
              <a16:creationId xmlns:a16="http://schemas.microsoft.com/office/drawing/2014/main" id="{4A8BC603-917C-4312-AD03-F70B39DB27C1}"/>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106" name="Picture 105">
          <a:extLst>
            <a:ext uri="{FF2B5EF4-FFF2-40B4-BE49-F238E27FC236}">
              <a16:creationId xmlns:a16="http://schemas.microsoft.com/office/drawing/2014/main" id="{9A92841C-F868-437E-A2FA-549C3053704E}"/>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108" name="Straight Connector 107">
          <a:extLst>
            <a:ext uri="{FF2B5EF4-FFF2-40B4-BE49-F238E27FC236}">
              <a16:creationId xmlns:a16="http://schemas.microsoft.com/office/drawing/2014/main" id="{7DDFA2BF-2E64-43FC-8B97-700F77477242}"/>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68000</xdr:colOff>
      <xdr:row>1</xdr:row>
      <xdr:rowOff>19879</xdr:rowOff>
    </xdr:from>
    <xdr:to>
      <xdr:col>5</xdr:col>
      <xdr:colOff>231952</xdr:colOff>
      <xdr:row>3</xdr:row>
      <xdr:rowOff>10354</xdr:rowOff>
    </xdr:to>
    <xdr:sp macro="" textlink="">
      <xdr:nvSpPr>
        <xdr:cNvPr id="109" name="TextBox 108">
          <a:hlinkClick xmlns:r="http://schemas.openxmlformats.org/officeDocument/2006/relationships" r:id="rId4"/>
          <a:extLst>
            <a:ext uri="{FF2B5EF4-FFF2-40B4-BE49-F238E27FC236}">
              <a16:creationId xmlns:a16="http://schemas.microsoft.com/office/drawing/2014/main" id="{EF79F394-B769-4EE4-A0F8-95BECC69126A}"/>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5</xdr:col>
      <xdr:colOff>134678</xdr:colOff>
      <xdr:row>1</xdr:row>
      <xdr:rowOff>19879</xdr:rowOff>
    </xdr:from>
    <xdr:to>
      <xdr:col>5</xdr:col>
      <xdr:colOff>1093101</xdr:colOff>
      <xdr:row>3</xdr:row>
      <xdr:rowOff>10354</xdr:rowOff>
    </xdr:to>
    <xdr:sp macro="" textlink="">
      <xdr:nvSpPr>
        <xdr:cNvPr id="110" name="TextBox 109">
          <a:hlinkClick xmlns:r="http://schemas.openxmlformats.org/officeDocument/2006/relationships" r:id="rId5"/>
          <a:extLst>
            <a:ext uri="{FF2B5EF4-FFF2-40B4-BE49-F238E27FC236}">
              <a16:creationId xmlns:a16="http://schemas.microsoft.com/office/drawing/2014/main" id="{EEA6EEE8-9D6F-48FC-9CC8-AED04F63E5C7}"/>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Key Info</a:t>
          </a:r>
        </a:p>
      </xdr:txBody>
    </xdr:sp>
    <xdr:clientData/>
  </xdr:twoCellAnchor>
  <xdr:twoCellAnchor>
    <xdr:from>
      <xdr:col>5</xdr:col>
      <xdr:colOff>995827</xdr:colOff>
      <xdr:row>1</xdr:row>
      <xdr:rowOff>19879</xdr:rowOff>
    </xdr:from>
    <xdr:to>
      <xdr:col>5</xdr:col>
      <xdr:colOff>1948191</xdr:colOff>
      <xdr:row>3</xdr:row>
      <xdr:rowOff>10354</xdr:rowOff>
    </xdr:to>
    <xdr:sp macro="" textlink="">
      <xdr:nvSpPr>
        <xdr:cNvPr id="111" name="TextBox 110">
          <a:hlinkClick xmlns:r="http://schemas.openxmlformats.org/officeDocument/2006/relationships" r:id="rId6"/>
          <a:extLst>
            <a:ext uri="{FF2B5EF4-FFF2-40B4-BE49-F238E27FC236}">
              <a16:creationId xmlns:a16="http://schemas.microsoft.com/office/drawing/2014/main" id="{0E53F67B-95C7-43B6-BA1C-6D84DC643ADB}"/>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5</xdr:col>
      <xdr:colOff>1850917</xdr:colOff>
      <xdr:row>1</xdr:row>
      <xdr:rowOff>19879</xdr:rowOff>
    </xdr:from>
    <xdr:to>
      <xdr:col>6</xdr:col>
      <xdr:colOff>856687</xdr:colOff>
      <xdr:row>3</xdr:row>
      <xdr:rowOff>10354</xdr:rowOff>
    </xdr:to>
    <xdr:sp macro="" textlink="">
      <xdr:nvSpPr>
        <xdr:cNvPr id="112" name="TextBox 111">
          <a:hlinkClick xmlns:r="http://schemas.openxmlformats.org/officeDocument/2006/relationships" r:id="rId7"/>
          <a:extLst>
            <a:ext uri="{FF2B5EF4-FFF2-40B4-BE49-F238E27FC236}">
              <a16:creationId xmlns:a16="http://schemas.microsoft.com/office/drawing/2014/main" id="{D1AF7B02-6F90-4486-965E-29B00DA4D736}"/>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759413</xdr:colOff>
      <xdr:row>1</xdr:row>
      <xdr:rowOff>19879</xdr:rowOff>
    </xdr:from>
    <xdr:to>
      <xdr:col>7</xdr:col>
      <xdr:colOff>836064</xdr:colOff>
      <xdr:row>3</xdr:row>
      <xdr:rowOff>10354</xdr:rowOff>
    </xdr:to>
    <xdr:sp macro="" textlink="">
      <xdr:nvSpPr>
        <xdr:cNvPr id="113" name="TextBox 112">
          <a:hlinkClick xmlns:r="http://schemas.openxmlformats.org/officeDocument/2006/relationships" r:id="rId8"/>
          <a:extLst>
            <a:ext uri="{FF2B5EF4-FFF2-40B4-BE49-F238E27FC236}">
              <a16:creationId xmlns:a16="http://schemas.microsoft.com/office/drawing/2014/main" id="{A4AA8AE6-812C-49AD-9128-2B293C3C3949}"/>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738790</xdr:colOff>
      <xdr:row>1</xdr:row>
      <xdr:rowOff>19879</xdr:rowOff>
    </xdr:from>
    <xdr:to>
      <xdr:col>9</xdr:col>
      <xdr:colOff>17795</xdr:colOff>
      <xdr:row>3</xdr:row>
      <xdr:rowOff>10354</xdr:rowOff>
    </xdr:to>
    <xdr:sp macro="" textlink="">
      <xdr:nvSpPr>
        <xdr:cNvPr id="114" name="TextBox 113">
          <a:hlinkClick xmlns:r="http://schemas.openxmlformats.org/officeDocument/2006/relationships" r:id="rId9"/>
          <a:extLst>
            <a:ext uri="{FF2B5EF4-FFF2-40B4-BE49-F238E27FC236}">
              <a16:creationId xmlns:a16="http://schemas.microsoft.com/office/drawing/2014/main" id="{8E379378-BC3A-4D0E-AEC3-3BC8AFE19645}"/>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712777</xdr:colOff>
      <xdr:row>1</xdr:row>
      <xdr:rowOff>19879</xdr:rowOff>
    </xdr:from>
    <xdr:to>
      <xdr:col>9</xdr:col>
      <xdr:colOff>875927</xdr:colOff>
      <xdr:row>3</xdr:row>
      <xdr:rowOff>10354</xdr:rowOff>
    </xdr:to>
    <xdr:sp macro="" textlink="">
      <xdr:nvSpPr>
        <xdr:cNvPr id="115" name="TextBox 114">
          <a:hlinkClick xmlns:r="http://schemas.openxmlformats.org/officeDocument/2006/relationships" r:id="rId10"/>
          <a:extLst>
            <a:ext uri="{FF2B5EF4-FFF2-40B4-BE49-F238E27FC236}">
              <a16:creationId xmlns:a16="http://schemas.microsoft.com/office/drawing/2014/main" id="{FF61372D-A941-4732-8A1D-94E9F8CCFF72}"/>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780334</xdr:colOff>
      <xdr:row>1</xdr:row>
      <xdr:rowOff>19879</xdr:rowOff>
    </xdr:from>
    <xdr:to>
      <xdr:col>9</xdr:col>
      <xdr:colOff>1736517</xdr:colOff>
      <xdr:row>3</xdr:row>
      <xdr:rowOff>10354</xdr:rowOff>
    </xdr:to>
    <xdr:sp macro="" textlink="">
      <xdr:nvSpPr>
        <xdr:cNvPr id="116" name="TextBox 115">
          <a:hlinkClick xmlns:r="http://schemas.openxmlformats.org/officeDocument/2006/relationships" r:id="rId11"/>
          <a:extLst>
            <a:ext uri="{FF2B5EF4-FFF2-40B4-BE49-F238E27FC236}">
              <a16:creationId xmlns:a16="http://schemas.microsoft.com/office/drawing/2014/main" id="{F9E6172B-11F8-470F-BC5E-F77BB82A5135}"/>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9</xdr:col>
      <xdr:colOff>1639243</xdr:colOff>
      <xdr:row>1</xdr:row>
      <xdr:rowOff>19879</xdr:rowOff>
    </xdr:from>
    <xdr:to>
      <xdr:col>10</xdr:col>
      <xdr:colOff>528854</xdr:colOff>
      <xdr:row>3</xdr:row>
      <xdr:rowOff>10354</xdr:rowOff>
    </xdr:to>
    <xdr:sp macro="" textlink="">
      <xdr:nvSpPr>
        <xdr:cNvPr id="117" name="TextBox 116">
          <a:hlinkClick xmlns:r="http://schemas.openxmlformats.org/officeDocument/2006/relationships" r:id="rId12"/>
          <a:extLst>
            <a:ext uri="{FF2B5EF4-FFF2-40B4-BE49-F238E27FC236}">
              <a16:creationId xmlns:a16="http://schemas.microsoft.com/office/drawing/2014/main" id="{B3E4E755-B2F5-4A70-A262-C456903CE5B8}"/>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10</xdr:col>
      <xdr:colOff>431580</xdr:colOff>
      <xdr:row>1</xdr:row>
      <xdr:rowOff>19879</xdr:rowOff>
    </xdr:from>
    <xdr:to>
      <xdr:col>11</xdr:col>
      <xdr:colOff>496721</xdr:colOff>
      <xdr:row>3</xdr:row>
      <xdr:rowOff>10354</xdr:rowOff>
    </xdr:to>
    <xdr:sp macro="" textlink="">
      <xdr:nvSpPr>
        <xdr:cNvPr id="118" name="TextBox 117">
          <a:hlinkClick xmlns:r="http://schemas.openxmlformats.org/officeDocument/2006/relationships" r:id="rId13"/>
          <a:extLst>
            <a:ext uri="{FF2B5EF4-FFF2-40B4-BE49-F238E27FC236}">
              <a16:creationId xmlns:a16="http://schemas.microsoft.com/office/drawing/2014/main" id="{2410C130-803E-447E-972A-FCA149336E75}"/>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12</xdr:col>
      <xdr:colOff>367316</xdr:colOff>
      <xdr:row>1</xdr:row>
      <xdr:rowOff>19879</xdr:rowOff>
    </xdr:from>
    <xdr:to>
      <xdr:col>13</xdr:col>
      <xdr:colOff>530882</xdr:colOff>
      <xdr:row>3</xdr:row>
      <xdr:rowOff>10354</xdr:rowOff>
    </xdr:to>
    <xdr:sp macro="" textlink="">
      <xdr:nvSpPr>
        <xdr:cNvPr id="119" name="TextBox 118">
          <a:hlinkClick xmlns:r="http://schemas.openxmlformats.org/officeDocument/2006/relationships" r:id="rId14"/>
          <a:extLst>
            <a:ext uri="{FF2B5EF4-FFF2-40B4-BE49-F238E27FC236}">
              <a16:creationId xmlns:a16="http://schemas.microsoft.com/office/drawing/2014/main" id="{1DD2C0F1-50AB-45BB-BF1E-F7B516207F14}"/>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13</xdr:col>
      <xdr:colOff>433608</xdr:colOff>
      <xdr:row>1</xdr:row>
      <xdr:rowOff>19879</xdr:rowOff>
    </xdr:from>
    <xdr:to>
      <xdr:col>13</xdr:col>
      <xdr:colOff>1390761</xdr:colOff>
      <xdr:row>3</xdr:row>
      <xdr:rowOff>10354</xdr:rowOff>
    </xdr:to>
    <xdr:sp macro="" textlink="">
      <xdr:nvSpPr>
        <xdr:cNvPr id="120" name="TextBox 119">
          <a:hlinkClick xmlns:r="http://schemas.openxmlformats.org/officeDocument/2006/relationships" r:id="rId15"/>
          <a:extLst>
            <a:ext uri="{FF2B5EF4-FFF2-40B4-BE49-F238E27FC236}">
              <a16:creationId xmlns:a16="http://schemas.microsoft.com/office/drawing/2014/main" id="{6DD29426-1DAB-41E6-B5F4-551151E5CC47}"/>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13</xdr:col>
      <xdr:colOff>1293487</xdr:colOff>
      <xdr:row>1</xdr:row>
      <xdr:rowOff>19879</xdr:rowOff>
    </xdr:from>
    <xdr:to>
      <xdr:col>14</xdr:col>
      <xdr:colOff>296357</xdr:colOff>
      <xdr:row>3</xdr:row>
      <xdr:rowOff>10354</xdr:rowOff>
    </xdr:to>
    <xdr:sp macro="" textlink="">
      <xdr:nvSpPr>
        <xdr:cNvPr id="121" name="TextBox 120">
          <a:hlinkClick xmlns:r="http://schemas.openxmlformats.org/officeDocument/2006/relationships" r:id="rId16"/>
          <a:extLst>
            <a:ext uri="{FF2B5EF4-FFF2-40B4-BE49-F238E27FC236}">
              <a16:creationId xmlns:a16="http://schemas.microsoft.com/office/drawing/2014/main" id="{1405F4E3-8C88-4340-97DF-CC3D9DE990B3}"/>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14</xdr:col>
      <xdr:colOff>199083</xdr:colOff>
      <xdr:row>1</xdr:row>
      <xdr:rowOff>19879</xdr:rowOff>
    </xdr:from>
    <xdr:to>
      <xdr:col>15</xdr:col>
      <xdr:colOff>272450</xdr:colOff>
      <xdr:row>3</xdr:row>
      <xdr:rowOff>10354</xdr:rowOff>
    </xdr:to>
    <xdr:sp macro="" textlink="">
      <xdr:nvSpPr>
        <xdr:cNvPr id="122" name="TextBox 121">
          <a:hlinkClick xmlns:r="http://schemas.openxmlformats.org/officeDocument/2006/relationships" r:id="rId17"/>
          <a:extLst>
            <a:ext uri="{FF2B5EF4-FFF2-40B4-BE49-F238E27FC236}">
              <a16:creationId xmlns:a16="http://schemas.microsoft.com/office/drawing/2014/main" id="{6B491D50-0166-49DA-856F-2684C304AA9B}"/>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15</xdr:col>
      <xdr:colOff>175187</xdr:colOff>
      <xdr:row>1</xdr:row>
      <xdr:rowOff>19879</xdr:rowOff>
    </xdr:from>
    <xdr:to>
      <xdr:col>16</xdr:col>
      <xdr:colOff>246127</xdr:colOff>
      <xdr:row>3</xdr:row>
      <xdr:rowOff>10354</xdr:rowOff>
    </xdr:to>
    <xdr:sp macro="" textlink="">
      <xdr:nvSpPr>
        <xdr:cNvPr id="123" name="TextBox 122">
          <a:hlinkClick xmlns:r="http://schemas.openxmlformats.org/officeDocument/2006/relationships" r:id="rId18"/>
          <a:extLst>
            <a:ext uri="{FF2B5EF4-FFF2-40B4-BE49-F238E27FC236}">
              <a16:creationId xmlns:a16="http://schemas.microsoft.com/office/drawing/2014/main" id="{A080EC05-88CA-4C54-921B-0ABFA2109920}"/>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1899554</xdr:colOff>
      <xdr:row>1</xdr:row>
      <xdr:rowOff>103586</xdr:rowOff>
    </xdr:from>
    <xdr:to>
      <xdr:col>5</xdr:col>
      <xdr:colOff>1899554</xdr:colOff>
      <xdr:row>2</xdr:row>
      <xdr:rowOff>117146</xdr:rowOff>
    </xdr:to>
    <xdr:cxnSp macro="">
      <xdr:nvCxnSpPr>
        <xdr:cNvPr id="124" name="Straight Connector 123">
          <a:extLst>
            <a:ext uri="{FF2B5EF4-FFF2-40B4-BE49-F238E27FC236}">
              <a16:creationId xmlns:a16="http://schemas.microsoft.com/office/drawing/2014/main" id="{178D3161-2D13-4BE6-9CC2-929C9102E8E4}"/>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1044464</xdr:colOff>
      <xdr:row>1</xdr:row>
      <xdr:rowOff>103586</xdr:rowOff>
    </xdr:from>
    <xdr:to>
      <xdr:col>5</xdr:col>
      <xdr:colOff>1044464</xdr:colOff>
      <xdr:row>2</xdr:row>
      <xdr:rowOff>117146</xdr:rowOff>
    </xdr:to>
    <xdr:cxnSp macro="">
      <xdr:nvCxnSpPr>
        <xdr:cNvPr id="125" name="Straight Connector 124">
          <a:extLst>
            <a:ext uri="{FF2B5EF4-FFF2-40B4-BE49-F238E27FC236}">
              <a16:creationId xmlns:a16="http://schemas.microsoft.com/office/drawing/2014/main" id="{B37800A8-30A6-4461-81D0-37EF3A8F2B56}"/>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183315</xdr:colOff>
      <xdr:row>1</xdr:row>
      <xdr:rowOff>103586</xdr:rowOff>
    </xdr:from>
    <xdr:to>
      <xdr:col>5</xdr:col>
      <xdr:colOff>183315</xdr:colOff>
      <xdr:row>2</xdr:row>
      <xdr:rowOff>117146</xdr:rowOff>
    </xdr:to>
    <xdr:cxnSp macro="">
      <xdr:nvCxnSpPr>
        <xdr:cNvPr id="126" name="Straight Connector 125">
          <a:extLst>
            <a:ext uri="{FF2B5EF4-FFF2-40B4-BE49-F238E27FC236}">
              <a16:creationId xmlns:a16="http://schemas.microsoft.com/office/drawing/2014/main" id="{F0F22154-9F04-4EFF-8F4F-556147166BE8}"/>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808050</xdr:colOff>
      <xdr:row>1</xdr:row>
      <xdr:rowOff>103586</xdr:rowOff>
    </xdr:from>
    <xdr:to>
      <xdr:col>6</xdr:col>
      <xdr:colOff>808050</xdr:colOff>
      <xdr:row>2</xdr:row>
      <xdr:rowOff>117146</xdr:rowOff>
    </xdr:to>
    <xdr:cxnSp macro="">
      <xdr:nvCxnSpPr>
        <xdr:cNvPr id="127" name="Straight Connector 126">
          <a:extLst>
            <a:ext uri="{FF2B5EF4-FFF2-40B4-BE49-F238E27FC236}">
              <a16:creationId xmlns:a16="http://schemas.microsoft.com/office/drawing/2014/main" id="{0E70E96E-3228-4355-BA9E-35C26000DF3A}"/>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787427</xdr:colOff>
      <xdr:row>1</xdr:row>
      <xdr:rowOff>103586</xdr:rowOff>
    </xdr:from>
    <xdr:to>
      <xdr:col>7</xdr:col>
      <xdr:colOff>787427</xdr:colOff>
      <xdr:row>2</xdr:row>
      <xdr:rowOff>117146</xdr:rowOff>
    </xdr:to>
    <xdr:cxnSp macro="">
      <xdr:nvCxnSpPr>
        <xdr:cNvPr id="128" name="Straight Connector 127">
          <a:extLst>
            <a:ext uri="{FF2B5EF4-FFF2-40B4-BE49-F238E27FC236}">
              <a16:creationId xmlns:a16="http://schemas.microsoft.com/office/drawing/2014/main" id="{AB148233-6296-4C69-8496-38A2C158D56B}"/>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759733</xdr:colOff>
      <xdr:row>1</xdr:row>
      <xdr:rowOff>103586</xdr:rowOff>
    </xdr:from>
    <xdr:to>
      <xdr:col>8</xdr:col>
      <xdr:colOff>759733</xdr:colOff>
      <xdr:row>2</xdr:row>
      <xdr:rowOff>117146</xdr:rowOff>
    </xdr:to>
    <xdr:cxnSp macro="">
      <xdr:nvCxnSpPr>
        <xdr:cNvPr id="129" name="Straight Connector 128">
          <a:extLst>
            <a:ext uri="{FF2B5EF4-FFF2-40B4-BE49-F238E27FC236}">
              <a16:creationId xmlns:a16="http://schemas.microsoft.com/office/drawing/2014/main" id="{1199F015-6466-486D-B41F-18DC548827C7}"/>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828971</xdr:colOff>
      <xdr:row>1</xdr:row>
      <xdr:rowOff>103586</xdr:rowOff>
    </xdr:from>
    <xdr:to>
      <xdr:col>9</xdr:col>
      <xdr:colOff>828971</xdr:colOff>
      <xdr:row>2</xdr:row>
      <xdr:rowOff>117146</xdr:rowOff>
    </xdr:to>
    <xdr:cxnSp macro="">
      <xdr:nvCxnSpPr>
        <xdr:cNvPr id="130" name="Straight Connector 129">
          <a:extLst>
            <a:ext uri="{FF2B5EF4-FFF2-40B4-BE49-F238E27FC236}">
              <a16:creationId xmlns:a16="http://schemas.microsoft.com/office/drawing/2014/main" id="{8AB06CE8-9682-4789-9E58-135F9346D72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1687880</xdr:colOff>
      <xdr:row>1</xdr:row>
      <xdr:rowOff>103586</xdr:rowOff>
    </xdr:from>
    <xdr:to>
      <xdr:col>9</xdr:col>
      <xdr:colOff>1687880</xdr:colOff>
      <xdr:row>2</xdr:row>
      <xdr:rowOff>117146</xdr:rowOff>
    </xdr:to>
    <xdr:cxnSp macro="">
      <xdr:nvCxnSpPr>
        <xdr:cNvPr id="131" name="Straight Connector 130">
          <a:extLst>
            <a:ext uri="{FF2B5EF4-FFF2-40B4-BE49-F238E27FC236}">
              <a16:creationId xmlns:a16="http://schemas.microsoft.com/office/drawing/2014/main" id="{C535A05C-6995-4110-8F14-DD7FB6C055ED}"/>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480217</xdr:colOff>
      <xdr:row>1</xdr:row>
      <xdr:rowOff>103586</xdr:rowOff>
    </xdr:from>
    <xdr:to>
      <xdr:col>10</xdr:col>
      <xdr:colOff>480217</xdr:colOff>
      <xdr:row>2</xdr:row>
      <xdr:rowOff>117146</xdr:rowOff>
    </xdr:to>
    <xdr:cxnSp macro="">
      <xdr:nvCxnSpPr>
        <xdr:cNvPr id="132" name="Straight Connector 131">
          <a:extLst>
            <a:ext uri="{FF2B5EF4-FFF2-40B4-BE49-F238E27FC236}">
              <a16:creationId xmlns:a16="http://schemas.microsoft.com/office/drawing/2014/main" id="{02BAB117-69AE-417B-BB28-AB3D3675DB7A}"/>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415953</xdr:colOff>
      <xdr:row>1</xdr:row>
      <xdr:rowOff>103586</xdr:rowOff>
    </xdr:from>
    <xdr:to>
      <xdr:col>12</xdr:col>
      <xdr:colOff>415953</xdr:colOff>
      <xdr:row>2</xdr:row>
      <xdr:rowOff>117146</xdr:rowOff>
    </xdr:to>
    <xdr:cxnSp macro="">
      <xdr:nvCxnSpPr>
        <xdr:cNvPr id="133" name="Straight Connector 132">
          <a:extLst>
            <a:ext uri="{FF2B5EF4-FFF2-40B4-BE49-F238E27FC236}">
              <a16:creationId xmlns:a16="http://schemas.microsoft.com/office/drawing/2014/main" id="{22ABD81A-6A8B-469C-8BDB-E310C6EEAA1B}"/>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482245</xdr:colOff>
      <xdr:row>1</xdr:row>
      <xdr:rowOff>103586</xdr:rowOff>
    </xdr:from>
    <xdr:to>
      <xdr:col>13</xdr:col>
      <xdr:colOff>482245</xdr:colOff>
      <xdr:row>2</xdr:row>
      <xdr:rowOff>117146</xdr:rowOff>
    </xdr:to>
    <xdr:cxnSp macro="">
      <xdr:nvCxnSpPr>
        <xdr:cNvPr id="134" name="Straight Connector 133">
          <a:extLst>
            <a:ext uri="{FF2B5EF4-FFF2-40B4-BE49-F238E27FC236}">
              <a16:creationId xmlns:a16="http://schemas.microsoft.com/office/drawing/2014/main" id="{6756448A-2C8C-432A-92A6-83363C333188}"/>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1342124</xdr:colOff>
      <xdr:row>1</xdr:row>
      <xdr:rowOff>103586</xdr:rowOff>
    </xdr:from>
    <xdr:to>
      <xdr:col>13</xdr:col>
      <xdr:colOff>1342124</xdr:colOff>
      <xdr:row>2</xdr:row>
      <xdr:rowOff>117146</xdr:rowOff>
    </xdr:to>
    <xdr:cxnSp macro="">
      <xdr:nvCxnSpPr>
        <xdr:cNvPr id="135" name="Straight Connector 134">
          <a:extLst>
            <a:ext uri="{FF2B5EF4-FFF2-40B4-BE49-F238E27FC236}">
              <a16:creationId xmlns:a16="http://schemas.microsoft.com/office/drawing/2014/main" id="{BEF46C0D-94AD-4D21-8973-7B01D9B7D8CA}"/>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247720</xdr:colOff>
      <xdr:row>1</xdr:row>
      <xdr:rowOff>103586</xdr:rowOff>
    </xdr:from>
    <xdr:to>
      <xdr:col>14</xdr:col>
      <xdr:colOff>247720</xdr:colOff>
      <xdr:row>2</xdr:row>
      <xdr:rowOff>117146</xdr:rowOff>
    </xdr:to>
    <xdr:cxnSp macro="">
      <xdr:nvCxnSpPr>
        <xdr:cNvPr id="136" name="Straight Connector 135">
          <a:extLst>
            <a:ext uri="{FF2B5EF4-FFF2-40B4-BE49-F238E27FC236}">
              <a16:creationId xmlns:a16="http://schemas.microsoft.com/office/drawing/2014/main" id="{99234C09-F0DD-4BC9-9719-39BDC27953B5}"/>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223813</xdr:colOff>
      <xdr:row>1</xdr:row>
      <xdr:rowOff>103586</xdr:rowOff>
    </xdr:from>
    <xdr:to>
      <xdr:col>15</xdr:col>
      <xdr:colOff>223813</xdr:colOff>
      <xdr:row>2</xdr:row>
      <xdr:rowOff>117146</xdr:rowOff>
    </xdr:to>
    <xdr:cxnSp macro="">
      <xdr:nvCxnSpPr>
        <xdr:cNvPr id="137" name="Straight Connector 136">
          <a:extLst>
            <a:ext uri="{FF2B5EF4-FFF2-40B4-BE49-F238E27FC236}">
              <a16:creationId xmlns:a16="http://schemas.microsoft.com/office/drawing/2014/main" id="{F07FA4A6-2BEB-4CF1-B875-68D7A65B32C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448084</xdr:colOff>
      <xdr:row>1</xdr:row>
      <xdr:rowOff>103586</xdr:rowOff>
    </xdr:from>
    <xdr:to>
      <xdr:col>11</xdr:col>
      <xdr:colOff>448084</xdr:colOff>
      <xdr:row>2</xdr:row>
      <xdr:rowOff>117146</xdr:rowOff>
    </xdr:to>
    <xdr:cxnSp macro="">
      <xdr:nvCxnSpPr>
        <xdr:cNvPr id="138" name="Straight Connector 137">
          <a:extLst>
            <a:ext uri="{FF2B5EF4-FFF2-40B4-BE49-F238E27FC236}">
              <a16:creationId xmlns:a16="http://schemas.microsoft.com/office/drawing/2014/main" id="{80CAE925-3ADF-41E9-88C2-FB6774223B50}"/>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742950</xdr:colOff>
      <xdr:row>30</xdr:row>
      <xdr:rowOff>9525</xdr:rowOff>
    </xdr:from>
    <xdr:to>
      <xdr:col>19</xdr:col>
      <xdr:colOff>200025</xdr:colOff>
      <xdr:row>33</xdr:row>
      <xdr:rowOff>704850</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91106</xdr:colOff>
      <xdr:row>8</xdr:row>
      <xdr:rowOff>149678</xdr:rowOff>
    </xdr:from>
    <xdr:to>
      <xdr:col>19</xdr:col>
      <xdr:colOff>24847</xdr:colOff>
      <xdr:row>26</xdr:row>
      <xdr:rowOff>8283</xdr:rowOff>
    </xdr:to>
    <xdr:graphicFrame macro="">
      <xdr:nvGraphicFramePr>
        <xdr:cNvPr id="7" name="Chart 6">
          <a:extLst>
            <a:ext uri="{FF2B5EF4-FFF2-40B4-BE49-F238E27FC236}">
              <a16:creationId xmlns:a16="http://schemas.microsoft.com/office/drawing/2014/main" id="{00000000-0008-0000-0200-000007000000}"/>
            </a:ext>
            <a:ext uri="{147F2762-F138-4A5C-976F-8EAC2B608ADB}">
              <a16:predDERef xmlns:a16="http://schemas.microsoft.com/office/drawing/2014/main" pre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47</xdr:col>
      <xdr:colOff>656236</xdr:colOff>
      <xdr:row>4</xdr:row>
      <xdr:rowOff>0</xdr:rowOff>
    </xdr:to>
    <xdr:sp macro="" textlink="">
      <xdr:nvSpPr>
        <xdr:cNvPr id="71" name="Rectangle 70">
          <a:extLst>
            <a:ext uri="{FF2B5EF4-FFF2-40B4-BE49-F238E27FC236}">
              <a16:creationId xmlns:a16="http://schemas.microsoft.com/office/drawing/2014/main" id="{E1241B6F-0751-418E-B9A7-5E207E3086E0}"/>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342297</xdr:colOff>
      <xdr:row>1</xdr:row>
      <xdr:rowOff>19879</xdr:rowOff>
    </xdr:from>
    <xdr:to>
      <xdr:col>14</xdr:col>
      <xdr:colOff>283615</xdr:colOff>
      <xdr:row>3</xdr:row>
      <xdr:rowOff>10354</xdr:rowOff>
    </xdr:to>
    <xdr:sp macro="" textlink="">
      <xdr:nvSpPr>
        <xdr:cNvPr id="72" name="TextBox 71">
          <a:hlinkClick xmlns:r="http://schemas.openxmlformats.org/officeDocument/2006/relationships" r:id="rId3"/>
          <a:extLst>
            <a:ext uri="{FF2B5EF4-FFF2-40B4-BE49-F238E27FC236}">
              <a16:creationId xmlns:a16="http://schemas.microsoft.com/office/drawing/2014/main" id="{55262863-9450-4F06-9D8D-4B0DB13D2C04}"/>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73" name="Picture 72">
          <a:extLst>
            <a:ext uri="{FF2B5EF4-FFF2-40B4-BE49-F238E27FC236}">
              <a16:creationId xmlns:a16="http://schemas.microsoft.com/office/drawing/2014/main" id="{ACDA3FA9-90A8-4F4D-B2B7-9F642B9D77E5}"/>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75" name="Straight Connector 74">
          <a:extLst>
            <a:ext uri="{FF2B5EF4-FFF2-40B4-BE49-F238E27FC236}">
              <a16:creationId xmlns:a16="http://schemas.microsoft.com/office/drawing/2014/main" id="{F3BC02EC-DB37-4C51-82C7-6785274B6873}"/>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220400</xdr:colOff>
      <xdr:row>1</xdr:row>
      <xdr:rowOff>19879</xdr:rowOff>
    </xdr:from>
    <xdr:to>
      <xdr:col>4</xdr:col>
      <xdr:colOff>12877</xdr:colOff>
      <xdr:row>3</xdr:row>
      <xdr:rowOff>10354</xdr:rowOff>
    </xdr:to>
    <xdr:sp macro="" textlink="">
      <xdr:nvSpPr>
        <xdr:cNvPr id="76" name="TextBox 75">
          <a:hlinkClick xmlns:r="http://schemas.openxmlformats.org/officeDocument/2006/relationships" r:id="rId5"/>
          <a:extLst>
            <a:ext uri="{FF2B5EF4-FFF2-40B4-BE49-F238E27FC236}">
              <a16:creationId xmlns:a16="http://schemas.microsoft.com/office/drawing/2014/main" id="{FA40318F-8EA5-4266-B37B-1326E6082E23}"/>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801428</xdr:colOff>
      <xdr:row>1</xdr:row>
      <xdr:rowOff>19879</xdr:rowOff>
    </xdr:from>
    <xdr:to>
      <xdr:col>4</xdr:col>
      <xdr:colOff>874026</xdr:colOff>
      <xdr:row>3</xdr:row>
      <xdr:rowOff>10354</xdr:rowOff>
    </xdr:to>
    <xdr:sp macro="" textlink="">
      <xdr:nvSpPr>
        <xdr:cNvPr id="77" name="TextBox 76">
          <a:hlinkClick xmlns:r="http://schemas.openxmlformats.org/officeDocument/2006/relationships" r:id="rId6"/>
          <a:extLst>
            <a:ext uri="{FF2B5EF4-FFF2-40B4-BE49-F238E27FC236}">
              <a16:creationId xmlns:a16="http://schemas.microsoft.com/office/drawing/2014/main" id="{27AEB8EA-3296-45A7-914E-71C82E31784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776752</xdr:colOff>
      <xdr:row>1</xdr:row>
      <xdr:rowOff>19879</xdr:rowOff>
    </xdr:from>
    <xdr:to>
      <xdr:col>5</xdr:col>
      <xdr:colOff>843291</xdr:colOff>
      <xdr:row>3</xdr:row>
      <xdr:rowOff>10354</xdr:rowOff>
    </xdr:to>
    <xdr:sp macro="" textlink="">
      <xdr:nvSpPr>
        <xdr:cNvPr id="78" name="TextBox 77">
          <a:hlinkClick xmlns:r="http://schemas.openxmlformats.org/officeDocument/2006/relationships" r:id="rId7"/>
          <a:extLst>
            <a:ext uri="{FF2B5EF4-FFF2-40B4-BE49-F238E27FC236}">
              <a16:creationId xmlns:a16="http://schemas.microsoft.com/office/drawing/2014/main" id="{6FBD5DF9-A775-4A19-A0FC-DAFEC5AD4615}"/>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Industry</a:t>
          </a:r>
        </a:p>
      </xdr:txBody>
    </xdr:sp>
    <xdr:clientData/>
  </xdr:twoCellAnchor>
  <xdr:twoCellAnchor>
    <xdr:from>
      <xdr:col>5</xdr:col>
      <xdr:colOff>746017</xdr:colOff>
      <xdr:row>1</xdr:row>
      <xdr:rowOff>19879</xdr:rowOff>
    </xdr:from>
    <xdr:to>
      <xdr:col>6</xdr:col>
      <xdr:colOff>818587</xdr:colOff>
      <xdr:row>3</xdr:row>
      <xdr:rowOff>10354</xdr:rowOff>
    </xdr:to>
    <xdr:sp macro="" textlink="">
      <xdr:nvSpPr>
        <xdr:cNvPr id="79" name="TextBox 78">
          <a:hlinkClick xmlns:r="http://schemas.openxmlformats.org/officeDocument/2006/relationships" r:id="rId8"/>
          <a:extLst>
            <a:ext uri="{FF2B5EF4-FFF2-40B4-BE49-F238E27FC236}">
              <a16:creationId xmlns:a16="http://schemas.microsoft.com/office/drawing/2014/main" id="{2B667BDB-86AE-430E-9A58-F982FE6EFB57}"/>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721313</xdr:colOff>
      <xdr:row>1</xdr:row>
      <xdr:rowOff>19879</xdr:rowOff>
    </xdr:from>
    <xdr:to>
      <xdr:col>7</xdr:col>
      <xdr:colOff>797964</xdr:colOff>
      <xdr:row>3</xdr:row>
      <xdr:rowOff>10354</xdr:rowOff>
    </xdr:to>
    <xdr:sp macro="" textlink="">
      <xdr:nvSpPr>
        <xdr:cNvPr id="80" name="TextBox 79">
          <a:hlinkClick xmlns:r="http://schemas.openxmlformats.org/officeDocument/2006/relationships" r:id="rId9"/>
          <a:extLst>
            <a:ext uri="{FF2B5EF4-FFF2-40B4-BE49-F238E27FC236}">
              <a16:creationId xmlns:a16="http://schemas.microsoft.com/office/drawing/2014/main" id="{39078D2E-A3E2-4FEC-AE0B-7DC8830EBA7D}"/>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700690</xdr:colOff>
      <xdr:row>1</xdr:row>
      <xdr:rowOff>19879</xdr:rowOff>
    </xdr:from>
    <xdr:to>
      <xdr:col>8</xdr:col>
      <xdr:colOff>770270</xdr:colOff>
      <xdr:row>3</xdr:row>
      <xdr:rowOff>10354</xdr:rowOff>
    </xdr:to>
    <xdr:sp macro="" textlink="">
      <xdr:nvSpPr>
        <xdr:cNvPr id="81" name="TextBox 80">
          <a:hlinkClick xmlns:r="http://schemas.openxmlformats.org/officeDocument/2006/relationships" r:id="rId10"/>
          <a:extLst>
            <a:ext uri="{FF2B5EF4-FFF2-40B4-BE49-F238E27FC236}">
              <a16:creationId xmlns:a16="http://schemas.microsoft.com/office/drawing/2014/main" id="{AAB4944E-4E73-411F-B4A5-756BC5D2C033}"/>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674677</xdr:colOff>
      <xdr:row>1</xdr:row>
      <xdr:rowOff>19879</xdr:rowOff>
    </xdr:from>
    <xdr:to>
      <xdr:col>9</xdr:col>
      <xdr:colOff>742577</xdr:colOff>
      <xdr:row>3</xdr:row>
      <xdr:rowOff>10354</xdr:rowOff>
    </xdr:to>
    <xdr:sp macro="" textlink="">
      <xdr:nvSpPr>
        <xdr:cNvPr id="82" name="TextBox 81">
          <a:hlinkClick xmlns:r="http://schemas.openxmlformats.org/officeDocument/2006/relationships" r:id="rId11"/>
          <a:extLst>
            <a:ext uri="{FF2B5EF4-FFF2-40B4-BE49-F238E27FC236}">
              <a16:creationId xmlns:a16="http://schemas.microsoft.com/office/drawing/2014/main" id="{00378AD7-200D-4823-9A3D-4E9F6BF21DF7}"/>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646984</xdr:colOff>
      <xdr:row>1</xdr:row>
      <xdr:rowOff>19879</xdr:rowOff>
    </xdr:from>
    <xdr:to>
      <xdr:col>10</xdr:col>
      <xdr:colOff>717342</xdr:colOff>
      <xdr:row>3</xdr:row>
      <xdr:rowOff>10354</xdr:rowOff>
    </xdr:to>
    <xdr:sp macro="" textlink="">
      <xdr:nvSpPr>
        <xdr:cNvPr id="83" name="TextBox 82">
          <a:hlinkClick xmlns:r="http://schemas.openxmlformats.org/officeDocument/2006/relationships" r:id="rId12"/>
          <a:extLst>
            <a:ext uri="{FF2B5EF4-FFF2-40B4-BE49-F238E27FC236}">
              <a16:creationId xmlns:a16="http://schemas.microsoft.com/office/drawing/2014/main" id="{13CD9F07-E5CF-48F6-9184-836859EBEB33}"/>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10</xdr:col>
      <xdr:colOff>620068</xdr:colOff>
      <xdr:row>1</xdr:row>
      <xdr:rowOff>19879</xdr:rowOff>
    </xdr:from>
    <xdr:to>
      <xdr:col>11</xdr:col>
      <xdr:colOff>690779</xdr:colOff>
      <xdr:row>3</xdr:row>
      <xdr:rowOff>10354</xdr:rowOff>
    </xdr:to>
    <xdr:sp macro="" textlink="">
      <xdr:nvSpPr>
        <xdr:cNvPr id="84" name="TextBox 83">
          <a:hlinkClick xmlns:r="http://schemas.openxmlformats.org/officeDocument/2006/relationships" r:id="rId13"/>
          <a:extLst>
            <a:ext uri="{FF2B5EF4-FFF2-40B4-BE49-F238E27FC236}">
              <a16:creationId xmlns:a16="http://schemas.microsoft.com/office/drawing/2014/main" id="{16D3EF2D-005E-4FA5-A0B1-2E3B767C866B}"/>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11</xdr:col>
      <xdr:colOff>593505</xdr:colOff>
      <xdr:row>1</xdr:row>
      <xdr:rowOff>19879</xdr:rowOff>
    </xdr:from>
    <xdr:to>
      <xdr:col>12</xdr:col>
      <xdr:colOff>439571</xdr:colOff>
      <xdr:row>3</xdr:row>
      <xdr:rowOff>10354</xdr:rowOff>
    </xdr:to>
    <xdr:sp macro="" textlink="">
      <xdr:nvSpPr>
        <xdr:cNvPr id="85" name="TextBox 84">
          <a:hlinkClick xmlns:r="http://schemas.openxmlformats.org/officeDocument/2006/relationships" r:id="rId14"/>
          <a:extLst>
            <a:ext uri="{FF2B5EF4-FFF2-40B4-BE49-F238E27FC236}">
              <a16:creationId xmlns:a16="http://schemas.microsoft.com/office/drawing/2014/main" id="{DCD746F1-AEED-4DDC-9DB6-0F72F9371081}"/>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14</xdr:col>
      <xdr:colOff>186341</xdr:colOff>
      <xdr:row>1</xdr:row>
      <xdr:rowOff>19879</xdr:rowOff>
    </xdr:from>
    <xdr:to>
      <xdr:col>15</xdr:col>
      <xdr:colOff>254657</xdr:colOff>
      <xdr:row>3</xdr:row>
      <xdr:rowOff>10354</xdr:rowOff>
    </xdr:to>
    <xdr:sp macro="" textlink="">
      <xdr:nvSpPr>
        <xdr:cNvPr id="86" name="TextBox 85">
          <a:hlinkClick xmlns:r="http://schemas.openxmlformats.org/officeDocument/2006/relationships" r:id="rId15"/>
          <a:extLst>
            <a:ext uri="{FF2B5EF4-FFF2-40B4-BE49-F238E27FC236}">
              <a16:creationId xmlns:a16="http://schemas.microsoft.com/office/drawing/2014/main" id="{76A0016A-2D25-4BD4-ACF6-54E67BCCE604}"/>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15</xdr:col>
      <xdr:colOff>157383</xdr:colOff>
      <xdr:row>1</xdr:row>
      <xdr:rowOff>19879</xdr:rowOff>
    </xdr:from>
    <xdr:to>
      <xdr:col>16</xdr:col>
      <xdr:colOff>228711</xdr:colOff>
      <xdr:row>3</xdr:row>
      <xdr:rowOff>10354</xdr:rowOff>
    </xdr:to>
    <xdr:sp macro="" textlink="">
      <xdr:nvSpPr>
        <xdr:cNvPr id="87" name="TextBox 86">
          <a:hlinkClick xmlns:r="http://schemas.openxmlformats.org/officeDocument/2006/relationships" r:id="rId16"/>
          <a:extLst>
            <a:ext uri="{FF2B5EF4-FFF2-40B4-BE49-F238E27FC236}">
              <a16:creationId xmlns:a16="http://schemas.microsoft.com/office/drawing/2014/main" id="{562F5849-25BB-460A-9044-01A4A2CCD46D}"/>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16</xdr:col>
      <xdr:colOff>131437</xdr:colOff>
      <xdr:row>1</xdr:row>
      <xdr:rowOff>19879</xdr:rowOff>
    </xdr:from>
    <xdr:to>
      <xdr:col>17</xdr:col>
      <xdr:colOff>201107</xdr:colOff>
      <xdr:row>3</xdr:row>
      <xdr:rowOff>10354</xdr:rowOff>
    </xdr:to>
    <xdr:sp macro="" textlink="">
      <xdr:nvSpPr>
        <xdr:cNvPr id="88" name="TextBox 87">
          <a:hlinkClick xmlns:r="http://schemas.openxmlformats.org/officeDocument/2006/relationships" r:id="rId17"/>
          <a:extLst>
            <a:ext uri="{FF2B5EF4-FFF2-40B4-BE49-F238E27FC236}">
              <a16:creationId xmlns:a16="http://schemas.microsoft.com/office/drawing/2014/main" id="{C8CECC5E-129C-4B2F-B332-34F7BE435F03}"/>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17</xdr:col>
      <xdr:colOff>103833</xdr:colOff>
      <xdr:row>1</xdr:row>
      <xdr:rowOff>19879</xdr:rowOff>
    </xdr:from>
    <xdr:to>
      <xdr:col>18</xdr:col>
      <xdr:colOff>177200</xdr:colOff>
      <xdr:row>3</xdr:row>
      <xdr:rowOff>10354</xdr:rowOff>
    </xdr:to>
    <xdr:sp macro="" textlink="">
      <xdr:nvSpPr>
        <xdr:cNvPr id="89" name="TextBox 88">
          <a:hlinkClick xmlns:r="http://schemas.openxmlformats.org/officeDocument/2006/relationships" r:id="rId18"/>
          <a:extLst>
            <a:ext uri="{FF2B5EF4-FFF2-40B4-BE49-F238E27FC236}">
              <a16:creationId xmlns:a16="http://schemas.microsoft.com/office/drawing/2014/main" id="{B78E2BDF-970D-45E9-8152-7D4EEF801F1A}"/>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18</xdr:col>
      <xdr:colOff>79937</xdr:colOff>
      <xdr:row>1</xdr:row>
      <xdr:rowOff>19879</xdr:rowOff>
    </xdr:from>
    <xdr:to>
      <xdr:col>19</xdr:col>
      <xdr:colOff>150877</xdr:colOff>
      <xdr:row>3</xdr:row>
      <xdr:rowOff>10354</xdr:rowOff>
    </xdr:to>
    <xdr:sp macro="" textlink="">
      <xdr:nvSpPr>
        <xdr:cNvPr id="90" name="TextBox 89">
          <a:hlinkClick xmlns:r="http://schemas.openxmlformats.org/officeDocument/2006/relationships" r:id="rId19"/>
          <a:extLst>
            <a:ext uri="{FF2B5EF4-FFF2-40B4-BE49-F238E27FC236}">
              <a16:creationId xmlns:a16="http://schemas.microsoft.com/office/drawing/2014/main" id="{AD3BC0ED-DDDC-4A36-B3FC-1E977FE4AE7A}"/>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794654</xdr:colOff>
      <xdr:row>1</xdr:row>
      <xdr:rowOff>103586</xdr:rowOff>
    </xdr:from>
    <xdr:to>
      <xdr:col>5</xdr:col>
      <xdr:colOff>794654</xdr:colOff>
      <xdr:row>2</xdr:row>
      <xdr:rowOff>117146</xdr:rowOff>
    </xdr:to>
    <xdr:cxnSp macro="">
      <xdr:nvCxnSpPr>
        <xdr:cNvPr id="91" name="Straight Connector 90">
          <a:extLst>
            <a:ext uri="{FF2B5EF4-FFF2-40B4-BE49-F238E27FC236}">
              <a16:creationId xmlns:a16="http://schemas.microsoft.com/office/drawing/2014/main" id="{7D5929C8-00CD-47FB-AB74-6A387FB8D50F}"/>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825389</xdr:colOff>
      <xdr:row>1</xdr:row>
      <xdr:rowOff>103586</xdr:rowOff>
    </xdr:from>
    <xdr:to>
      <xdr:col>4</xdr:col>
      <xdr:colOff>825389</xdr:colOff>
      <xdr:row>2</xdr:row>
      <xdr:rowOff>117146</xdr:rowOff>
    </xdr:to>
    <xdr:cxnSp macro="">
      <xdr:nvCxnSpPr>
        <xdr:cNvPr id="92" name="Straight Connector 91">
          <a:extLst>
            <a:ext uri="{FF2B5EF4-FFF2-40B4-BE49-F238E27FC236}">
              <a16:creationId xmlns:a16="http://schemas.microsoft.com/office/drawing/2014/main" id="{A9F9B8C9-B4AE-492A-B7D4-5771D830267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850065</xdr:colOff>
      <xdr:row>1</xdr:row>
      <xdr:rowOff>103586</xdr:rowOff>
    </xdr:from>
    <xdr:to>
      <xdr:col>3</xdr:col>
      <xdr:colOff>850065</xdr:colOff>
      <xdr:row>2</xdr:row>
      <xdr:rowOff>117146</xdr:rowOff>
    </xdr:to>
    <xdr:cxnSp macro="">
      <xdr:nvCxnSpPr>
        <xdr:cNvPr id="93" name="Straight Connector 92">
          <a:extLst>
            <a:ext uri="{FF2B5EF4-FFF2-40B4-BE49-F238E27FC236}">
              <a16:creationId xmlns:a16="http://schemas.microsoft.com/office/drawing/2014/main" id="{2AAD7027-BC14-447B-A7EB-46AB537CD46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769950</xdr:colOff>
      <xdr:row>1</xdr:row>
      <xdr:rowOff>103586</xdr:rowOff>
    </xdr:from>
    <xdr:to>
      <xdr:col>6</xdr:col>
      <xdr:colOff>769950</xdr:colOff>
      <xdr:row>2</xdr:row>
      <xdr:rowOff>117146</xdr:rowOff>
    </xdr:to>
    <xdr:cxnSp macro="">
      <xdr:nvCxnSpPr>
        <xdr:cNvPr id="94" name="Straight Connector 93">
          <a:extLst>
            <a:ext uri="{FF2B5EF4-FFF2-40B4-BE49-F238E27FC236}">
              <a16:creationId xmlns:a16="http://schemas.microsoft.com/office/drawing/2014/main" id="{5A2D9BCF-AECC-4C05-94F7-624274DC69BF}"/>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749327</xdr:colOff>
      <xdr:row>1</xdr:row>
      <xdr:rowOff>103586</xdr:rowOff>
    </xdr:from>
    <xdr:to>
      <xdr:col>7</xdr:col>
      <xdr:colOff>749327</xdr:colOff>
      <xdr:row>2</xdr:row>
      <xdr:rowOff>117146</xdr:rowOff>
    </xdr:to>
    <xdr:cxnSp macro="">
      <xdr:nvCxnSpPr>
        <xdr:cNvPr id="95" name="Straight Connector 94">
          <a:extLst>
            <a:ext uri="{FF2B5EF4-FFF2-40B4-BE49-F238E27FC236}">
              <a16:creationId xmlns:a16="http://schemas.microsoft.com/office/drawing/2014/main" id="{E95976A5-8AF1-403F-9D5D-80DA8204F8B1}"/>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721633</xdr:colOff>
      <xdr:row>1</xdr:row>
      <xdr:rowOff>103586</xdr:rowOff>
    </xdr:from>
    <xdr:to>
      <xdr:col>8</xdr:col>
      <xdr:colOff>721633</xdr:colOff>
      <xdr:row>2</xdr:row>
      <xdr:rowOff>117146</xdr:rowOff>
    </xdr:to>
    <xdr:cxnSp macro="">
      <xdr:nvCxnSpPr>
        <xdr:cNvPr id="96" name="Straight Connector 95">
          <a:extLst>
            <a:ext uri="{FF2B5EF4-FFF2-40B4-BE49-F238E27FC236}">
              <a16:creationId xmlns:a16="http://schemas.microsoft.com/office/drawing/2014/main" id="{22BBE922-EC59-4928-95BE-9A49D7E3334E}"/>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695621</xdr:colOff>
      <xdr:row>1</xdr:row>
      <xdr:rowOff>103586</xdr:rowOff>
    </xdr:from>
    <xdr:to>
      <xdr:col>9</xdr:col>
      <xdr:colOff>695621</xdr:colOff>
      <xdr:row>2</xdr:row>
      <xdr:rowOff>117146</xdr:rowOff>
    </xdr:to>
    <xdr:cxnSp macro="">
      <xdr:nvCxnSpPr>
        <xdr:cNvPr id="97" name="Straight Connector 96">
          <a:extLst>
            <a:ext uri="{FF2B5EF4-FFF2-40B4-BE49-F238E27FC236}">
              <a16:creationId xmlns:a16="http://schemas.microsoft.com/office/drawing/2014/main" id="{34F2E49D-E718-4364-A1A3-53A843C6D1EC}"/>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668705</xdr:colOff>
      <xdr:row>1</xdr:row>
      <xdr:rowOff>103586</xdr:rowOff>
    </xdr:from>
    <xdr:to>
      <xdr:col>10</xdr:col>
      <xdr:colOff>668705</xdr:colOff>
      <xdr:row>2</xdr:row>
      <xdr:rowOff>117146</xdr:rowOff>
    </xdr:to>
    <xdr:cxnSp macro="">
      <xdr:nvCxnSpPr>
        <xdr:cNvPr id="98" name="Straight Connector 97">
          <a:extLst>
            <a:ext uri="{FF2B5EF4-FFF2-40B4-BE49-F238E27FC236}">
              <a16:creationId xmlns:a16="http://schemas.microsoft.com/office/drawing/2014/main" id="{82F6FC6E-F9EE-4C82-B26B-6D250F2E7A26}"/>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642142</xdr:colOff>
      <xdr:row>1</xdr:row>
      <xdr:rowOff>103586</xdr:rowOff>
    </xdr:from>
    <xdr:to>
      <xdr:col>11</xdr:col>
      <xdr:colOff>642142</xdr:colOff>
      <xdr:row>2</xdr:row>
      <xdr:rowOff>117146</xdr:rowOff>
    </xdr:to>
    <xdr:cxnSp macro="">
      <xdr:nvCxnSpPr>
        <xdr:cNvPr id="99" name="Straight Connector 98">
          <a:extLst>
            <a:ext uri="{FF2B5EF4-FFF2-40B4-BE49-F238E27FC236}">
              <a16:creationId xmlns:a16="http://schemas.microsoft.com/office/drawing/2014/main" id="{2AE0B49E-8C88-442E-B832-D18FCC1359E5}"/>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234978</xdr:colOff>
      <xdr:row>1</xdr:row>
      <xdr:rowOff>103586</xdr:rowOff>
    </xdr:from>
    <xdr:to>
      <xdr:col>14</xdr:col>
      <xdr:colOff>234978</xdr:colOff>
      <xdr:row>2</xdr:row>
      <xdr:rowOff>117146</xdr:rowOff>
    </xdr:to>
    <xdr:cxnSp macro="">
      <xdr:nvCxnSpPr>
        <xdr:cNvPr id="100" name="Straight Connector 99">
          <a:extLst>
            <a:ext uri="{FF2B5EF4-FFF2-40B4-BE49-F238E27FC236}">
              <a16:creationId xmlns:a16="http://schemas.microsoft.com/office/drawing/2014/main" id="{1EA37724-E820-455C-809B-86BEE73E9D8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206020</xdr:colOff>
      <xdr:row>1</xdr:row>
      <xdr:rowOff>103586</xdr:rowOff>
    </xdr:from>
    <xdr:to>
      <xdr:col>15</xdr:col>
      <xdr:colOff>206020</xdr:colOff>
      <xdr:row>2</xdr:row>
      <xdr:rowOff>117146</xdr:rowOff>
    </xdr:to>
    <xdr:cxnSp macro="">
      <xdr:nvCxnSpPr>
        <xdr:cNvPr id="101" name="Straight Connector 100">
          <a:extLst>
            <a:ext uri="{FF2B5EF4-FFF2-40B4-BE49-F238E27FC236}">
              <a16:creationId xmlns:a16="http://schemas.microsoft.com/office/drawing/2014/main" id="{9F274298-0942-46F4-85F7-3EF3A72673EC}"/>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180074</xdr:colOff>
      <xdr:row>1</xdr:row>
      <xdr:rowOff>103586</xdr:rowOff>
    </xdr:from>
    <xdr:to>
      <xdr:col>16</xdr:col>
      <xdr:colOff>180074</xdr:colOff>
      <xdr:row>2</xdr:row>
      <xdr:rowOff>117146</xdr:rowOff>
    </xdr:to>
    <xdr:cxnSp macro="">
      <xdr:nvCxnSpPr>
        <xdr:cNvPr id="102" name="Straight Connector 101">
          <a:extLst>
            <a:ext uri="{FF2B5EF4-FFF2-40B4-BE49-F238E27FC236}">
              <a16:creationId xmlns:a16="http://schemas.microsoft.com/office/drawing/2014/main" id="{847E6BBA-5ADB-41FD-9151-F41645D30FC5}"/>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152470</xdr:colOff>
      <xdr:row>1</xdr:row>
      <xdr:rowOff>103586</xdr:rowOff>
    </xdr:from>
    <xdr:to>
      <xdr:col>17</xdr:col>
      <xdr:colOff>152470</xdr:colOff>
      <xdr:row>2</xdr:row>
      <xdr:rowOff>117146</xdr:rowOff>
    </xdr:to>
    <xdr:cxnSp macro="">
      <xdr:nvCxnSpPr>
        <xdr:cNvPr id="103" name="Straight Connector 102">
          <a:extLst>
            <a:ext uri="{FF2B5EF4-FFF2-40B4-BE49-F238E27FC236}">
              <a16:creationId xmlns:a16="http://schemas.microsoft.com/office/drawing/2014/main" id="{B0E7490D-3F92-4350-AD9E-FAAF082FE02C}"/>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128563</xdr:colOff>
      <xdr:row>1</xdr:row>
      <xdr:rowOff>103586</xdr:rowOff>
    </xdr:from>
    <xdr:to>
      <xdr:col>18</xdr:col>
      <xdr:colOff>128563</xdr:colOff>
      <xdr:row>2</xdr:row>
      <xdr:rowOff>117146</xdr:rowOff>
    </xdr:to>
    <xdr:cxnSp macro="">
      <xdr:nvCxnSpPr>
        <xdr:cNvPr id="104" name="Straight Connector 103">
          <a:extLst>
            <a:ext uri="{FF2B5EF4-FFF2-40B4-BE49-F238E27FC236}">
              <a16:creationId xmlns:a16="http://schemas.microsoft.com/office/drawing/2014/main" id="{B2514338-A737-460E-8958-448A77EDDA15}"/>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390934</xdr:colOff>
      <xdr:row>1</xdr:row>
      <xdr:rowOff>103586</xdr:rowOff>
    </xdr:from>
    <xdr:to>
      <xdr:col>12</xdr:col>
      <xdr:colOff>390934</xdr:colOff>
      <xdr:row>2</xdr:row>
      <xdr:rowOff>117146</xdr:rowOff>
    </xdr:to>
    <xdr:cxnSp macro="">
      <xdr:nvCxnSpPr>
        <xdr:cNvPr id="105" name="Straight Connector 104">
          <a:extLst>
            <a:ext uri="{FF2B5EF4-FFF2-40B4-BE49-F238E27FC236}">
              <a16:creationId xmlns:a16="http://schemas.microsoft.com/office/drawing/2014/main" id="{02DBF2A8-D2F7-4B3E-91AE-97412FD8F3D5}"/>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44823</xdr:colOff>
      <xdr:row>14</xdr:row>
      <xdr:rowOff>0</xdr:rowOff>
    </xdr:from>
    <xdr:to>
      <xdr:col>8</xdr:col>
      <xdr:colOff>476249</xdr:colOff>
      <xdr:row>28</xdr:row>
      <xdr:rowOff>127747</xdr:rowOff>
    </xdr:to>
    <xdr:graphicFrame macro="">
      <xdr:nvGraphicFramePr>
        <xdr:cNvPr id="6"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609849</xdr:colOff>
      <xdr:row>14</xdr:row>
      <xdr:rowOff>0</xdr:rowOff>
    </xdr:from>
    <xdr:to>
      <xdr:col>9</xdr:col>
      <xdr:colOff>1812800</xdr:colOff>
      <xdr:row>28</xdr:row>
      <xdr:rowOff>127747</xdr:rowOff>
    </xdr:to>
    <xdr:graphicFrame macro="">
      <xdr:nvGraphicFramePr>
        <xdr:cNvPr id="3" name="Chart 2">
          <a:extLst>
            <a:ext uri="{FF2B5EF4-FFF2-40B4-BE49-F238E27FC236}">
              <a16:creationId xmlns:a16="http://schemas.microsoft.com/office/drawing/2014/main" id="{45AAF55B-ABA2-43D3-A462-02A43BBC5DE3}"/>
            </a:ext>
            <a:ext uri="{147F2762-F138-4A5C-976F-8EAC2B608ADB}">
              <a16:predDERef xmlns:a16="http://schemas.microsoft.com/office/drawing/2014/main" pre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1946400</xdr:colOff>
      <xdr:row>14</xdr:row>
      <xdr:rowOff>0</xdr:rowOff>
    </xdr:from>
    <xdr:to>
      <xdr:col>10</xdr:col>
      <xdr:colOff>2415926</xdr:colOff>
      <xdr:row>28</xdr:row>
      <xdr:rowOff>127747</xdr:rowOff>
    </xdr:to>
    <xdr:graphicFrame macro="">
      <xdr:nvGraphicFramePr>
        <xdr:cNvPr id="4" name="Chart 3">
          <a:extLst>
            <a:ext uri="{FF2B5EF4-FFF2-40B4-BE49-F238E27FC236}">
              <a16:creationId xmlns:a16="http://schemas.microsoft.com/office/drawing/2014/main" id="{59F1BEDE-4F75-4221-A558-067C1F36083D}"/>
            </a:ext>
            <a:ext uri="{147F2762-F138-4A5C-976F-8EAC2B608ADB}">
              <a16:predDERef xmlns:a16="http://schemas.microsoft.com/office/drawing/2014/main" pred="{45AAF55B-ABA2-43D3-A462-02A43BBC5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2549525</xdr:colOff>
      <xdr:row>14</xdr:row>
      <xdr:rowOff>0</xdr:rowOff>
    </xdr:from>
    <xdr:to>
      <xdr:col>10</xdr:col>
      <xdr:colOff>5657476</xdr:colOff>
      <xdr:row>28</xdr:row>
      <xdr:rowOff>127747</xdr:rowOff>
    </xdr:to>
    <xdr:graphicFrame macro="">
      <xdr:nvGraphicFramePr>
        <xdr:cNvPr id="9" name="Chart 8">
          <a:extLst>
            <a:ext uri="{FF2B5EF4-FFF2-40B4-BE49-F238E27FC236}">
              <a16:creationId xmlns:a16="http://schemas.microsoft.com/office/drawing/2014/main" id="{D3406B2A-6743-4D4D-90BD-D1A04B625C8D}"/>
            </a:ext>
            <a:ext uri="{147F2762-F138-4A5C-976F-8EAC2B608ADB}">
              <a16:predDERef xmlns:a16="http://schemas.microsoft.com/office/drawing/2014/main" pred="{59F1BEDE-4F75-4221-A558-067C1F360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0</xdr:row>
      <xdr:rowOff>0</xdr:rowOff>
    </xdr:from>
    <xdr:to>
      <xdr:col>54</xdr:col>
      <xdr:colOff>503836</xdr:colOff>
      <xdr:row>4</xdr:row>
      <xdr:rowOff>0</xdr:rowOff>
    </xdr:to>
    <xdr:sp macro="" textlink="">
      <xdr:nvSpPr>
        <xdr:cNvPr id="43" name="Rectangle 42">
          <a:extLst>
            <a:ext uri="{FF2B5EF4-FFF2-40B4-BE49-F238E27FC236}">
              <a16:creationId xmlns:a16="http://schemas.microsoft.com/office/drawing/2014/main" id="{2D5DAF4E-9732-4941-8B7A-2D340E0A3B0A}"/>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685197</xdr:colOff>
      <xdr:row>1</xdr:row>
      <xdr:rowOff>19879</xdr:rowOff>
    </xdr:from>
    <xdr:to>
      <xdr:col>10</xdr:col>
      <xdr:colOff>1636165</xdr:colOff>
      <xdr:row>3</xdr:row>
      <xdr:rowOff>10354</xdr:rowOff>
    </xdr:to>
    <xdr:sp macro="" textlink="">
      <xdr:nvSpPr>
        <xdr:cNvPr id="44" name="TextBox 43">
          <a:hlinkClick xmlns:r="http://schemas.openxmlformats.org/officeDocument/2006/relationships" r:id="rId5"/>
          <a:extLst>
            <a:ext uri="{FF2B5EF4-FFF2-40B4-BE49-F238E27FC236}">
              <a16:creationId xmlns:a16="http://schemas.microsoft.com/office/drawing/2014/main" id="{936ED9B2-D157-47DE-8E19-56A8E6CAEF03}"/>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5" name="Picture 44">
          <a:extLst>
            <a:ext uri="{FF2B5EF4-FFF2-40B4-BE49-F238E27FC236}">
              <a16:creationId xmlns:a16="http://schemas.microsoft.com/office/drawing/2014/main" id="{F420DE02-7D81-4670-8EBB-08948162F73D}"/>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1307327</xdr:colOff>
      <xdr:row>1</xdr:row>
      <xdr:rowOff>28201</xdr:rowOff>
    </xdr:from>
    <xdr:to>
      <xdr:col>1</xdr:col>
      <xdr:colOff>1307327</xdr:colOff>
      <xdr:row>2</xdr:row>
      <xdr:rowOff>138545</xdr:rowOff>
    </xdr:to>
    <xdr:cxnSp macro="">
      <xdr:nvCxnSpPr>
        <xdr:cNvPr id="51" name="Straight Connector 50">
          <a:extLst>
            <a:ext uri="{FF2B5EF4-FFF2-40B4-BE49-F238E27FC236}">
              <a16:creationId xmlns:a16="http://schemas.microsoft.com/office/drawing/2014/main" id="{58F14CEE-DFD4-4E2A-9A6A-517A0A8CC506}"/>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144200</xdr:colOff>
      <xdr:row>1</xdr:row>
      <xdr:rowOff>19879</xdr:rowOff>
    </xdr:from>
    <xdr:to>
      <xdr:col>6</xdr:col>
      <xdr:colOff>270052</xdr:colOff>
      <xdr:row>3</xdr:row>
      <xdr:rowOff>10354</xdr:rowOff>
    </xdr:to>
    <xdr:sp macro="" textlink="">
      <xdr:nvSpPr>
        <xdr:cNvPr id="52" name="TextBox 51">
          <a:hlinkClick xmlns:r="http://schemas.openxmlformats.org/officeDocument/2006/relationships" r:id="rId7"/>
          <a:extLst>
            <a:ext uri="{FF2B5EF4-FFF2-40B4-BE49-F238E27FC236}">
              <a16:creationId xmlns:a16="http://schemas.microsoft.com/office/drawing/2014/main" id="{B3AEE23F-2292-44FE-BD10-46B89F2C476C}"/>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6</xdr:col>
      <xdr:colOff>172778</xdr:colOff>
      <xdr:row>1</xdr:row>
      <xdr:rowOff>19879</xdr:rowOff>
    </xdr:from>
    <xdr:to>
      <xdr:col>6</xdr:col>
      <xdr:colOff>1131201</xdr:colOff>
      <xdr:row>3</xdr:row>
      <xdr:rowOff>10354</xdr:rowOff>
    </xdr:to>
    <xdr:sp macro="" textlink="">
      <xdr:nvSpPr>
        <xdr:cNvPr id="53" name="TextBox 52">
          <a:hlinkClick xmlns:r="http://schemas.openxmlformats.org/officeDocument/2006/relationships" r:id="rId8"/>
          <a:extLst>
            <a:ext uri="{FF2B5EF4-FFF2-40B4-BE49-F238E27FC236}">
              <a16:creationId xmlns:a16="http://schemas.microsoft.com/office/drawing/2014/main" id="{A82773A0-E5AD-4523-BF90-33E3C369F9C2}"/>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6</xdr:col>
      <xdr:colOff>1033927</xdr:colOff>
      <xdr:row>1</xdr:row>
      <xdr:rowOff>19879</xdr:rowOff>
    </xdr:from>
    <xdr:to>
      <xdr:col>7</xdr:col>
      <xdr:colOff>147966</xdr:colOff>
      <xdr:row>3</xdr:row>
      <xdr:rowOff>10354</xdr:rowOff>
    </xdr:to>
    <xdr:sp macro="" textlink="">
      <xdr:nvSpPr>
        <xdr:cNvPr id="54" name="TextBox 53">
          <a:hlinkClick xmlns:r="http://schemas.openxmlformats.org/officeDocument/2006/relationships" r:id="rId9"/>
          <a:extLst>
            <a:ext uri="{FF2B5EF4-FFF2-40B4-BE49-F238E27FC236}">
              <a16:creationId xmlns:a16="http://schemas.microsoft.com/office/drawing/2014/main" id="{81A68F13-42EF-41D9-B529-20CBF1058AD0}"/>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7</xdr:col>
      <xdr:colOff>50692</xdr:colOff>
      <xdr:row>1</xdr:row>
      <xdr:rowOff>19879</xdr:rowOff>
    </xdr:from>
    <xdr:to>
      <xdr:col>8</xdr:col>
      <xdr:colOff>170887</xdr:colOff>
      <xdr:row>3</xdr:row>
      <xdr:rowOff>10354</xdr:rowOff>
    </xdr:to>
    <xdr:sp macro="" textlink="">
      <xdr:nvSpPr>
        <xdr:cNvPr id="55" name="TextBox 54">
          <a:hlinkClick xmlns:r="http://schemas.openxmlformats.org/officeDocument/2006/relationships" r:id="rId10"/>
          <a:extLst>
            <a:ext uri="{FF2B5EF4-FFF2-40B4-BE49-F238E27FC236}">
              <a16:creationId xmlns:a16="http://schemas.microsoft.com/office/drawing/2014/main" id="{0E9D3C7B-02DD-49BA-8D86-0D7FF286C162}"/>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ESG</a:t>
          </a:r>
        </a:p>
      </xdr:txBody>
    </xdr:sp>
    <xdr:clientData/>
  </xdr:twoCellAnchor>
  <xdr:twoCellAnchor>
    <xdr:from>
      <xdr:col>8</xdr:col>
      <xdr:colOff>73613</xdr:colOff>
      <xdr:row>1</xdr:row>
      <xdr:rowOff>19879</xdr:rowOff>
    </xdr:from>
    <xdr:to>
      <xdr:col>8</xdr:col>
      <xdr:colOff>1036089</xdr:colOff>
      <xdr:row>3</xdr:row>
      <xdr:rowOff>10354</xdr:rowOff>
    </xdr:to>
    <xdr:sp macro="" textlink="">
      <xdr:nvSpPr>
        <xdr:cNvPr id="56" name="TextBox 55">
          <a:hlinkClick xmlns:r="http://schemas.openxmlformats.org/officeDocument/2006/relationships" r:id="rId11"/>
          <a:extLst>
            <a:ext uri="{FF2B5EF4-FFF2-40B4-BE49-F238E27FC236}">
              <a16:creationId xmlns:a16="http://schemas.microsoft.com/office/drawing/2014/main" id="{932774EF-06A8-4B60-BD1C-7FCB6D2B409C}"/>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8</xdr:col>
      <xdr:colOff>938815</xdr:colOff>
      <xdr:row>1</xdr:row>
      <xdr:rowOff>19879</xdr:rowOff>
    </xdr:from>
    <xdr:to>
      <xdr:col>8</xdr:col>
      <xdr:colOff>1894220</xdr:colOff>
      <xdr:row>3</xdr:row>
      <xdr:rowOff>10354</xdr:rowOff>
    </xdr:to>
    <xdr:sp macro="" textlink="">
      <xdr:nvSpPr>
        <xdr:cNvPr id="57" name="TextBox 56">
          <a:hlinkClick xmlns:r="http://schemas.openxmlformats.org/officeDocument/2006/relationships" r:id="rId12"/>
          <a:extLst>
            <a:ext uri="{FF2B5EF4-FFF2-40B4-BE49-F238E27FC236}">
              <a16:creationId xmlns:a16="http://schemas.microsoft.com/office/drawing/2014/main" id="{E6194C28-81E4-448A-9874-07F92F0A667A}"/>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1798627</xdr:colOff>
      <xdr:row>1</xdr:row>
      <xdr:rowOff>19879</xdr:rowOff>
    </xdr:from>
    <xdr:to>
      <xdr:col>9</xdr:col>
      <xdr:colOff>847352</xdr:colOff>
      <xdr:row>3</xdr:row>
      <xdr:rowOff>10354</xdr:rowOff>
    </xdr:to>
    <xdr:sp macro="" textlink="">
      <xdr:nvSpPr>
        <xdr:cNvPr id="58" name="TextBox 57">
          <a:hlinkClick xmlns:r="http://schemas.openxmlformats.org/officeDocument/2006/relationships" r:id="rId13"/>
          <a:extLst>
            <a:ext uri="{FF2B5EF4-FFF2-40B4-BE49-F238E27FC236}">
              <a16:creationId xmlns:a16="http://schemas.microsoft.com/office/drawing/2014/main" id="{2536E05E-497B-4B02-9B27-D69AD8327498}"/>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751759</xdr:colOff>
      <xdr:row>1</xdr:row>
      <xdr:rowOff>19879</xdr:rowOff>
    </xdr:from>
    <xdr:to>
      <xdr:col>9</xdr:col>
      <xdr:colOff>1707942</xdr:colOff>
      <xdr:row>3</xdr:row>
      <xdr:rowOff>10354</xdr:rowOff>
    </xdr:to>
    <xdr:sp macro="" textlink="">
      <xdr:nvSpPr>
        <xdr:cNvPr id="59" name="TextBox 58">
          <a:hlinkClick xmlns:r="http://schemas.openxmlformats.org/officeDocument/2006/relationships" r:id="rId14"/>
          <a:extLst>
            <a:ext uri="{FF2B5EF4-FFF2-40B4-BE49-F238E27FC236}">
              <a16:creationId xmlns:a16="http://schemas.microsoft.com/office/drawing/2014/main" id="{1626F59C-8810-4D52-AE76-2043817DE4AB}"/>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9</xdr:col>
      <xdr:colOff>1610668</xdr:colOff>
      <xdr:row>1</xdr:row>
      <xdr:rowOff>19879</xdr:rowOff>
    </xdr:from>
    <xdr:to>
      <xdr:col>9</xdr:col>
      <xdr:colOff>2567204</xdr:colOff>
      <xdr:row>3</xdr:row>
      <xdr:rowOff>10354</xdr:rowOff>
    </xdr:to>
    <xdr:sp macro="" textlink="">
      <xdr:nvSpPr>
        <xdr:cNvPr id="60" name="TextBox 59">
          <a:hlinkClick xmlns:r="http://schemas.openxmlformats.org/officeDocument/2006/relationships" r:id="rId15"/>
          <a:extLst>
            <a:ext uri="{FF2B5EF4-FFF2-40B4-BE49-F238E27FC236}">
              <a16:creationId xmlns:a16="http://schemas.microsoft.com/office/drawing/2014/main" id="{DF5727B1-0566-48CE-8B92-8D3099C94714}"/>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9</xdr:col>
      <xdr:colOff>2469930</xdr:colOff>
      <xdr:row>1</xdr:row>
      <xdr:rowOff>19879</xdr:rowOff>
    </xdr:from>
    <xdr:to>
      <xdr:col>10</xdr:col>
      <xdr:colOff>782471</xdr:colOff>
      <xdr:row>3</xdr:row>
      <xdr:rowOff>10354</xdr:rowOff>
    </xdr:to>
    <xdr:sp macro="" textlink="">
      <xdr:nvSpPr>
        <xdr:cNvPr id="61" name="TextBox 60">
          <a:hlinkClick xmlns:r="http://schemas.openxmlformats.org/officeDocument/2006/relationships" r:id="rId16"/>
          <a:extLst>
            <a:ext uri="{FF2B5EF4-FFF2-40B4-BE49-F238E27FC236}">
              <a16:creationId xmlns:a16="http://schemas.microsoft.com/office/drawing/2014/main" id="{49C8826F-B00F-452D-92A5-39AE4415F103}"/>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10</xdr:col>
      <xdr:colOff>1538891</xdr:colOff>
      <xdr:row>1</xdr:row>
      <xdr:rowOff>19879</xdr:rowOff>
    </xdr:from>
    <xdr:to>
      <xdr:col>10</xdr:col>
      <xdr:colOff>2493032</xdr:colOff>
      <xdr:row>3</xdr:row>
      <xdr:rowOff>10354</xdr:rowOff>
    </xdr:to>
    <xdr:sp macro="" textlink="">
      <xdr:nvSpPr>
        <xdr:cNvPr id="62" name="TextBox 61">
          <a:hlinkClick xmlns:r="http://schemas.openxmlformats.org/officeDocument/2006/relationships" r:id="rId17"/>
          <a:extLst>
            <a:ext uri="{FF2B5EF4-FFF2-40B4-BE49-F238E27FC236}">
              <a16:creationId xmlns:a16="http://schemas.microsoft.com/office/drawing/2014/main" id="{5C22341C-D040-4116-BD1F-3F77CE9188B7}"/>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10</xdr:col>
      <xdr:colOff>2395758</xdr:colOff>
      <xdr:row>1</xdr:row>
      <xdr:rowOff>19879</xdr:rowOff>
    </xdr:from>
    <xdr:to>
      <xdr:col>10</xdr:col>
      <xdr:colOff>3352911</xdr:colOff>
      <xdr:row>3</xdr:row>
      <xdr:rowOff>10354</xdr:rowOff>
    </xdr:to>
    <xdr:sp macro="" textlink="">
      <xdr:nvSpPr>
        <xdr:cNvPr id="63" name="TextBox 62">
          <a:hlinkClick xmlns:r="http://schemas.openxmlformats.org/officeDocument/2006/relationships" r:id="rId18"/>
          <a:extLst>
            <a:ext uri="{FF2B5EF4-FFF2-40B4-BE49-F238E27FC236}">
              <a16:creationId xmlns:a16="http://schemas.microsoft.com/office/drawing/2014/main" id="{F4B59316-069C-4887-BC5A-1C2F1FC0C52C}"/>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10</xdr:col>
      <xdr:colOff>3255637</xdr:colOff>
      <xdr:row>1</xdr:row>
      <xdr:rowOff>19879</xdr:rowOff>
    </xdr:from>
    <xdr:to>
      <xdr:col>10</xdr:col>
      <xdr:colOff>4211132</xdr:colOff>
      <xdr:row>3</xdr:row>
      <xdr:rowOff>10354</xdr:rowOff>
    </xdr:to>
    <xdr:sp macro="" textlink="">
      <xdr:nvSpPr>
        <xdr:cNvPr id="64" name="TextBox 63">
          <a:hlinkClick xmlns:r="http://schemas.openxmlformats.org/officeDocument/2006/relationships" r:id="rId19"/>
          <a:extLst>
            <a:ext uri="{FF2B5EF4-FFF2-40B4-BE49-F238E27FC236}">
              <a16:creationId xmlns:a16="http://schemas.microsoft.com/office/drawing/2014/main" id="{1770C40B-EF14-43FC-8F73-C0925A407D4D}"/>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10</xdr:col>
      <xdr:colOff>4113858</xdr:colOff>
      <xdr:row>1</xdr:row>
      <xdr:rowOff>19879</xdr:rowOff>
    </xdr:from>
    <xdr:to>
      <xdr:col>10</xdr:col>
      <xdr:colOff>5073050</xdr:colOff>
      <xdr:row>3</xdr:row>
      <xdr:rowOff>10354</xdr:rowOff>
    </xdr:to>
    <xdr:sp macro="" textlink="">
      <xdr:nvSpPr>
        <xdr:cNvPr id="65" name="TextBox 64">
          <a:hlinkClick xmlns:r="http://schemas.openxmlformats.org/officeDocument/2006/relationships" r:id="rId20"/>
          <a:extLst>
            <a:ext uri="{FF2B5EF4-FFF2-40B4-BE49-F238E27FC236}">
              <a16:creationId xmlns:a16="http://schemas.microsoft.com/office/drawing/2014/main" id="{98E2A19C-4626-4464-B80F-1A9A1DAEEC40}"/>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10</xdr:col>
      <xdr:colOff>4975787</xdr:colOff>
      <xdr:row>1</xdr:row>
      <xdr:rowOff>19879</xdr:rowOff>
    </xdr:from>
    <xdr:to>
      <xdr:col>11</xdr:col>
      <xdr:colOff>179452</xdr:colOff>
      <xdr:row>3</xdr:row>
      <xdr:rowOff>10354</xdr:rowOff>
    </xdr:to>
    <xdr:sp macro="" textlink="">
      <xdr:nvSpPr>
        <xdr:cNvPr id="66" name="TextBox 65">
          <a:hlinkClick xmlns:r="http://schemas.openxmlformats.org/officeDocument/2006/relationships" r:id="rId21"/>
          <a:extLst>
            <a:ext uri="{FF2B5EF4-FFF2-40B4-BE49-F238E27FC236}">
              <a16:creationId xmlns:a16="http://schemas.microsoft.com/office/drawing/2014/main" id="{3D592029-0980-4338-9F8A-86962E2B725E}"/>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7</xdr:col>
      <xdr:colOff>99329</xdr:colOff>
      <xdr:row>1</xdr:row>
      <xdr:rowOff>103586</xdr:rowOff>
    </xdr:from>
    <xdr:to>
      <xdr:col>7</xdr:col>
      <xdr:colOff>99329</xdr:colOff>
      <xdr:row>2</xdr:row>
      <xdr:rowOff>117146</xdr:rowOff>
    </xdr:to>
    <xdr:cxnSp macro="">
      <xdr:nvCxnSpPr>
        <xdr:cNvPr id="67" name="Straight Connector 66">
          <a:extLst>
            <a:ext uri="{FF2B5EF4-FFF2-40B4-BE49-F238E27FC236}">
              <a16:creationId xmlns:a16="http://schemas.microsoft.com/office/drawing/2014/main" id="{B3DB3067-E04C-484F-878E-DF672E8A3837}"/>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1082564</xdr:colOff>
      <xdr:row>1</xdr:row>
      <xdr:rowOff>103586</xdr:rowOff>
    </xdr:from>
    <xdr:to>
      <xdr:col>6</xdr:col>
      <xdr:colOff>1082564</xdr:colOff>
      <xdr:row>2</xdr:row>
      <xdr:rowOff>117146</xdr:rowOff>
    </xdr:to>
    <xdr:cxnSp macro="">
      <xdr:nvCxnSpPr>
        <xdr:cNvPr id="68" name="Straight Connector 67">
          <a:extLst>
            <a:ext uri="{FF2B5EF4-FFF2-40B4-BE49-F238E27FC236}">
              <a16:creationId xmlns:a16="http://schemas.microsoft.com/office/drawing/2014/main" id="{6C783374-799C-4323-AA2F-8AF14084FF53}"/>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221415</xdr:colOff>
      <xdr:row>1</xdr:row>
      <xdr:rowOff>103586</xdr:rowOff>
    </xdr:from>
    <xdr:to>
      <xdr:col>6</xdr:col>
      <xdr:colOff>221415</xdr:colOff>
      <xdr:row>2</xdr:row>
      <xdr:rowOff>117146</xdr:rowOff>
    </xdr:to>
    <xdr:cxnSp macro="">
      <xdr:nvCxnSpPr>
        <xdr:cNvPr id="69" name="Straight Connector 68">
          <a:extLst>
            <a:ext uri="{FF2B5EF4-FFF2-40B4-BE49-F238E27FC236}">
              <a16:creationId xmlns:a16="http://schemas.microsoft.com/office/drawing/2014/main" id="{4D1A2F6C-CA2B-49B5-BB3E-0CB2B9910CF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122250</xdr:colOff>
      <xdr:row>1</xdr:row>
      <xdr:rowOff>103586</xdr:rowOff>
    </xdr:from>
    <xdr:to>
      <xdr:col>8</xdr:col>
      <xdr:colOff>122250</xdr:colOff>
      <xdr:row>2</xdr:row>
      <xdr:rowOff>117146</xdr:rowOff>
    </xdr:to>
    <xdr:cxnSp macro="">
      <xdr:nvCxnSpPr>
        <xdr:cNvPr id="70" name="Straight Connector 69">
          <a:extLst>
            <a:ext uri="{FF2B5EF4-FFF2-40B4-BE49-F238E27FC236}">
              <a16:creationId xmlns:a16="http://schemas.microsoft.com/office/drawing/2014/main" id="{70BB0FEB-E536-4982-B7AD-BEAD311C6358}"/>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987452</xdr:colOff>
      <xdr:row>1</xdr:row>
      <xdr:rowOff>103586</xdr:rowOff>
    </xdr:from>
    <xdr:to>
      <xdr:col>8</xdr:col>
      <xdr:colOff>987452</xdr:colOff>
      <xdr:row>2</xdr:row>
      <xdr:rowOff>117146</xdr:rowOff>
    </xdr:to>
    <xdr:cxnSp macro="">
      <xdr:nvCxnSpPr>
        <xdr:cNvPr id="71" name="Straight Connector 70">
          <a:extLst>
            <a:ext uri="{FF2B5EF4-FFF2-40B4-BE49-F238E27FC236}">
              <a16:creationId xmlns:a16="http://schemas.microsoft.com/office/drawing/2014/main" id="{233E56A2-967F-4E79-A677-780A4748719E}"/>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1845583</xdr:colOff>
      <xdr:row>1</xdr:row>
      <xdr:rowOff>103586</xdr:rowOff>
    </xdr:from>
    <xdr:to>
      <xdr:col>8</xdr:col>
      <xdr:colOff>1845583</xdr:colOff>
      <xdr:row>2</xdr:row>
      <xdr:rowOff>117146</xdr:rowOff>
    </xdr:to>
    <xdr:cxnSp macro="">
      <xdr:nvCxnSpPr>
        <xdr:cNvPr id="72" name="Straight Connector 71">
          <a:extLst>
            <a:ext uri="{FF2B5EF4-FFF2-40B4-BE49-F238E27FC236}">
              <a16:creationId xmlns:a16="http://schemas.microsoft.com/office/drawing/2014/main" id="{D57F8E60-EF2C-4989-BBBB-F588837B25C0}"/>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800396</xdr:colOff>
      <xdr:row>1</xdr:row>
      <xdr:rowOff>103586</xdr:rowOff>
    </xdr:from>
    <xdr:to>
      <xdr:col>9</xdr:col>
      <xdr:colOff>800396</xdr:colOff>
      <xdr:row>2</xdr:row>
      <xdr:rowOff>117146</xdr:rowOff>
    </xdr:to>
    <xdr:cxnSp macro="">
      <xdr:nvCxnSpPr>
        <xdr:cNvPr id="73" name="Straight Connector 72">
          <a:extLst>
            <a:ext uri="{FF2B5EF4-FFF2-40B4-BE49-F238E27FC236}">
              <a16:creationId xmlns:a16="http://schemas.microsoft.com/office/drawing/2014/main" id="{58B2291A-611D-4E7F-90E2-A8279B0C62A7}"/>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1659305</xdr:colOff>
      <xdr:row>1</xdr:row>
      <xdr:rowOff>103586</xdr:rowOff>
    </xdr:from>
    <xdr:to>
      <xdr:col>9</xdr:col>
      <xdr:colOff>1659305</xdr:colOff>
      <xdr:row>2</xdr:row>
      <xdr:rowOff>117146</xdr:rowOff>
    </xdr:to>
    <xdr:cxnSp macro="">
      <xdr:nvCxnSpPr>
        <xdr:cNvPr id="74" name="Straight Connector 73">
          <a:extLst>
            <a:ext uri="{FF2B5EF4-FFF2-40B4-BE49-F238E27FC236}">
              <a16:creationId xmlns:a16="http://schemas.microsoft.com/office/drawing/2014/main" id="{AA1D5D3B-5E79-4F96-9F1F-023986BF46C8}"/>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2518567</xdr:colOff>
      <xdr:row>1</xdr:row>
      <xdr:rowOff>103586</xdr:rowOff>
    </xdr:from>
    <xdr:to>
      <xdr:col>9</xdr:col>
      <xdr:colOff>2518567</xdr:colOff>
      <xdr:row>2</xdr:row>
      <xdr:rowOff>117146</xdr:rowOff>
    </xdr:to>
    <xdr:cxnSp macro="">
      <xdr:nvCxnSpPr>
        <xdr:cNvPr id="75" name="Straight Connector 74">
          <a:extLst>
            <a:ext uri="{FF2B5EF4-FFF2-40B4-BE49-F238E27FC236}">
              <a16:creationId xmlns:a16="http://schemas.microsoft.com/office/drawing/2014/main" id="{71571DC3-6957-484E-95E6-6597F95D39FA}"/>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1587528</xdr:colOff>
      <xdr:row>1</xdr:row>
      <xdr:rowOff>103586</xdr:rowOff>
    </xdr:from>
    <xdr:to>
      <xdr:col>10</xdr:col>
      <xdr:colOff>1587528</xdr:colOff>
      <xdr:row>2</xdr:row>
      <xdr:rowOff>117146</xdr:rowOff>
    </xdr:to>
    <xdr:cxnSp macro="">
      <xdr:nvCxnSpPr>
        <xdr:cNvPr id="76" name="Straight Connector 75">
          <a:extLst>
            <a:ext uri="{FF2B5EF4-FFF2-40B4-BE49-F238E27FC236}">
              <a16:creationId xmlns:a16="http://schemas.microsoft.com/office/drawing/2014/main" id="{6DF897BB-1CFF-4049-96C0-4443041E8DB0}"/>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2444395</xdr:colOff>
      <xdr:row>1</xdr:row>
      <xdr:rowOff>103586</xdr:rowOff>
    </xdr:from>
    <xdr:to>
      <xdr:col>10</xdr:col>
      <xdr:colOff>2444395</xdr:colOff>
      <xdr:row>2</xdr:row>
      <xdr:rowOff>117146</xdr:rowOff>
    </xdr:to>
    <xdr:cxnSp macro="">
      <xdr:nvCxnSpPr>
        <xdr:cNvPr id="77" name="Straight Connector 76">
          <a:extLst>
            <a:ext uri="{FF2B5EF4-FFF2-40B4-BE49-F238E27FC236}">
              <a16:creationId xmlns:a16="http://schemas.microsoft.com/office/drawing/2014/main" id="{F80B2848-EDCE-406E-8A77-1DDA340ADCAD}"/>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3304274</xdr:colOff>
      <xdr:row>1</xdr:row>
      <xdr:rowOff>103586</xdr:rowOff>
    </xdr:from>
    <xdr:to>
      <xdr:col>10</xdr:col>
      <xdr:colOff>3304274</xdr:colOff>
      <xdr:row>2</xdr:row>
      <xdr:rowOff>117146</xdr:rowOff>
    </xdr:to>
    <xdr:cxnSp macro="">
      <xdr:nvCxnSpPr>
        <xdr:cNvPr id="78" name="Straight Connector 77">
          <a:extLst>
            <a:ext uri="{FF2B5EF4-FFF2-40B4-BE49-F238E27FC236}">
              <a16:creationId xmlns:a16="http://schemas.microsoft.com/office/drawing/2014/main" id="{A8C7F363-0742-4444-A3DD-A262D2D166E0}"/>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4162495</xdr:colOff>
      <xdr:row>1</xdr:row>
      <xdr:rowOff>103586</xdr:rowOff>
    </xdr:from>
    <xdr:to>
      <xdr:col>10</xdr:col>
      <xdr:colOff>4162495</xdr:colOff>
      <xdr:row>2</xdr:row>
      <xdr:rowOff>117146</xdr:rowOff>
    </xdr:to>
    <xdr:cxnSp macro="">
      <xdr:nvCxnSpPr>
        <xdr:cNvPr id="79" name="Straight Connector 78">
          <a:extLst>
            <a:ext uri="{FF2B5EF4-FFF2-40B4-BE49-F238E27FC236}">
              <a16:creationId xmlns:a16="http://schemas.microsoft.com/office/drawing/2014/main" id="{489550C9-199B-4BDD-92D3-3A1AB1B95766}"/>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5024413</xdr:colOff>
      <xdr:row>1</xdr:row>
      <xdr:rowOff>103586</xdr:rowOff>
    </xdr:from>
    <xdr:to>
      <xdr:col>10</xdr:col>
      <xdr:colOff>5024413</xdr:colOff>
      <xdr:row>2</xdr:row>
      <xdr:rowOff>117146</xdr:rowOff>
    </xdr:to>
    <xdr:cxnSp macro="">
      <xdr:nvCxnSpPr>
        <xdr:cNvPr id="80" name="Straight Connector 79">
          <a:extLst>
            <a:ext uri="{FF2B5EF4-FFF2-40B4-BE49-F238E27FC236}">
              <a16:creationId xmlns:a16="http://schemas.microsoft.com/office/drawing/2014/main" id="{21CBBF81-2886-40AD-9D8A-2FD69AB5EFDD}"/>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733834</xdr:colOff>
      <xdr:row>1</xdr:row>
      <xdr:rowOff>103586</xdr:rowOff>
    </xdr:from>
    <xdr:to>
      <xdr:col>10</xdr:col>
      <xdr:colOff>733834</xdr:colOff>
      <xdr:row>2</xdr:row>
      <xdr:rowOff>117146</xdr:rowOff>
    </xdr:to>
    <xdr:cxnSp macro="">
      <xdr:nvCxnSpPr>
        <xdr:cNvPr id="81" name="Straight Connector 80">
          <a:extLst>
            <a:ext uri="{FF2B5EF4-FFF2-40B4-BE49-F238E27FC236}">
              <a16:creationId xmlns:a16="http://schemas.microsoft.com/office/drawing/2014/main" id="{46F2A12C-3138-4B40-B951-424003454913}"/>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52</xdr:col>
      <xdr:colOff>352777</xdr:colOff>
      <xdr:row>12</xdr:row>
      <xdr:rowOff>112888</xdr:rowOff>
    </xdr:from>
    <xdr:to>
      <xdr:col>58</xdr:col>
      <xdr:colOff>211142</xdr:colOff>
      <xdr:row>27</xdr:row>
      <xdr:rowOff>91721</xdr:rowOff>
    </xdr:to>
    <xdr:pic>
      <xdr:nvPicPr>
        <xdr:cNvPr id="12" name="Picture 6">
          <a:extLst>
            <a:ext uri="{FF2B5EF4-FFF2-40B4-BE49-F238E27FC236}">
              <a16:creationId xmlns:a16="http://schemas.microsoft.com/office/drawing/2014/main" id="{EFDE908B-090D-3E2A-7969-B8FBB789E82F}"/>
            </a:ext>
          </a:extLst>
        </xdr:cNvPr>
        <xdr:cNvPicPr>
          <a:picLocks noChangeAspect="1"/>
        </xdr:cNvPicPr>
      </xdr:nvPicPr>
      <xdr:blipFill>
        <a:blip xmlns:r="http://schemas.openxmlformats.org/officeDocument/2006/relationships" r:embed="rId1"/>
        <a:stretch>
          <a:fillRect/>
        </a:stretch>
      </xdr:blipFill>
      <xdr:spPr>
        <a:xfrm>
          <a:off x="13250333" y="2060221"/>
          <a:ext cx="3957925" cy="2836333"/>
        </a:xfrm>
        <a:prstGeom prst="rect">
          <a:avLst/>
        </a:prstGeom>
      </xdr:spPr>
    </xdr:pic>
    <xdr:clientData/>
  </xdr:twoCellAnchor>
  <xdr:twoCellAnchor editAs="oneCell">
    <xdr:from>
      <xdr:col>51</xdr:col>
      <xdr:colOff>597102</xdr:colOff>
      <xdr:row>29</xdr:row>
      <xdr:rowOff>92328</xdr:rowOff>
    </xdr:from>
    <xdr:to>
      <xdr:col>59</xdr:col>
      <xdr:colOff>322937</xdr:colOff>
      <xdr:row>40</xdr:row>
      <xdr:rowOff>628268</xdr:rowOff>
    </xdr:to>
    <xdr:pic>
      <xdr:nvPicPr>
        <xdr:cNvPr id="17" name="Picture 7">
          <a:extLst>
            <a:ext uri="{FF2B5EF4-FFF2-40B4-BE49-F238E27FC236}">
              <a16:creationId xmlns:a16="http://schemas.microsoft.com/office/drawing/2014/main" id="{1A502391-F836-CA2B-B3A1-08000A411640}"/>
            </a:ext>
          </a:extLst>
        </xdr:cNvPr>
        <xdr:cNvPicPr>
          <a:picLocks noChangeAspect="1"/>
        </xdr:cNvPicPr>
      </xdr:nvPicPr>
      <xdr:blipFill>
        <a:blip xmlns:r="http://schemas.openxmlformats.org/officeDocument/2006/relationships" r:embed="rId2"/>
        <a:stretch>
          <a:fillRect/>
        </a:stretch>
      </xdr:blipFill>
      <xdr:spPr>
        <a:xfrm>
          <a:off x="12669359" y="5317471"/>
          <a:ext cx="5227475" cy="2960188"/>
        </a:xfrm>
        <a:prstGeom prst="rect">
          <a:avLst/>
        </a:prstGeom>
      </xdr:spPr>
    </xdr:pic>
    <xdr:clientData/>
  </xdr:twoCellAnchor>
  <xdr:twoCellAnchor>
    <xdr:from>
      <xdr:col>0</xdr:col>
      <xdr:colOff>0</xdr:colOff>
      <xdr:row>0</xdr:row>
      <xdr:rowOff>0</xdr:rowOff>
    </xdr:from>
    <xdr:to>
      <xdr:col>96</xdr:col>
      <xdr:colOff>94261</xdr:colOff>
      <xdr:row>4</xdr:row>
      <xdr:rowOff>0</xdr:rowOff>
    </xdr:to>
    <xdr:sp macro="" textlink="">
      <xdr:nvSpPr>
        <xdr:cNvPr id="3" name="Rectangle 2">
          <a:extLst>
            <a:ext uri="{FF2B5EF4-FFF2-40B4-BE49-F238E27FC236}">
              <a16:creationId xmlns:a16="http://schemas.microsoft.com/office/drawing/2014/main" id="{E0F6F19E-8CE6-4B78-82B3-BAF6916C1F35}"/>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51</xdr:col>
      <xdr:colOff>399447</xdr:colOff>
      <xdr:row>1</xdr:row>
      <xdr:rowOff>19879</xdr:rowOff>
    </xdr:from>
    <xdr:to>
      <xdr:col>52</xdr:col>
      <xdr:colOff>664615</xdr:colOff>
      <xdr:row>3</xdr:row>
      <xdr:rowOff>10354</xdr:rowOff>
    </xdr:to>
    <xdr:sp macro="" textlink="">
      <xdr:nvSpPr>
        <xdr:cNvPr id="5" name="TextBox 4">
          <a:hlinkClick xmlns:r="http://schemas.openxmlformats.org/officeDocument/2006/relationships" r:id="rId3"/>
          <a:extLst>
            <a:ext uri="{FF2B5EF4-FFF2-40B4-BE49-F238E27FC236}">
              <a16:creationId xmlns:a16="http://schemas.microsoft.com/office/drawing/2014/main" id="{7E62D0B2-DCF8-4113-8E59-86B1A9E9AE3F}"/>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 name="Picture 5">
          <a:extLst>
            <a:ext uri="{FF2B5EF4-FFF2-40B4-BE49-F238E27FC236}">
              <a16:creationId xmlns:a16="http://schemas.microsoft.com/office/drawing/2014/main" id="{FF5A37FA-46B3-44C4-94E1-2DCE330374C8}"/>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41" name="Straight Connector 40">
          <a:extLst>
            <a:ext uri="{FF2B5EF4-FFF2-40B4-BE49-F238E27FC236}">
              <a16:creationId xmlns:a16="http://schemas.microsoft.com/office/drawing/2014/main" id="{3148ECBC-B2E3-49C9-9069-EF20F463CFDA}"/>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10850</xdr:colOff>
      <xdr:row>1</xdr:row>
      <xdr:rowOff>19879</xdr:rowOff>
    </xdr:from>
    <xdr:to>
      <xdr:col>19</xdr:col>
      <xdr:colOff>841552</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81270823-53A7-4901-B03B-587905477F8C}"/>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19</xdr:col>
      <xdr:colOff>744278</xdr:colOff>
      <xdr:row>1</xdr:row>
      <xdr:rowOff>19879</xdr:rowOff>
    </xdr:from>
    <xdr:to>
      <xdr:col>25</xdr:col>
      <xdr:colOff>693051</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F8F703D4-19D4-40B6-9858-B39AF3135DE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25</xdr:col>
      <xdr:colOff>595777</xdr:colOff>
      <xdr:row>1</xdr:row>
      <xdr:rowOff>19879</xdr:rowOff>
    </xdr:from>
    <xdr:to>
      <xdr:col>31</xdr:col>
      <xdr:colOff>538491</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CF4FDC66-3E0A-4302-9F9C-90E5851D24DE}"/>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31</xdr:col>
      <xdr:colOff>441217</xdr:colOff>
      <xdr:row>1</xdr:row>
      <xdr:rowOff>19879</xdr:rowOff>
    </xdr:from>
    <xdr:to>
      <xdr:col>37</xdr:col>
      <xdr:colOff>389962</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4C252BBB-0B6E-456F-978D-2101EBEF6CDC}"/>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37</xdr:col>
      <xdr:colOff>292688</xdr:colOff>
      <xdr:row>1</xdr:row>
      <xdr:rowOff>19879</xdr:rowOff>
    </xdr:from>
    <xdr:to>
      <xdr:col>43</xdr:col>
      <xdr:colOff>245514</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76153269-34C8-4E0D-981C-7F463F8C6FDB}"/>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Segments</a:t>
          </a:r>
        </a:p>
      </xdr:txBody>
    </xdr:sp>
    <xdr:clientData/>
  </xdr:twoCellAnchor>
  <xdr:twoCellAnchor>
    <xdr:from>
      <xdr:col>43</xdr:col>
      <xdr:colOff>148240</xdr:colOff>
      <xdr:row>1</xdr:row>
      <xdr:rowOff>19879</xdr:rowOff>
    </xdr:from>
    <xdr:to>
      <xdr:col>45</xdr:col>
      <xdr:colOff>93995</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9C9C2AD0-CFC5-41B2-A7E9-1474D332654F}"/>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44</xdr:col>
      <xdr:colOff>122227</xdr:colOff>
      <xdr:row>1</xdr:row>
      <xdr:rowOff>19879</xdr:rowOff>
    </xdr:from>
    <xdr:to>
      <xdr:col>46</xdr:col>
      <xdr:colOff>66302</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924D78E9-0E7A-4154-8055-D55DFE4C532F}"/>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45</xdr:col>
      <xdr:colOff>856534</xdr:colOff>
      <xdr:row>1</xdr:row>
      <xdr:rowOff>19879</xdr:rowOff>
    </xdr:from>
    <xdr:to>
      <xdr:col>47</xdr:col>
      <xdr:colOff>803067</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48FB42B9-F425-4DE6-9CE7-AA4EB04FE331}"/>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47</xdr:col>
      <xdr:colOff>705793</xdr:colOff>
      <xdr:row>1</xdr:row>
      <xdr:rowOff>19879</xdr:rowOff>
    </xdr:from>
    <xdr:to>
      <xdr:col>49</xdr:col>
      <xdr:colOff>652679</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2ADA61C7-CB7F-4DA1-94DB-07E4368C3DD3}"/>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49</xdr:col>
      <xdr:colOff>555405</xdr:colOff>
      <xdr:row>1</xdr:row>
      <xdr:rowOff>19879</xdr:rowOff>
    </xdr:from>
    <xdr:to>
      <xdr:col>51</xdr:col>
      <xdr:colOff>496721</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61B8BF55-A4CE-481B-83F5-C204AB43856B}"/>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52</xdr:col>
      <xdr:colOff>567341</xdr:colOff>
      <xdr:row>1</xdr:row>
      <xdr:rowOff>19879</xdr:rowOff>
    </xdr:from>
    <xdr:to>
      <xdr:col>54</xdr:col>
      <xdr:colOff>149882</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6966545D-8C18-4C85-B6BD-0A3DFC2F38FB}"/>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54</xdr:col>
      <xdr:colOff>52608</xdr:colOff>
      <xdr:row>1</xdr:row>
      <xdr:rowOff>19879</xdr:rowOff>
    </xdr:from>
    <xdr:to>
      <xdr:col>55</xdr:col>
      <xdr:colOff>323961</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ABA38AA5-4F02-41B3-8C2C-B1777F6C10E7}"/>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55</xdr:col>
      <xdr:colOff>226687</xdr:colOff>
      <xdr:row>1</xdr:row>
      <xdr:rowOff>19879</xdr:rowOff>
    </xdr:from>
    <xdr:to>
      <xdr:col>56</xdr:col>
      <xdr:colOff>496382</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AA5EF000-3DA8-4126-A51C-29703D70DA9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56</xdr:col>
      <xdr:colOff>399108</xdr:colOff>
      <xdr:row>1</xdr:row>
      <xdr:rowOff>19879</xdr:rowOff>
    </xdr:from>
    <xdr:to>
      <xdr:col>57</xdr:col>
      <xdr:colOff>672500</xdr:colOff>
      <xdr:row>3</xdr:row>
      <xdr:rowOff>10354</xdr:rowOff>
    </xdr:to>
    <xdr:sp macro="" textlink="">
      <xdr:nvSpPr>
        <xdr:cNvPr id="55" name="TextBox 54">
          <a:hlinkClick xmlns:r="http://schemas.openxmlformats.org/officeDocument/2006/relationships" r:id="rId18"/>
          <a:extLst>
            <a:ext uri="{FF2B5EF4-FFF2-40B4-BE49-F238E27FC236}">
              <a16:creationId xmlns:a16="http://schemas.microsoft.com/office/drawing/2014/main" id="{5BDBED4E-8D3A-4636-9BE1-3AB780D1291F}"/>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57</xdr:col>
      <xdr:colOff>575237</xdr:colOff>
      <xdr:row>1</xdr:row>
      <xdr:rowOff>19879</xdr:rowOff>
    </xdr:from>
    <xdr:to>
      <xdr:col>59</xdr:col>
      <xdr:colOff>160402</xdr:colOff>
      <xdr:row>3</xdr:row>
      <xdr:rowOff>10354</xdr:rowOff>
    </xdr:to>
    <xdr:sp macro="" textlink="">
      <xdr:nvSpPr>
        <xdr:cNvPr id="56" name="TextBox 55">
          <a:hlinkClick xmlns:r="http://schemas.openxmlformats.org/officeDocument/2006/relationships" r:id="rId19"/>
          <a:extLst>
            <a:ext uri="{FF2B5EF4-FFF2-40B4-BE49-F238E27FC236}">
              <a16:creationId xmlns:a16="http://schemas.microsoft.com/office/drawing/2014/main" id="{B3D4D253-30F2-4D81-82C6-E5B3C7C7A80C}"/>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31</xdr:col>
      <xdr:colOff>489854</xdr:colOff>
      <xdr:row>1</xdr:row>
      <xdr:rowOff>103586</xdr:rowOff>
    </xdr:from>
    <xdr:to>
      <xdr:col>31</xdr:col>
      <xdr:colOff>489854</xdr:colOff>
      <xdr:row>2</xdr:row>
      <xdr:rowOff>117146</xdr:rowOff>
    </xdr:to>
    <xdr:cxnSp macro="">
      <xdr:nvCxnSpPr>
        <xdr:cNvPr id="57" name="Straight Connector 56">
          <a:extLst>
            <a:ext uri="{FF2B5EF4-FFF2-40B4-BE49-F238E27FC236}">
              <a16:creationId xmlns:a16="http://schemas.microsoft.com/office/drawing/2014/main" id="{61AB4289-2826-416C-8D9B-31DF189342A5}"/>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644414</xdr:colOff>
      <xdr:row>1</xdr:row>
      <xdr:rowOff>103586</xdr:rowOff>
    </xdr:from>
    <xdr:to>
      <xdr:col>25</xdr:col>
      <xdr:colOff>644414</xdr:colOff>
      <xdr:row>2</xdr:row>
      <xdr:rowOff>117146</xdr:rowOff>
    </xdr:to>
    <xdr:cxnSp macro="">
      <xdr:nvCxnSpPr>
        <xdr:cNvPr id="58" name="Straight Connector 57">
          <a:extLst>
            <a:ext uri="{FF2B5EF4-FFF2-40B4-BE49-F238E27FC236}">
              <a16:creationId xmlns:a16="http://schemas.microsoft.com/office/drawing/2014/main" id="{69A3933C-3928-4B3A-81FE-0713AB4C16FD}"/>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792915</xdr:colOff>
      <xdr:row>1</xdr:row>
      <xdr:rowOff>103586</xdr:rowOff>
    </xdr:from>
    <xdr:to>
      <xdr:col>19</xdr:col>
      <xdr:colOff>792915</xdr:colOff>
      <xdr:row>2</xdr:row>
      <xdr:rowOff>117146</xdr:rowOff>
    </xdr:to>
    <xdr:cxnSp macro="">
      <xdr:nvCxnSpPr>
        <xdr:cNvPr id="59" name="Straight Connector 58">
          <a:extLst>
            <a:ext uri="{FF2B5EF4-FFF2-40B4-BE49-F238E27FC236}">
              <a16:creationId xmlns:a16="http://schemas.microsoft.com/office/drawing/2014/main" id="{4C4C4B11-4595-453F-919C-520661D9307F}"/>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341325</xdr:colOff>
      <xdr:row>1</xdr:row>
      <xdr:rowOff>103586</xdr:rowOff>
    </xdr:from>
    <xdr:to>
      <xdr:col>37</xdr:col>
      <xdr:colOff>341325</xdr:colOff>
      <xdr:row>2</xdr:row>
      <xdr:rowOff>117146</xdr:rowOff>
    </xdr:to>
    <xdr:cxnSp macro="">
      <xdr:nvCxnSpPr>
        <xdr:cNvPr id="60" name="Straight Connector 59">
          <a:extLst>
            <a:ext uri="{FF2B5EF4-FFF2-40B4-BE49-F238E27FC236}">
              <a16:creationId xmlns:a16="http://schemas.microsoft.com/office/drawing/2014/main" id="{59737CBE-7999-486B-AB2D-CF47DFE0C859}"/>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196877</xdr:colOff>
      <xdr:row>1</xdr:row>
      <xdr:rowOff>103586</xdr:rowOff>
    </xdr:from>
    <xdr:to>
      <xdr:col>43</xdr:col>
      <xdr:colOff>196877</xdr:colOff>
      <xdr:row>2</xdr:row>
      <xdr:rowOff>117146</xdr:rowOff>
    </xdr:to>
    <xdr:cxnSp macro="">
      <xdr:nvCxnSpPr>
        <xdr:cNvPr id="61" name="Straight Connector 60">
          <a:extLst>
            <a:ext uri="{FF2B5EF4-FFF2-40B4-BE49-F238E27FC236}">
              <a16:creationId xmlns:a16="http://schemas.microsoft.com/office/drawing/2014/main" id="{DDF0DDAB-F3DE-4E72-8324-9B205282AD96}"/>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45358</xdr:colOff>
      <xdr:row>1</xdr:row>
      <xdr:rowOff>103586</xdr:rowOff>
    </xdr:from>
    <xdr:to>
      <xdr:col>45</xdr:col>
      <xdr:colOff>45358</xdr:colOff>
      <xdr:row>2</xdr:row>
      <xdr:rowOff>117146</xdr:rowOff>
    </xdr:to>
    <xdr:cxnSp macro="">
      <xdr:nvCxnSpPr>
        <xdr:cNvPr id="62" name="Straight Connector 61">
          <a:extLst>
            <a:ext uri="{FF2B5EF4-FFF2-40B4-BE49-F238E27FC236}">
              <a16:creationId xmlns:a16="http://schemas.microsoft.com/office/drawing/2014/main" id="{E4B1C5AD-282E-4A58-8DBE-EEA5D6B76490}"/>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19346</xdr:colOff>
      <xdr:row>1</xdr:row>
      <xdr:rowOff>103586</xdr:rowOff>
    </xdr:from>
    <xdr:to>
      <xdr:col>46</xdr:col>
      <xdr:colOff>19346</xdr:colOff>
      <xdr:row>2</xdr:row>
      <xdr:rowOff>117146</xdr:rowOff>
    </xdr:to>
    <xdr:cxnSp macro="">
      <xdr:nvCxnSpPr>
        <xdr:cNvPr id="63" name="Straight Connector 62">
          <a:extLst>
            <a:ext uri="{FF2B5EF4-FFF2-40B4-BE49-F238E27FC236}">
              <a16:creationId xmlns:a16="http://schemas.microsoft.com/office/drawing/2014/main" id="{0AD78684-8BC1-4A2B-A4B1-BCBB1A34B12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754430</xdr:colOff>
      <xdr:row>1</xdr:row>
      <xdr:rowOff>103586</xdr:rowOff>
    </xdr:from>
    <xdr:to>
      <xdr:col>47</xdr:col>
      <xdr:colOff>754430</xdr:colOff>
      <xdr:row>2</xdr:row>
      <xdr:rowOff>117146</xdr:rowOff>
    </xdr:to>
    <xdr:cxnSp macro="">
      <xdr:nvCxnSpPr>
        <xdr:cNvPr id="64" name="Straight Connector 63">
          <a:extLst>
            <a:ext uri="{FF2B5EF4-FFF2-40B4-BE49-F238E27FC236}">
              <a16:creationId xmlns:a16="http://schemas.microsoft.com/office/drawing/2014/main" id="{C0741B33-E8E4-48E2-A968-F8BF720E4AB4}"/>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604042</xdr:colOff>
      <xdr:row>1</xdr:row>
      <xdr:rowOff>103586</xdr:rowOff>
    </xdr:from>
    <xdr:to>
      <xdr:col>49</xdr:col>
      <xdr:colOff>604042</xdr:colOff>
      <xdr:row>2</xdr:row>
      <xdr:rowOff>117146</xdr:rowOff>
    </xdr:to>
    <xdr:cxnSp macro="">
      <xdr:nvCxnSpPr>
        <xdr:cNvPr id="65" name="Straight Connector 64">
          <a:extLst>
            <a:ext uri="{FF2B5EF4-FFF2-40B4-BE49-F238E27FC236}">
              <a16:creationId xmlns:a16="http://schemas.microsoft.com/office/drawing/2014/main" id="{3BBEE929-B4FD-45BF-88A1-408A318FFA62}"/>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615978</xdr:colOff>
      <xdr:row>1</xdr:row>
      <xdr:rowOff>103586</xdr:rowOff>
    </xdr:from>
    <xdr:to>
      <xdr:col>52</xdr:col>
      <xdr:colOff>615978</xdr:colOff>
      <xdr:row>2</xdr:row>
      <xdr:rowOff>117146</xdr:rowOff>
    </xdr:to>
    <xdr:cxnSp macro="">
      <xdr:nvCxnSpPr>
        <xdr:cNvPr id="66" name="Straight Connector 65">
          <a:extLst>
            <a:ext uri="{FF2B5EF4-FFF2-40B4-BE49-F238E27FC236}">
              <a16:creationId xmlns:a16="http://schemas.microsoft.com/office/drawing/2014/main" id="{F246B953-A577-4B16-912C-32FBCF20305A}"/>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101245</xdr:colOff>
      <xdr:row>1</xdr:row>
      <xdr:rowOff>103586</xdr:rowOff>
    </xdr:from>
    <xdr:to>
      <xdr:col>54</xdr:col>
      <xdr:colOff>101245</xdr:colOff>
      <xdr:row>2</xdr:row>
      <xdr:rowOff>117146</xdr:rowOff>
    </xdr:to>
    <xdr:cxnSp macro="">
      <xdr:nvCxnSpPr>
        <xdr:cNvPr id="67" name="Straight Connector 66">
          <a:extLst>
            <a:ext uri="{FF2B5EF4-FFF2-40B4-BE49-F238E27FC236}">
              <a16:creationId xmlns:a16="http://schemas.microsoft.com/office/drawing/2014/main" id="{CFCAA2B7-854B-4B34-A7AC-845B5C226DB1}"/>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275324</xdr:colOff>
      <xdr:row>1</xdr:row>
      <xdr:rowOff>103586</xdr:rowOff>
    </xdr:from>
    <xdr:to>
      <xdr:col>55</xdr:col>
      <xdr:colOff>275324</xdr:colOff>
      <xdr:row>2</xdr:row>
      <xdr:rowOff>117146</xdr:rowOff>
    </xdr:to>
    <xdr:cxnSp macro="">
      <xdr:nvCxnSpPr>
        <xdr:cNvPr id="68" name="Straight Connector 67">
          <a:extLst>
            <a:ext uri="{FF2B5EF4-FFF2-40B4-BE49-F238E27FC236}">
              <a16:creationId xmlns:a16="http://schemas.microsoft.com/office/drawing/2014/main" id="{18F95195-62A4-4354-8200-4F48D5A8D23E}"/>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447745</xdr:colOff>
      <xdr:row>1</xdr:row>
      <xdr:rowOff>103586</xdr:rowOff>
    </xdr:from>
    <xdr:to>
      <xdr:col>56</xdr:col>
      <xdr:colOff>447745</xdr:colOff>
      <xdr:row>2</xdr:row>
      <xdr:rowOff>117146</xdr:rowOff>
    </xdr:to>
    <xdr:cxnSp macro="">
      <xdr:nvCxnSpPr>
        <xdr:cNvPr id="69" name="Straight Connector 68">
          <a:extLst>
            <a:ext uri="{FF2B5EF4-FFF2-40B4-BE49-F238E27FC236}">
              <a16:creationId xmlns:a16="http://schemas.microsoft.com/office/drawing/2014/main" id="{60FD960F-D7CB-4183-B7D3-7C29677B7188}"/>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623863</xdr:colOff>
      <xdr:row>1</xdr:row>
      <xdr:rowOff>103586</xdr:rowOff>
    </xdr:from>
    <xdr:to>
      <xdr:col>57</xdr:col>
      <xdr:colOff>623863</xdr:colOff>
      <xdr:row>2</xdr:row>
      <xdr:rowOff>117146</xdr:rowOff>
    </xdr:to>
    <xdr:cxnSp macro="">
      <xdr:nvCxnSpPr>
        <xdr:cNvPr id="70" name="Straight Connector 69">
          <a:extLst>
            <a:ext uri="{FF2B5EF4-FFF2-40B4-BE49-F238E27FC236}">
              <a16:creationId xmlns:a16="http://schemas.microsoft.com/office/drawing/2014/main" id="{DB8813CF-D24B-4D97-B21D-8CD92B720A53}"/>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448084</xdr:colOff>
      <xdr:row>1</xdr:row>
      <xdr:rowOff>103586</xdr:rowOff>
    </xdr:from>
    <xdr:to>
      <xdr:col>51</xdr:col>
      <xdr:colOff>448084</xdr:colOff>
      <xdr:row>2</xdr:row>
      <xdr:rowOff>117146</xdr:rowOff>
    </xdr:to>
    <xdr:cxnSp macro="">
      <xdr:nvCxnSpPr>
        <xdr:cNvPr id="71" name="Straight Connector 70">
          <a:extLst>
            <a:ext uri="{FF2B5EF4-FFF2-40B4-BE49-F238E27FC236}">
              <a16:creationId xmlns:a16="http://schemas.microsoft.com/office/drawing/2014/main" id="{5C935EBB-8975-4ACE-95E5-F01198A12F4E}"/>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42</xdr:col>
      <xdr:colOff>35378</xdr:colOff>
      <xdr:row>39</xdr:row>
      <xdr:rowOff>47625</xdr:rowOff>
    </xdr:from>
    <xdr:to>
      <xdr:col>50</xdr:col>
      <xdr:colOff>578303</xdr:colOff>
      <xdr:row>57</xdr:row>
      <xdr:rowOff>85725</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193221</xdr:colOff>
      <xdr:row>5</xdr:row>
      <xdr:rowOff>136070</xdr:rowOff>
    </xdr:from>
    <xdr:to>
      <xdr:col>51</xdr:col>
      <xdr:colOff>370114</xdr:colOff>
      <xdr:row>35</xdr:row>
      <xdr:rowOff>54427</xdr:rowOff>
    </xdr:to>
    <xdr:graphicFrame macro="">
      <xdr:nvGraphicFramePr>
        <xdr:cNvPr id="5" name="Chart 4">
          <a:extLst>
            <a:ext uri="{FF2B5EF4-FFF2-40B4-BE49-F238E27FC236}">
              <a16:creationId xmlns:a16="http://schemas.microsoft.com/office/drawing/2014/main" id="{00000000-0008-0000-0C00-000005000000}"/>
            </a:ext>
            <a:ext uri="{147F2762-F138-4A5C-976F-8EAC2B608ADB}">
              <a16:predDERef xmlns:a16="http://schemas.microsoft.com/office/drawing/2014/main" pre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63</xdr:col>
      <xdr:colOff>103786</xdr:colOff>
      <xdr:row>4</xdr:row>
      <xdr:rowOff>0</xdr:rowOff>
    </xdr:to>
    <xdr:sp macro="" textlink="">
      <xdr:nvSpPr>
        <xdr:cNvPr id="8" name="Rectangle 7">
          <a:extLst>
            <a:ext uri="{FF2B5EF4-FFF2-40B4-BE49-F238E27FC236}">
              <a16:creationId xmlns:a16="http://schemas.microsoft.com/office/drawing/2014/main" id="{FF63C986-8D71-401D-B4AF-72EDC146E81F}"/>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199422</xdr:colOff>
      <xdr:row>1</xdr:row>
      <xdr:rowOff>19879</xdr:rowOff>
    </xdr:from>
    <xdr:to>
      <xdr:col>18</xdr:col>
      <xdr:colOff>293140</xdr:colOff>
      <xdr:row>3</xdr:row>
      <xdr:rowOff>10354</xdr:rowOff>
    </xdr:to>
    <xdr:sp macro="" textlink="">
      <xdr:nvSpPr>
        <xdr:cNvPr id="9" name="TextBox 8">
          <a:hlinkClick xmlns:r="http://schemas.openxmlformats.org/officeDocument/2006/relationships" r:id="rId3"/>
          <a:extLst>
            <a:ext uri="{FF2B5EF4-FFF2-40B4-BE49-F238E27FC236}">
              <a16:creationId xmlns:a16="http://schemas.microsoft.com/office/drawing/2014/main" id="{3728F7E1-2047-42C0-9F89-E756AE183D1A}"/>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10" name="Picture 9">
          <a:extLst>
            <a:ext uri="{FF2B5EF4-FFF2-40B4-BE49-F238E27FC236}">
              <a16:creationId xmlns:a16="http://schemas.microsoft.com/office/drawing/2014/main" id="{60340CBF-200B-4C28-AF80-04F62DA58DC9}"/>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12" name="Straight Connector 11">
          <a:extLst>
            <a:ext uri="{FF2B5EF4-FFF2-40B4-BE49-F238E27FC236}">
              <a16:creationId xmlns:a16="http://schemas.microsoft.com/office/drawing/2014/main" id="{122036AA-4706-4E36-95BE-9F75F0DC03AF}"/>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29900</xdr:colOff>
      <xdr:row>1</xdr:row>
      <xdr:rowOff>19879</xdr:rowOff>
    </xdr:from>
    <xdr:to>
      <xdr:col>5</xdr:col>
      <xdr:colOff>327202</xdr:colOff>
      <xdr:row>3</xdr:row>
      <xdr:rowOff>10354</xdr:rowOff>
    </xdr:to>
    <xdr:sp macro="" textlink="">
      <xdr:nvSpPr>
        <xdr:cNvPr id="13" name="TextBox 12">
          <a:hlinkClick xmlns:r="http://schemas.openxmlformats.org/officeDocument/2006/relationships" r:id="rId5"/>
          <a:extLst>
            <a:ext uri="{FF2B5EF4-FFF2-40B4-BE49-F238E27FC236}">
              <a16:creationId xmlns:a16="http://schemas.microsoft.com/office/drawing/2014/main" id="{F2D11D64-7723-4E39-B640-051AE87B658F}"/>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5</xdr:col>
      <xdr:colOff>229928</xdr:colOff>
      <xdr:row>1</xdr:row>
      <xdr:rowOff>19879</xdr:rowOff>
    </xdr:from>
    <xdr:to>
      <xdr:col>6</xdr:col>
      <xdr:colOff>302526</xdr:colOff>
      <xdr:row>3</xdr:row>
      <xdr:rowOff>10354</xdr:rowOff>
    </xdr:to>
    <xdr:sp macro="" textlink="">
      <xdr:nvSpPr>
        <xdr:cNvPr id="14" name="TextBox 13">
          <a:hlinkClick xmlns:r="http://schemas.openxmlformats.org/officeDocument/2006/relationships" r:id="rId6"/>
          <a:extLst>
            <a:ext uri="{FF2B5EF4-FFF2-40B4-BE49-F238E27FC236}">
              <a16:creationId xmlns:a16="http://schemas.microsoft.com/office/drawing/2014/main" id="{ABC295F4-2EC6-4478-9802-9358DF15025F}"/>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6</xdr:col>
      <xdr:colOff>205252</xdr:colOff>
      <xdr:row>1</xdr:row>
      <xdr:rowOff>19879</xdr:rowOff>
    </xdr:from>
    <xdr:to>
      <xdr:col>8</xdr:col>
      <xdr:colOff>147966</xdr:colOff>
      <xdr:row>3</xdr:row>
      <xdr:rowOff>10354</xdr:rowOff>
    </xdr:to>
    <xdr:sp macro="" textlink="">
      <xdr:nvSpPr>
        <xdr:cNvPr id="15" name="TextBox 14">
          <a:hlinkClick xmlns:r="http://schemas.openxmlformats.org/officeDocument/2006/relationships" r:id="rId7"/>
          <a:extLst>
            <a:ext uri="{FF2B5EF4-FFF2-40B4-BE49-F238E27FC236}">
              <a16:creationId xmlns:a16="http://schemas.microsoft.com/office/drawing/2014/main" id="{2F70E382-CEDB-4EAD-8775-417780429740}"/>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8</xdr:col>
      <xdr:colOff>50692</xdr:colOff>
      <xdr:row>1</xdr:row>
      <xdr:rowOff>19879</xdr:rowOff>
    </xdr:from>
    <xdr:to>
      <xdr:col>9</xdr:col>
      <xdr:colOff>275662</xdr:colOff>
      <xdr:row>3</xdr:row>
      <xdr:rowOff>10354</xdr:rowOff>
    </xdr:to>
    <xdr:sp macro="" textlink="">
      <xdr:nvSpPr>
        <xdr:cNvPr id="16" name="TextBox 15">
          <a:hlinkClick xmlns:r="http://schemas.openxmlformats.org/officeDocument/2006/relationships" r:id="rId8"/>
          <a:extLst>
            <a:ext uri="{FF2B5EF4-FFF2-40B4-BE49-F238E27FC236}">
              <a16:creationId xmlns:a16="http://schemas.microsoft.com/office/drawing/2014/main" id="{B7A936BC-5727-42AA-A9B7-BE7AE58222E2}"/>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9</xdr:col>
      <xdr:colOff>178388</xdr:colOff>
      <xdr:row>1</xdr:row>
      <xdr:rowOff>19879</xdr:rowOff>
    </xdr:from>
    <xdr:to>
      <xdr:col>10</xdr:col>
      <xdr:colOff>407439</xdr:colOff>
      <xdr:row>3</xdr:row>
      <xdr:rowOff>10354</xdr:rowOff>
    </xdr:to>
    <xdr:sp macro="" textlink="">
      <xdr:nvSpPr>
        <xdr:cNvPr id="17" name="TextBox 16">
          <a:hlinkClick xmlns:r="http://schemas.openxmlformats.org/officeDocument/2006/relationships" r:id="rId9"/>
          <a:extLst>
            <a:ext uri="{FF2B5EF4-FFF2-40B4-BE49-F238E27FC236}">
              <a16:creationId xmlns:a16="http://schemas.microsoft.com/office/drawing/2014/main" id="{1DC994C1-707F-434C-9AFB-B6D67225FE95}"/>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10</xdr:col>
      <xdr:colOff>310165</xdr:colOff>
      <xdr:row>1</xdr:row>
      <xdr:rowOff>19879</xdr:rowOff>
    </xdr:from>
    <xdr:to>
      <xdr:col>11</xdr:col>
      <xdr:colOff>532145</xdr:colOff>
      <xdr:row>3</xdr:row>
      <xdr:rowOff>10354</xdr:rowOff>
    </xdr:to>
    <xdr:sp macro="" textlink="">
      <xdr:nvSpPr>
        <xdr:cNvPr id="18" name="TextBox 17">
          <a:hlinkClick xmlns:r="http://schemas.openxmlformats.org/officeDocument/2006/relationships" r:id="rId10"/>
          <a:extLst>
            <a:ext uri="{FF2B5EF4-FFF2-40B4-BE49-F238E27FC236}">
              <a16:creationId xmlns:a16="http://schemas.microsoft.com/office/drawing/2014/main" id="{1D696733-FBFB-4AD7-9915-7EB3B04384F4}"/>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11</xdr:col>
      <xdr:colOff>436552</xdr:colOff>
      <xdr:row>1</xdr:row>
      <xdr:rowOff>19879</xdr:rowOff>
    </xdr:from>
    <xdr:to>
      <xdr:col>12</xdr:col>
      <xdr:colOff>656852</xdr:colOff>
      <xdr:row>3</xdr:row>
      <xdr:rowOff>10354</xdr:rowOff>
    </xdr:to>
    <xdr:sp macro="" textlink="">
      <xdr:nvSpPr>
        <xdr:cNvPr id="19" name="TextBox 18">
          <a:hlinkClick xmlns:r="http://schemas.openxmlformats.org/officeDocument/2006/relationships" r:id="rId11"/>
          <a:extLst>
            <a:ext uri="{FF2B5EF4-FFF2-40B4-BE49-F238E27FC236}">
              <a16:creationId xmlns:a16="http://schemas.microsoft.com/office/drawing/2014/main" id="{4AEDF86B-A44F-4320-BD63-8AD036DF47A3}"/>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Comps</a:t>
          </a:r>
        </a:p>
      </xdr:txBody>
    </xdr:sp>
    <xdr:clientData/>
  </xdr:twoCellAnchor>
  <xdr:twoCellAnchor>
    <xdr:from>
      <xdr:col>12</xdr:col>
      <xdr:colOff>561259</xdr:colOff>
      <xdr:row>1</xdr:row>
      <xdr:rowOff>19879</xdr:rowOff>
    </xdr:from>
    <xdr:to>
      <xdr:col>14</xdr:col>
      <xdr:colOff>50592</xdr:colOff>
      <xdr:row>3</xdr:row>
      <xdr:rowOff>10354</xdr:rowOff>
    </xdr:to>
    <xdr:sp macro="" textlink="">
      <xdr:nvSpPr>
        <xdr:cNvPr id="20" name="TextBox 19">
          <a:hlinkClick xmlns:r="http://schemas.openxmlformats.org/officeDocument/2006/relationships" r:id="rId12"/>
          <a:extLst>
            <a:ext uri="{FF2B5EF4-FFF2-40B4-BE49-F238E27FC236}">
              <a16:creationId xmlns:a16="http://schemas.microsoft.com/office/drawing/2014/main" id="{2C3ECB15-2EB5-4959-8B0C-5DB65B08D364}"/>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13</xdr:col>
      <xdr:colOff>686743</xdr:colOff>
      <xdr:row>1</xdr:row>
      <xdr:rowOff>19879</xdr:rowOff>
    </xdr:from>
    <xdr:to>
      <xdr:col>15</xdr:col>
      <xdr:colOff>176429</xdr:colOff>
      <xdr:row>3</xdr:row>
      <xdr:rowOff>10354</xdr:rowOff>
    </xdr:to>
    <xdr:sp macro="" textlink="">
      <xdr:nvSpPr>
        <xdr:cNvPr id="21" name="TextBox 20">
          <a:hlinkClick xmlns:r="http://schemas.openxmlformats.org/officeDocument/2006/relationships" r:id="rId13"/>
          <a:extLst>
            <a:ext uri="{FF2B5EF4-FFF2-40B4-BE49-F238E27FC236}">
              <a16:creationId xmlns:a16="http://schemas.microsoft.com/office/drawing/2014/main" id="{D6B17FCC-B4EF-4BD6-B948-31A8839F046B}"/>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15</xdr:col>
      <xdr:colOff>79155</xdr:colOff>
      <xdr:row>1</xdr:row>
      <xdr:rowOff>19879</xdr:rowOff>
    </xdr:from>
    <xdr:to>
      <xdr:col>16</xdr:col>
      <xdr:colOff>296696</xdr:colOff>
      <xdr:row>3</xdr:row>
      <xdr:rowOff>10354</xdr:rowOff>
    </xdr:to>
    <xdr:sp macro="" textlink="">
      <xdr:nvSpPr>
        <xdr:cNvPr id="22" name="TextBox 21">
          <a:hlinkClick xmlns:r="http://schemas.openxmlformats.org/officeDocument/2006/relationships" r:id="rId14"/>
          <a:extLst>
            <a:ext uri="{FF2B5EF4-FFF2-40B4-BE49-F238E27FC236}">
              <a16:creationId xmlns:a16="http://schemas.microsoft.com/office/drawing/2014/main" id="{6FA96479-422C-488A-A6E5-B7219E89ECCD}"/>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18</xdr:col>
      <xdr:colOff>195866</xdr:colOff>
      <xdr:row>1</xdr:row>
      <xdr:rowOff>19879</xdr:rowOff>
    </xdr:from>
    <xdr:to>
      <xdr:col>19</xdr:col>
      <xdr:colOff>492782</xdr:colOff>
      <xdr:row>3</xdr:row>
      <xdr:rowOff>10354</xdr:rowOff>
    </xdr:to>
    <xdr:sp macro="" textlink="">
      <xdr:nvSpPr>
        <xdr:cNvPr id="23" name="TextBox 22">
          <a:hlinkClick xmlns:r="http://schemas.openxmlformats.org/officeDocument/2006/relationships" r:id="rId15"/>
          <a:extLst>
            <a:ext uri="{FF2B5EF4-FFF2-40B4-BE49-F238E27FC236}">
              <a16:creationId xmlns:a16="http://schemas.microsoft.com/office/drawing/2014/main" id="{CD836D8E-21B6-4ED2-8255-F3724A33E320}"/>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19</xdr:col>
      <xdr:colOff>395508</xdr:colOff>
      <xdr:row>1</xdr:row>
      <xdr:rowOff>19879</xdr:rowOff>
    </xdr:from>
    <xdr:to>
      <xdr:col>21</xdr:col>
      <xdr:colOff>571611</xdr:colOff>
      <xdr:row>3</xdr:row>
      <xdr:rowOff>10354</xdr:rowOff>
    </xdr:to>
    <xdr:sp macro="" textlink="">
      <xdr:nvSpPr>
        <xdr:cNvPr id="24" name="TextBox 23">
          <a:hlinkClick xmlns:r="http://schemas.openxmlformats.org/officeDocument/2006/relationships" r:id="rId16"/>
          <a:extLst>
            <a:ext uri="{FF2B5EF4-FFF2-40B4-BE49-F238E27FC236}">
              <a16:creationId xmlns:a16="http://schemas.microsoft.com/office/drawing/2014/main" id="{FD735354-CB34-458E-8908-A299E4730BBF}"/>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21</xdr:col>
      <xdr:colOff>474337</xdr:colOff>
      <xdr:row>1</xdr:row>
      <xdr:rowOff>19879</xdr:rowOff>
    </xdr:from>
    <xdr:to>
      <xdr:col>22</xdr:col>
      <xdr:colOff>696407</xdr:colOff>
      <xdr:row>3</xdr:row>
      <xdr:rowOff>10354</xdr:rowOff>
    </xdr:to>
    <xdr:sp macro="" textlink="">
      <xdr:nvSpPr>
        <xdr:cNvPr id="25" name="TextBox 24">
          <a:hlinkClick xmlns:r="http://schemas.openxmlformats.org/officeDocument/2006/relationships" r:id="rId17"/>
          <a:extLst>
            <a:ext uri="{FF2B5EF4-FFF2-40B4-BE49-F238E27FC236}">
              <a16:creationId xmlns:a16="http://schemas.microsoft.com/office/drawing/2014/main" id="{F69EC914-5A19-426F-A6B4-E94A747CFCE2}"/>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22</xdr:col>
      <xdr:colOff>599133</xdr:colOff>
      <xdr:row>1</xdr:row>
      <xdr:rowOff>19879</xdr:rowOff>
    </xdr:from>
    <xdr:to>
      <xdr:col>24</xdr:col>
      <xdr:colOff>91475</xdr:colOff>
      <xdr:row>3</xdr:row>
      <xdr:rowOff>10354</xdr:rowOff>
    </xdr:to>
    <xdr:sp macro="" textlink="">
      <xdr:nvSpPr>
        <xdr:cNvPr id="26" name="TextBox 25">
          <a:hlinkClick xmlns:r="http://schemas.openxmlformats.org/officeDocument/2006/relationships" r:id="rId18"/>
          <a:extLst>
            <a:ext uri="{FF2B5EF4-FFF2-40B4-BE49-F238E27FC236}">
              <a16:creationId xmlns:a16="http://schemas.microsoft.com/office/drawing/2014/main" id="{02BDAC31-E597-4710-AC9D-5C26A8339DE6}"/>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23</xdr:col>
      <xdr:colOff>727637</xdr:colOff>
      <xdr:row>1</xdr:row>
      <xdr:rowOff>19879</xdr:rowOff>
    </xdr:from>
    <xdr:to>
      <xdr:col>26</xdr:col>
      <xdr:colOff>169927</xdr:colOff>
      <xdr:row>3</xdr:row>
      <xdr:rowOff>10354</xdr:rowOff>
    </xdr:to>
    <xdr:sp macro="" textlink="">
      <xdr:nvSpPr>
        <xdr:cNvPr id="27" name="TextBox 26">
          <a:hlinkClick xmlns:r="http://schemas.openxmlformats.org/officeDocument/2006/relationships" r:id="rId19"/>
          <a:extLst>
            <a:ext uri="{FF2B5EF4-FFF2-40B4-BE49-F238E27FC236}">
              <a16:creationId xmlns:a16="http://schemas.microsoft.com/office/drawing/2014/main" id="{9B34A796-3306-415C-AFCD-05DC5497EA46}"/>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8</xdr:col>
      <xdr:colOff>99329</xdr:colOff>
      <xdr:row>1</xdr:row>
      <xdr:rowOff>103586</xdr:rowOff>
    </xdr:from>
    <xdr:to>
      <xdr:col>8</xdr:col>
      <xdr:colOff>99329</xdr:colOff>
      <xdr:row>2</xdr:row>
      <xdr:rowOff>117146</xdr:rowOff>
    </xdr:to>
    <xdr:cxnSp macro="">
      <xdr:nvCxnSpPr>
        <xdr:cNvPr id="28" name="Straight Connector 27">
          <a:extLst>
            <a:ext uri="{FF2B5EF4-FFF2-40B4-BE49-F238E27FC236}">
              <a16:creationId xmlns:a16="http://schemas.microsoft.com/office/drawing/2014/main" id="{7075BF25-EAF9-4F1A-9543-040213A4AAE3}"/>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253889</xdr:colOff>
      <xdr:row>1</xdr:row>
      <xdr:rowOff>103586</xdr:rowOff>
    </xdr:from>
    <xdr:to>
      <xdr:col>6</xdr:col>
      <xdr:colOff>253889</xdr:colOff>
      <xdr:row>2</xdr:row>
      <xdr:rowOff>117146</xdr:rowOff>
    </xdr:to>
    <xdr:cxnSp macro="">
      <xdr:nvCxnSpPr>
        <xdr:cNvPr id="29" name="Straight Connector 28">
          <a:extLst>
            <a:ext uri="{FF2B5EF4-FFF2-40B4-BE49-F238E27FC236}">
              <a16:creationId xmlns:a16="http://schemas.microsoft.com/office/drawing/2014/main" id="{D6942324-E6FE-453D-B649-8B9B8B680557}"/>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278565</xdr:colOff>
      <xdr:row>1</xdr:row>
      <xdr:rowOff>103586</xdr:rowOff>
    </xdr:from>
    <xdr:to>
      <xdr:col>5</xdr:col>
      <xdr:colOff>278565</xdr:colOff>
      <xdr:row>2</xdr:row>
      <xdr:rowOff>117146</xdr:rowOff>
    </xdr:to>
    <xdr:cxnSp macro="">
      <xdr:nvCxnSpPr>
        <xdr:cNvPr id="30" name="Straight Connector 29">
          <a:extLst>
            <a:ext uri="{FF2B5EF4-FFF2-40B4-BE49-F238E27FC236}">
              <a16:creationId xmlns:a16="http://schemas.microsoft.com/office/drawing/2014/main" id="{E3B06731-A9B6-4884-BA52-EEEFC191DB85}"/>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227025</xdr:colOff>
      <xdr:row>1</xdr:row>
      <xdr:rowOff>103586</xdr:rowOff>
    </xdr:from>
    <xdr:to>
      <xdr:col>9</xdr:col>
      <xdr:colOff>227025</xdr:colOff>
      <xdr:row>2</xdr:row>
      <xdr:rowOff>117146</xdr:rowOff>
    </xdr:to>
    <xdr:cxnSp macro="">
      <xdr:nvCxnSpPr>
        <xdr:cNvPr id="31" name="Straight Connector 30">
          <a:extLst>
            <a:ext uri="{FF2B5EF4-FFF2-40B4-BE49-F238E27FC236}">
              <a16:creationId xmlns:a16="http://schemas.microsoft.com/office/drawing/2014/main" id="{4893C342-97C2-4AE5-B65B-D7C7D5AD04B5}"/>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358802</xdr:colOff>
      <xdr:row>1</xdr:row>
      <xdr:rowOff>103586</xdr:rowOff>
    </xdr:from>
    <xdr:to>
      <xdr:col>10</xdr:col>
      <xdr:colOff>358802</xdr:colOff>
      <xdr:row>2</xdr:row>
      <xdr:rowOff>117146</xdr:rowOff>
    </xdr:to>
    <xdr:cxnSp macro="">
      <xdr:nvCxnSpPr>
        <xdr:cNvPr id="32" name="Straight Connector 31">
          <a:extLst>
            <a:ext uri="{FF2B5EF4-FFF2-40B4-BE49-F238E27FC236}">
              <a16:creationId xmlns:a16="http://schemas.microsoft.com/office/drawing/2014/main" id="{4F2FFEDA-14BB-4606-9AAE-CD6402C7EB76}"/>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483508</xdr:colOff>
      <xdr:row>1</xdr:row>
      <xdr:rowOff>103586</xdr:rowOff>
    </xdr:from>
    <xdr:to>
      <xdr:col>11</xdr:col>
      <xdr:colOff>483508</xdr:colOff>
      <xdr:row>2</xdr:row>
      <xdr:rowOff>117146</xdr:rowOff>
    </xdr:to>
    <xdr:cxnSp macro="">
      <xdr:nvCxnSpPr>
        <xdr:cNvPr id="33" name="Straight Connector 32">
          <a:extLst>
            <a:ext uri="{FF2B5EF4-FFF2-40B4-BE49-F238E27FC236}">
              <a16:creationId xmlns:a16="http://schemas.microsoft.com/office/drawing/2014/main" id="{DD18854D-0D8B-4225-BCF8-A4792433113E}"/>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609896</xdr:colOff>
      <xdr:row>1</xdr:row>
      <xdr:rowOff>103586</xdr:rowOff>
    </xdr:from>
    <xdr:to>
      <xdr:col>12</xdr:col>
      <xdr:colOff>609896</xdr:colOff>
      <xdr:row>2</xdr:row>
      <xdr:rowOff>117146</xdr:rowOff>
    </xdr:to>
    <xdr:cxnSp macro="">
      <xdr:nvCxnSpPr>
        <xdr:cNvPr id="34" name="Straight Connector 33">
          <a:extLst>
            <a:ext uri="{FF2B5EF4-FFF2-40B4-BE49-F238E27FC236}">
              <a16:creationId xmlns:a16="http://schemas.microsoft.com/office/drawing/2014/main" id="{92336493-6D34-41A2-864E-6B7AEB0F06D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1955</xdr:colOff>
      <xdr:row>1</xdr:row>
      <xdr:rowOff>103586</xdr:rowOff>
    </xdr:from>
    <xdr:to>
      <xdr:col>14</xdr:col>
      <xdr:colOff>1955</xdr:colOff>
      <xdr:row>2</xdr:row>
      <xdr:rowOff>117146</xdr:rowOff>
    </xdr:to>
    <xdr:cxnSp macro="">
      <xdr:nvCxnSpPr>
        <xdr:cNvPr id="35" name="Straight Connector 34">
          <a:extLst>
            <a:ext uri="{FF2B5EF4-FFF2-40B4-BE49-F238E27FC236}">
              <a16:creationId xmlns:a16="http://schemas.microsoft.com/office/drawing/2014/main" id="{90B29F51-1840-4036-A79D-7DB86FBC5436}"/>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127792</xdr:colOff>
      <xdr:row>1</xdr:row>
      <xdr:rowOff>103586</xdr:rowOff>
    </xdr:from>
    <xdr:to>
      <xdr:col>15</xdr:col>
      <xdr:colOff>127792</xdr:colOff>
      <xdr:row>2</xdr:row>
      <xdr:rowOff>117146</xdr:rowOff>
    </xdr:to>
    <xdr:cxnSp macro="">
      <xdr:nvCxnSpPr>
        <xdr:cNvPr id="36" name="Straight Connector 35">
          <a:extLst>
            <a:ext uri="{FF2B5EF4-FFF2-40B4-BE49-F238E27FC236}">
              <a16:creationId xmlns:a16="http://schemas.microsoft.com/office/drawing/2014/main" id="{079E2541-B8A5-480A-B289-BD8578800D97}"/>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244503</xdr:colOff>
      <xdr:row>1</xdr:row>
      <xdr:rowOff>103586</xdr:rowOff>
    </xdr:from>
    <xdr:to>
      <xdr:col>18</xdr:col>
      <xdr:colOff>244503</xdr:colOff>
      <xdr:row>2</xdr:row>
      <xdr:rowOff>117146</xdr:rowOff>
    </xdr:to>
    <xdr:cxnSp macro="">
      <xdr:nvCxnSpPr>
        <xdr:cNvPr id="37" name="Straight Connector 36">
          <a:extLst>
            <a:ext uri="{FF2B5EF4-FFF2-40B4-BE49-F238E27FC236}">
              <a16:creationId xmlns:a16="http://schemas.microsoft.com/office/drawing/2014/main" id="{1FE7A8E8-B19F-463B-B848-D466C03B2571}"/>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444145</xdr:colOff>
      <xdr:row>1</xdr:row>
      <xdr:rowOff>103586</xdr:rowOff>
    </xdr:from>
    <xdr:to>
      <xdr:col>19</xdr:col>
      <xdr:colOff>444145</xdr:colOff>
      <xdr:row>2</xdr:row>
      <xdr:rowOff>117146</xdr:rowOff>
    </xdr:to>
    <xdr:cxnSp macro="">
      <xdr:nvCxnSpPr>
        <xdr:cNvPr id="38" name="Straight Connector 37">
          <a:extLst>
            <a:ext uri="{FF2B5EF4-FFF2-40B4-BE49-F238E27FC236}">
              <a16:creationId xmlns:a16="http://schemas.microsoft.com/office/drawing/2014/main" id="{77A1B436-7905-41DE-A333-5D826CB45BCE}"/>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522974</xdr:colOff>
      <xdr:row>1</xdr:row>
      <xdr:rowOff>103586</xdr:rowOff>
    </xdr:from>
    <xdr:to>
      <xdr:col>21</xdr:col>
      <xdr:colOff>522974</xdr:colOff>
      <xdr:row>2</xdr:row>
      <xdr:rowOff>117146</xdr:rowOff>
    </xdr:to>
    <xdr:cxnSp macro="">
      <xdr:nvCxnSpPr>
        <xdr:cNvPr id="39" name="Straight Connector 38">
          <a:extLst>
            <a:ext uri="{FF2B5EF4-FFF2-40B4-BE49-F238E27FC236}">
              <a16:creationId xmlns:a16="http://schemas.microsoft.com/office/drawing/2014/main" id="{FDC70FC8-FCA0-4BDF-BE85-190FF13196C5}"/>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647770</xdr:colOff>
      <xdr:row>1</xdr:row>
      <xdr:rowOff>103586</xdr:rowOff>
    </xdr:from>
    <xdr:to>
      <xdr:col>22</xdr:col>
      <xdr:colOff>647770</xdr:colOff>
      <xdr:row>2</xdr:row>
      <xdr:rowOff>117146</xdr:rowOff>
    </xdr:to>
    <xdr:cxnSp macro="">
      <xdr:nvCxnSpPr>
        <xdr:cNvPr id="40" name="Straight Connector 39">
          <a:extLst>
            <a:ext uri="{FF2B5EF4-FFF2-40B4-BE49-F238E27FC236}">
              <a16:creationId xmlns:a16="http://schemas.microsoft.com/office/drawing/2014/main" id="{F74BFD03-CBDC-4941-88CF-3E7AA92FBBF8}"/>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42838</xdr:colOff>
      <xdr:row>1</xdr:row>
      <xdr:rowOff>103586</xdr:rowOff>
    </xdr:from>
    <xdr:to>
      <xdr:col>24</xdr:col>
      <xdr:colOff>42838</xdr:colOff>
      <xdr:row>2</xdr:row>
      <xdr:rowOff>117146</xdr:rowOff>
    </xdr:to>
    <xdr:cxnSp macro="">
      <xdr:nvCxnSpPr>
        <xdr:cNvPr id="70" name="Straight Connector 69">
          <a:extLst>
            <a:ext uri="{FF2B5EF4-FFF2-40B4-BE49-F238E27FC236}">
              <a16:creationId xmlns:a16="http://schemas.microsoft.com/office/drawing/2014/main" id="{F2F20398-E7FA-45C2-AA0F-5918096A07AF}"/>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248059</xdr:colOff>
      <xdr:row>1</xdr:row>
      <xdr:rowOff>103586</xdr:rowOff>
    </xdr:from>
    <xdr:to>
      <xdr:col>16</xdr:col>
      <xdr:colOff>248059</xdr:colOff>
      <xdr:row>2</xdr:row>
      <xdr:rowOff>117146</xdr:rowOff>
    </xdr:to>
    <xdr:cxnSp macro="">
      <xdr:nvCxnSpPr>
        <xdr:cNvPr id="71" name="Straight Connector 70">
          <a:extLst>
            <a:ext uri="{FF2B5EF4-FFF2-40B4-BE49-F238E27FC236}">
              <a16:creationId xmlns:a16="http://schemas.microsoft.com/office/drawing/2014/main" id="{BB6698CD-6856-4E3E-AB37-5F23446154D2}"/>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46</xdr:col>
      <xdr:colOff>717308</xdr:colOff>
      <xdr:row>4</xdr:row>
      <xdr:rowOff>0</xdr:rowOff>
    </xdr:to>
    <xdr:sp macro="" textlink="">
      <xdr:nvSpPr>
        <xdr:cNvPr id="14" name="Rectangle 13">
          <a:extLst>
            <a:ext uri="{FF2B5EF4-FFF2-40B4-BE49-F238E27FC236}">
              <a16:creationId xmlns:a16="http://schemas.microsoft.com/office/drawing/2014/main" id="{1E4E01DA-1DC9-48D5-A5EF-A9F2B19DFC53}"/>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596671</xdr:colOff>
      <xdr:row>1</xdr:row>
      <xdr:rowOff>19879</xdr:rowOff>
    </xdr:from>
    <xdr:to>
      <xdr:col>13</xdr:col>
      <xdr:colOff>606344</xdr:colOff>
      <xdr:row>3</xdr:row>
      <xdr:rowOff>10354</xdr:rowOff>
    </xdr:to>
    <xdr:sp macro="" textlink="">
      <xdr:nvSpPr>
        <xdr:cNvPr id="50" name="TextBox 49">
          <a:hlinkClick xmlns:r="http://schemas.openxmlformats.org/officeDocument/2006/relationships" r:id="rId1"/>
          <a:extLst>
            <a:ext uri="{FF2B5EF4-FFF2-40B4-BE49-F238E27FC236}">
              <a16:creationId xmlns:a16="http://schemas.microsoft.com/office/drawing/2014/main" id="{21454B8A-C4D3-6865-B3C3-D55700FE5171}"/>
            </a:ext>
          </a:extLst>
        </xdr:cNvPr>
        <xdr:cNvSpPr txBox="1"/>
      </xdr:nvSpPr>
      <xdr:spPr>
        <a:xfrm>
          <a:off x="12569596" y="210379"/>
          <a:ext cx="95264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102870</xdr:colOff>
      <xdr:row>0</xdr:row>
      <xdr:rowOff>53340</xdr:rowOff>
    </xdr:from>
    <xdr:ext cx="1274246" cy="671785"/>
    <xdr:pic>
      <xdr:nvPicPr>
        <xdr:cNvPr id="15" name="Picture 14">
          <a:extLst>
            <a:ext uri="{FF2B5EF4-FFF2-40B4-BE49-F238E27FC236}">
              <a16:creationId xmlns:a16="http://schemas.microsoft.com/office/drawing/2014/main" id="{1B452CBB-B668-4435-A503-6289600494F7}"/>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2870" y="53340"/>
          <a:ext cx="1274246" cy="671785"/>
        </a:xfrm>
        <a:prstGeom prst="rect">
          <a:avLst/>
        </a:prstGeom>
      </xdr:spPr>
    </xdr:pic>
    <xdr:clientData/>
  </xdr:oneCellAnchor>
  <xdr:twoCellAnchor>
    <xdr:from>
      <xdr:col>1</xdr:col>
      <xdr:colOff>1291639</xdr:colOff>
      <xdr:row>1</xdr:row>
      <xdr:rowOff>28201</xdr:rowOff>
    </xdr:from>
    <xdr:to>
      <xdr:col>1</xdr:col>
      <xdr:colOff>1291639</xdr:colOff>
      <xdr:row>2</xdr:row>
      <xdr:rowOff>138545</xdr:rowOff>
    </xdr:to>
    <xdr:cxnSp macro="">
      <xdr:nvCxnSpPr>
        <xdr:cNvPr id="20" name="Straight Connector 19">
          <a:extLst>
            <a:ext uri="{FF2B5EF4-FFF2-40B4-BE49-F238E27FC236}">
              <a16:creationId xmlns:a16="http://schemas.microsoft.com/office/drawing/2014/main" id="{48E59376-F131-46E6-B942-C61538DE54D6}"/>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478696</xdr:colOff>
      <xdr:row>1</xdr:row>
      <xdr:rowOff>19879</xdr:rowOff>
    </xdr:from>
    <xdr:to>
      <xdr:col>4</xdr:col>
      <xdr:colOff>491928</xdr:colOff>
      <xdr:row>3</xdr:row>
      <xdr:rowOff>10354</xdr:rowOff>
    </xdr:to>
    <xdr:sp macro="" textlink="">
      <xdr:nvSpPr>
        <xdr:cNvPr id="21" name="TextBox 20">
          <a:hlinkClick xmlns:r="http://schemas.openxmlformats.org/officeDocument/2006/relationships" r:id="rId3"/>
          <a:extLst>
            <a:ext uri="{FF2B5EF4-FFF2-40B4-BE49-F238E27FC236}">
              <a16:creationId xmlns:a16="http://schemas.microsoft.com/office/drawing/2014/main" id="{0747EBFC-B320-4A12-913B-15317D4CADAE}"/>
            </a:ext>
          </a:extLst>
        </xdr:cNvPr>
        <xdr:cNvSpPr txBox="1"/>
      </xdr:nvSpPr>
      <xdr:spPr>
        <a:xfrm>
          <a:off x="3964846" y="210379"/>
          <a:ext cx="95620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4</xdr:col>
      <xdr:colOff>394654</xdr:colOff>
      <xdr:row>1</xdr:row>
      <xdr:rowOff>19879</xdr:rowOff>
    </xdr:from>
    <xdr:to>
      <xdr:col>5</xdr:col>
      <xdr:colOff>411783</xdr:colOff>
      <xdr:row>3</xdr:row>
      <xdr:rowOff>10354</xdr:rowOff>
    </xdr:to>
    <xdr:sp macro="" textlink="">
      <xdr:nvSpPr>
        <xdr:cNvPr id="22" name="TextBox 21">
          <a:hlinkClick xmlns:r="http://schemas.openxmlformats.org/officeDocument/2006/relationships" r:id="rId4"/>
          <a:extLst>
            <a:ext uri="{FF2B5EF4-FFF2-40B4-BE49-F238E27FC236}">
              <a16:creationId xmlns:a16="http://schemas.microsoft.com/office/drawing/2014/main" id="{5025120D-B8E6-439F-A184-45ED4C66B3DA}"/>
            </a:ext>
          </a:extLst>
        </xdr:cNvPr>
        <xdr:cNvSpPr txBox="1"/>
      </xdr:nvSpPr>
      <xdr:spPr>
        <a:xfrm>
          <a:off x="4823779" y="210379"/>
          <a:ext cx="96010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5</xdr:col>
      <xdr:colOff>314509</xdr:colOff>
      <xdr:row>1</xdr:row>
      <xdr:rowOff>19879</xdr:rowOff>
    </xdr:from>
    <xdr:to>
      <xdr:col>6</xdr:col>
      <xdr:colOff>325579</xdr:colOff>
      <xdr:row>3</xdr:row>
      <xdr:rowOff>10354</xdr:rowOff>
    </xdr:to>
    <xdr:sp macro="" textlink="">
      <xdr:nvSpPr>
        <xdr:cNvPr id="23" name="TextBox 22">
          <a:hlinkClick xmlns:r="http://schemas.openxmlformats.org/officeDocument/2006/relationships" r:id="rId5"/>
          <a:extLst>
            <a:ext uri="{FF2B5EF4-FFF2-40B4-BE49-F238E27FC236}">
              <a16:creationId xmlns:a16="http://schemas.microsoft.com/office/drawing/2014/main" id="{0C8DEDFE-F7E4-49B6-83B6-2D746467EB11}"/>
            </a:ext>
          </a:extLst>
        </xdr:cNvPr>
        <xdr:cNvSpPr txBox="1"/>
      </xdr:nvSpPr>
      <xdr:spPr>
        <a:xfrm>
          <a:off x="5686609" y="210379"/>
          <a:ext cx="95404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228305</xdr:colOff>
      <xdr:row>1</xdr:row>
      <xdr:rowOff>19879</xdr:rowOff>
    </xdr:from>
    <xdr:to>
      <xdr:col>7</xdr:col>
      <xdr:colOff>245406</xdr:colOff>
      <xdr:row>3</xdr:row>
      <xdr:rowOff>10354</xdr:rowOff>
    </xdr:to>
    <xdr:sp macro="" textlink="">
      <xdr:nvSpPr>
        <xdr:cNvPr id="24" name="TextBox 23">
          <a:hlinkClick xmlns:r="http://schemas.openxmlformats.org/officeDocument/2006/relationships" r:id="rId6"/>
          <a:extLst>
            <a:ext uri="{FF2B5EF4-FFF2-40B4-BE49-F238E27FC236}">
              <a16:creationId xmlns:a16="http://schemas.microsoft.com/office/drawing/2014/main" id="{2FE398FD-278D-4CA2-8139-851E1E042DD9}"/>
            </a:ext>
          </a:extLst>
        </xdr:cNvPr>
        <xdr:cNvSpPr txBox="1"/>
      </xdr:nvSpPr>
      <xdr:spPr>
        <a:xfrm>
          <a:off x="6543380" y="210379"/>
          <a:ext cx="9600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148132</xdr:colOff>
      <xdr:row>1</xdr:row>
      <xdr:rowOff>19879</xdr:rowOff>
    </xdr:from>
    <xdr:to>
      <xdr:col>8</xdr:col>
      <xdr:colOff>169314</xdr:colOff>
      <xdr:row>3</xdr:row>
      <xdr:rowOff>10354</xdr:rowOff>
    </xdr:to>
    <xdr:sp macro="" textlink="">
      <xdr:nvSpPr>
        <xdr:cNvPr id="25" name="TextBox 24">
          <a:hlinkClick xmlns:r="http://schemas.openxmlformats.org/officeDocument/2006/relationships" r:id="rId7"/>
          <a:extLst>
            <a:ext uri="{FF2B5EF4-FFF2-40B4-BE49-F238E27FC236}">
              <a16:creationId xmlns:a16="http://schemas.microsoft.com/office/drawing/2014/main" id="{87CB0B90-D070-4E1B-9097-4A41690718FF}"/>
            </a:ext>
          </a:extLst>
        </xdr:cNvPr>
        <xdr:cNvSpPr txBox="1"/>
      </xdr:nvSpPr>
      <xdr:spPr>
        <a:xfrm>
          <a:off x="7406182" y="210379"/>
          <a:ext cx="96415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8</xdr:col>
      <xdr:colOff>72040</xdr:colOff>
      <xdr:row>1</xdr:row>
      <xdr:rowOff>19879</xdr:rowOff>
    </xdr:from>
    <xdr:to>
      <xdr:col>9</xdr:col>
      <xdr:colOff>86151</xdr:colOff>
      <xdr:row>3</xdr:row>
      <xdr:rowOff>10354</xdr:rowOff>
    </xdr:to>
    <xdr:sp macro="" textlink="">
      <xdr:nvSpPr>
        <xdr:cNvPr id="26" name="TextBox 25">
          <a:hlinkClick xmlns:r="http://schemas.openxmlformats.org/officeDocument/2006/relationships" r:id="rId8"/>
          <a:extLst>
            <a:ext uri="{FF2B5EF4-FFF2-40B4-BE49-F238E27FC236}">
              <a16:creationId xmlns:a16="http://schemas.microsoft.com/office/drawing/2014/main" id="{1CA5F316-B070-4EB7-B411-84D833643542}"/>
            </a:ext>
          </a:extLst>
        </xdr:cNvPr>
        <xdr:cNvSpPr txBox="1"/>
      </xdr:nvSpPr>
      <xdr:spPr>
        <a:xfrm>
          <a:off x="8273065" y="210379"/>
          <a:ext cx="95708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Peers</a:t>
          </a:r>
        </a:p>
      </xdr:txBody>
    </xdr:sp>
    <xdr:clientData/>
  </xdr:twoCellAnchor>
  <xdr:twoCellAnchor>
    <xdr:from>
      <xdr:col>8</xdr:col>
      <xdr:colOff>931852</xdr:colOff>
      <xdr:row>1</xdr:row>
      <xdr:rowOff>19879</xdr:rowOff>
    </xdr:from>
    <xdr:to>
      <xdr:col>10</xdr:col>
      <xdr:colOff>2989</xdr:colOff>
      <xdr:row>3</xdr:row>
      <xdr:rowOff>10354</xdr:rowOff>
    </xdr:to>
    <xdr:sp macro="" textlink="">
      <xdr:nvSpPr>
        <xdr:cNvPr id="27" name="TextBox 26">
          <a:hlinkClick xmlns:r="http://schemas.openxmlformats.org/officeDocument/2006/relationships" r:id="rId9"/>
          <a:extLst>
            <a:ext uri="{FF2B5EF4-FFF2-40B4-BE49-F238E27FC236}">
              <a16:creationId xmlns:a16="http://schemas.microsoft.com/office/drawing/2014/main" id="{9D3B267E-8202-443D-B0D7-2995DF0AAD6C}"/>
            </a:ext>
          </a:extLst>
        </xdr:cNvPr>
        <xdr:cNvSpPr txBox="1"/>
      </xdr:nvSpPr>
      <xdr:spPr>
        <a:xfrm>
          <a:off x="9132877" y="210379"/>
          <a:ext cx="95708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848690</xdr:colOff>
      <xdr:row>1</xdr:row>
      <xdr:rowOff>19879</xdr:rowOff>
    </xdr:from>
    <xdr:to>
      <xdr:col>10</xdr:col>
      <xdr:colOff>863579</xdr:colOff>
      <xdr:row>3</xdr:row>
      <xdr:rowOff>10354</xdr:rowOff>
    </xdr:to>
    <xdr:sp macro="" textlink="">
      <xdr:nvSpPr>
        <xdr:cNvPr id="28" name="TextBox 27">
          <a:hlinkClick xmlns:r="http://schemas.openxmlformats.org/officeDocument/2006/relationships" r:id="rId10"/>
          <a:extLst>
            <a:ext uri="{FF2B5EF4-FFF2-40B4-BE49-F238E27FC236}">
              <a16:creationId xmlns:a16="http://schemas.microsoft.com/office/drawing/2014/main" id="{AAC15DD9-C0DE-4DFC-9719-B4F7DA2BF78D}"/>
            </a:ext>
          </a:extLst>
        </xdr:cNvPr>
        <xdr:cNvSpPr txBox="1"/>
      </xdr:nvSpPr>
      <xdr:spPr>
        <a:xfrm>
          <a:off x="9992690" y="210379"/>
          <a:ext cx="9578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10</xdr:col>
      <xdr:colOff>766305</xdr:colOff>
      <xdr:row>1</xdr:row>
      <xdr:rowOff>19879</xdr:rowOff>
    </xdr:from>
    <xdr:to>
      <xdr:col>11</xdr:col>
      <xdr:colOff>781547</xdr:colOff>
      <xdr:row>3</xdr:row>
      <xdr:rowOff>10354</xdr:rowOff>
    </xdr:to>
    <xdr:sp macro="" textlink="">
      <xdr:nvSpPr>
        <xdr:cNvPr id="29" name="TextBox 28">
          <a:hlinkClick xmlns:r="http://schemas.openxmlformats.org/officeDocument/2006/relationships" r:id="rId11"/>
          <a:extLst>
            <a:ext uri="{FF2B5EF4-FFF2-40B4-BE49-F238E27FC236}">
              <a16:creationId xmlns:a16="http://schemas.microsoft.com/office/drawing/2014/main" id="{2C886B9A-40F0-4C77-A003-3C7709B577A6}"/>
            </a:ext>
          </a:extLst>
        </xdr:cNvPr>
        <xdr:cNvSpPr txBox="1"/>
      </xdr:nvSpPr>
      <xdr:spPr>
        <a:xfrm>
          <a:off x="10853280" y="210379"/>
          <a:ext cx="95821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11</xdr:col>
      <xdr:colOff>684273</xdr:colOff>
      <xdr:row>1</xdr:row>
      <xdr:rowOff>19879</xdr:rowOff>
    </xdr:from>
    <xdr:to>
      <xdr:col>12</xdr:col>
      <xdr:colOff>693945</xdr:colOff>
      <xdr:row>3</xdr:row>
      <xdr:rowOff>10354</xdr:rowOff>
    </xdr:to>
    <xdr:sp macro="" textlink="">
      <xdr:nvSpPr>
        <xdr:cNvPr id="30" name="TextBox 29">
          <a:hlinkClick xmlns:r="http://schemas.openxmlformats.org/officeDocument/2006/relationships" r:id="rId12"/>
          <a:extLst>
            <a:ext uri="{FF2B5EF4-FFF2-40B4-BE49-F238E27FC236}">
              <a16:creationId xmlns:a16="http://schemas.microsoft.com/office/drawing/2014/main" id="{A52FF790-07C8-49ED-AF46-6ADD3F0B34B5}"/>
            </a:ext>
          </a:extLst>
        </xdr:cNvPr>
        <xdr:cNvSpPr txBox="1"/>
      </xdr:nvSpPr>
      <xdr:spPr>
        <a:xfrm>
          <a:off x="11714223" y="210379"/>
          <a:ext cx="95264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13</xdr:col>
      <xdr:colOff>509070</xdr:colOff>
      <xdr:row>1</xdr:row>
      <xdr:rowOff>19879</xdr:rowOff>
    </xdr:from>
    <xdr:to>
      <xdr:col>14</xdr:col>
      <xdr:colOff>521917</xdr:colOff>
      <xdr:row>3</xdr:row>
      <xdr:rowOff>10354</xdr:rowOff>
    </xdr:to>
    <xdr:sp macro="" textlink="">
      <xdr:nvSpPr>
        <xdr:cNvPr id="31" name="TextBox 30">
          <a:hlinkClick xmlns:r="http://schemas.openxmlformats.org/officeDocument/2006/relationships" r:id="rId13"/>
          <a:extLst>
            <a:ext uri="{FF2B5EF4-FFF2-40B4-BE49-F238E27FC236}">
              <a16:creationId xmlns:a16="http://schemas.microsoft.com/office/drawing/2014/main" id="{C3D526A2-0DC0-40BE-8F06-872D5D75B9F5}"/>
            </a:ext>
          </a:extLst>
        </xdr:cNvPr>
        <xdr:cNvSpPr txBox="1"/>
      </xdr:nvSpPr>
      <xdr:spPr>
        <a:xfrm>
          <a:off x="13424970" y="210379"/>
          <a:ext cx="95582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14</xdr:col>
      <xdr:colOff>424643</xdr:colOff>
      <xdr:row>1</xdr:row>
      <xdr:rowOff>19879</xdr:rowOff>
    </xdr:from>
    <xdr:to>
      <xdr:col>15</xdr:col>
      <xdr:colOff>440502</xdr:colOff>
      <xdr:row>3</xdr:row>
      <xdr:rowOff>10354</xdr:rowOff>
    </xdr:to>
    <xdr:sp macro="" textlink="">
      <xdr:nvSpPr>
        <xdr:cNvPr id="32" name="TextBox 31">
          <a:hlinkClick xmlns:r="http://schemas.openxmlformats.org/officeDocument/2006/relationships" r:id="rId14"/>
          <a:extLst>
            <a:ext uri="{FF2B5EF4-FFF2-40B4-BE49-F238E27FC236}">
              <a16:creationId xmlns:a16="http://schemas.microsoft.com/office/drawing/2014/main" id="{E06CA26A-A650-4852-8A98-8835F0FC3098}"/>
            </a:ext>
          </a:extLst>
        </xdr:cNvPr>
        <xdr:cNvSpPr txBox="1"/>
      </xdr:nvSpPr>
      <xdr:spPr>
        <a:xfrm>
          <a:off x="14283518" y="210379"/>
          <a:ext cx="95883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15</xdr:col>
      <xdr:colOff>343228</xdr:colOff>
      <xdr:row>1</xdr:row>
      <xdr:rowOff>19879</xdr:rowOff>
    </xdr:from>
    <xdr:to>
      <xdr:col>16</xdr:col>
      <xdr:colOff>357429</xdr:colOff>
      <xdr:row>3</xdr:row>
      <xdr:rowOff>10354</xdr:rowOff>
    </xdr:to>
    <xdr:sp macro="" textlink="">
      <xdr:nvSpPr>
        <xdr:cNvPr id="33" name="TextBox 32">
          <a:hlinkClick xmlns:r="http://schemas.openxmlformats.org/officeDocument/2006/relationships" r:id="rId15"/>
          <a:extLst>
            <a:ext uri="{FF2B5EF4-FFF2-40B4-BE49-F238E27FC236}">
              <a16:creationId xmlns:a16="http://schemas.microsoft.com/office/drawing/2014/main" id="{80ACEBD4-E58E-42D5-A36D-714FFA8B983B}"/>
            </a:ext>
          </a:extLst>
        </xdr:cNvPr>
        <xdr:cNvSpPr txBox="1"/>
      </xdr:nvSpPr>
      <xdr:spPr>
        <a:xfrm>
          <a:off x="15145078" y="210379"/>
          <a:ext cx="9571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16</xdr:col>
      <xdr:colOff>260155</xdr:colOff>
      <xdr:row>1</xdr:row>
      <xdr:rowOff>19879</xdr:rowOff>
    </xdr:from>
    <xdr:to>
      <xdr:col>17</xdr:col>
      <xdr:colOff>278053</xdr:colOff>
      <xdr:row>3</xdr:row>
      <xdr:rowOff>10354</xdr:rowOff>
    </xdr:to>
    <xdr:sp macro="" textlink="">
      <xdr:nvSpPr>
        <xdr:cNvPr id="34" name="TextBox 33">
          <a:hlinkClick xmlns:r="http://schemas.openxmlformats.org/officeDocument/2006/relationships" r:id="rId16"/>
          <a:extLst>
            <a:ext uri="{FF2B5EF4-FFF2-40B4-BE49-F238E27FC236}">
              <a16:creationId xmlns:a16="http://schemas.microsoft.com/office/drawing/2014/main" id="{6D2E25FA-794C-4798-A861-056447095CCD}"/>
            </a:ext>
          </a:extLst>
        </xdr:cNvPr>
        <xdr:cNvSpPr txBox="1"/>
      </xdr:nvSpPr>
      <xdr:spPr>
        <a:xfrm>
          <a:off x="16004980" y="210379"/>
          <a:ext cx="96087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17</xdr:col>
      <xdr:colOff>180790</xdr:colOff>
      <xdr:row>1</xdr:row>
      <xdr:rowOff>19879</xdr:rowOff>
    </xdr:from>
    <xdr:to>
      <xdr:col>18</xdr:col>
      <xdr:colOff>196261</xdr:colOff>
      <xdr:row>3</xdr:row>
      <xdr:rowOff>10354</xdr:rowOff>
    </xdr:to>
    <xdr:sp macro="" textlink="">
      <xdr:nvSpPr>
        <xdr:cNvPr id="35" name="TextBox 34">
          <a:hlinkClick xmlns:r="http://schemas.openxmlformats.org/officeDocument/2006/relationships" r:id="rId17"/>
          <a:extLst>
            <a:ext uri="{FF2B5EF4-FFF2-40B4-BE49-F238E27FC236}">
              <a16:creationId xmlns:a16="http://schemas.microsoft.com/office/drawing/2014/main" id="{EEB218FE-5597-417C-A9EE-78C91D3344CE}"/>
            </a:ext>
          </a:extLst>
        </xdr:cNvPr>
        <xdr:cNvSpPr txBox="1"/>
      </xdr:nvSpPr>
      <xdr:spPr>
        <a:xfrm>
          <a:off x="16868590" y="210379"/>
          <a:ext cx="95844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276942</xdr:colOff>
      <xdr:row>1</xdr:row>
      <xdr:rowOff>103586</xdr:rowOff>
    </xdr:from>
    <xdr:to>
      <xdr:col>6</xdr:col>
      <xdr:colOff>276942</xdr:colOff>
      <xdr:row>2</xdr:row>
      <xdr:rowOff>117146</xdr:rowOff>
    </xdr:to>
    <xdr:cxnSp macro="">
      <xdr:nvCxnSpPr>
        <xdr:cNvPr id="36" name="Straight Connector 35">
          <a:extLst>
            <a:ext uri="{FF2B5EF4-FFF2-40B4-BE49-F238E27FC236}">
              <a16:creationId xmlns:a16="http://schemas.microsoft.com/office/drawing/2014/main" id="{CA4D56D3-E2DF-4E85-A6E2-321C6AAF4EBB}"/>
            </a:ext>
          </a:extLst>
        </xdr:cNvPr>
        <xdr:cNvCxnSpPr/>
      </xdr:nvCxnSpPr>
      <xdr:spPr>
        <a:xfrm>
          <a:off x="659201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363146</xdr:colOff>
      <xdr:row>1</xdr:row>
      <xdr:rowOff>103586</xdr:rowOff>
    </xdr:from>
    <xdr:to>
      <xdr:col>5</xdr:col>
      <xdr:colOff>363146</xdr:colOff>
      <xdr:row>2</xdr:row>
      <xdr:rowOff>117146</xdr:rowOff>
    </xdr:to>
    <xdr:cxnSp macro="">
      <xdr:nvCxnSpPr>
        <xdr:cNvPr id="37" name="Straight Connector 36">
          <a:extLst>
            <a:ext uri="{FF2B5EF4-FFF2-40B4-BE49-F238E27FC236}">
              <a16:creationId xmlns:a16="http://schemas.microsoft.com/office/drawing/2014/main" id="{856508DE-E573-4F77-8251-33A78FA7ADC8}"/>
            </a:ext>
          </a:extLst>
        </xdr:cNvPr>
        <xdr:cNvCxnSpPr/>
      </xdr:nvCxnSpPr>
      <xdr:spPr>
        <a:xfrm>
          <a:off x="573524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443291</xdr:colOff>
      <xdr:row>1</xdr:row>
      <xdr:rowOff>103586</xdr:rowOff>
    </xdr:from>
    <xdr:to>
      <xdr:col>4</xdr:col>
      <xdr:colOff>443291</xdr:colOff>
      <xdr:row>2</xdr:row>
      <xdr:rowOff>117146</xdr:rowOff>
    </xdr:to>
    <xdr:cxnSp macro="">
      <xdr:nvCxnSpPr>
        <xdr:cNvPr id="38" name="Straight Connector 37">
          <a:extLst>
            <a:ext uri="{FF2B5EF4-FFF2-40B4-BE49-F238E27FC236}">
              <a16:creationId xmlns:a16="http://schemas.microsoft.com/office/drawing/2014/main" id="{49C36CF0-6157-48E3-A665-FC3192E553FF}"/>
            </a:ext>
          </a:extLst>
        </xdr:cNvPr>
        <xdr:cNvCxnSpPr/>
      </xdr:nvCxnSpPr>
      <xdr:spPr>
        <a:xfrm>
          <a:off x="487241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196769</xdr:colOff>
      <xdr:row>1</xdr:row>
      <xdr:rowOff>103586</xdr:rowOff>
    </xdr:from>
    <xdr:to>
      <xdr:col>7</xdr:col>
      <xdr:colOff>196769</xdr:colOff>
      <xdr:row>2</xdr:row>
      <xdr:rowOff>117146</xdr:rowOff>
    </xdr:to>
    <xdr:cxnSp macro="">
      <xdr:nvCxnSpPr>
        <xdr:cNvPr id="39" name="Straight Connector 38">
          <a:extLst>
            <a:ext uri="{FF2B5EF4-FFF2-40B4-BE49-F238E27FC236}">
              <a16:creationId xmlns:a16="http://schemas.microsoft.com/office/drawing/2014/main" id="{8F8EF1EE-96AF-4671-A775-1C9E9F5B626E}"/>
            </a:ext>
          </a:extLst>
        </xdr:cNvPr>
        <xdr:cNvCxnSpPr/>
      </xdr:nvCxnSpPr>
      <xdr:spPr>
        <a:xfrm>
          <a:off x="7454819"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120677</xdr:colOff>
      <xdr:row>1</xdr:row>
      <xdr:rowOff>103586</xdr:rowOff>
    </xdr:from>
    <xdr:to>
      <xdr:col>8</xdr:col>
      <xdr:colOff>120677</xdr:colOff>
      <xdr:row>2</xdr:row>
      <xdr:rowOff>117146</xdr:rowOff>
    </xdr:to>
    <xdr:cxnSp macro="">
      <xdr:nvCxnSpPr>
        <xdr:cNvPr id="40" name="Straight Connector 39">
          <a:extLst>
            <a:ext uri="{FF2B5EF4-FFF2-40B4-BE49-F238E27FC236}">
              <a16:creationId xmlns:a16="http://schemas.microsoft.com/office/drawing/2014/main" id="{EF72FF29-A8AB-4618-BB08-B64525A726EA}"/>
            </a:ext>
          </a:extLst>
        </xdr:cNvPr>
        <xdr:cNvCxnSpPr/>
      </xdr:nvCxnSpPr>
      <xdr:spPr>
        <a:xfrm>
          <a:off x="832170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37514</xdr:colOff>
      <xdr:row>1</xdr:row>
      <xdr:rowOff>103586</xdr:rowOff>
    </xdr:from>
    <xdr:to>
      <xdr:col>9</xdr:col>
      <xdr:colOff>37514</xdr:colOff>
      <xdr:row>2</xdr:row>
      <xdr:rowOff>117146</xdr:rowOff>
    </xdr:to>
    <xdr:cxnSp macro="">
      <xdr:nvCxnSpPr>
        <xdr:cNvPr id="41" name="Straight Connector 40">
          <a:extLst>
            <a:ext uri="{FF2B5EF4-FFF2-40B4-BE49-F238E27FC236}">
              <a16:creationId xmlns:a16="http://schemas.microsoft.com/office/drawing/2014/main" id="{F7CD5FBC-0323-40DE-B30A-190FB0B1CF28}"/>
            </a:ext>
          </a:extLst>
        </xdr:cNvPr>
        <xdr:cNvCxnSpPr/>
      </xdr:nvCxnSpPr>
      <xdr:spPr>
        <a:xfrm>
          <a:off x="918151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897327</xdr:colOff>
      <xdr:row>1</xdr:row>
      <xdr:rowOff>103586</xdr:rowOff>
    </xdr:from>
    <xdr:to>
      <xdr:col>9</xdr:col>
      <xdr:colOff>897327</xdr:colOff>
      <xdr:row>2</xdr:row>
      <xdr:rowOff>117146</xdr:rowOff>
    </xdr:to>
    <xdr:cxnSp macro="">
      <xdr:nvCxnSpPr>
        <xdr:cNvPr id="42" name="Straight Connector 41">
          <a:extLst>
            <a:ext uri="{FF2B5EF4-FFF2-40B4-BE49-F238E27FC236}">
              <a16:creationId xmlns:a16="http://schemas.microsoft.com/office/drawing/2014/main" id="{A8F65D51-25F0-4F49-B8FC-E32BC41DA29D}"/>
            </a:ext>
          </a:extLst>
        </xdr:cNvPr>
        <xdr:cNvCxnSpPr/>
      </xdr:nvCxnSpPr>
      <xdr:spPr>
        <a:xfrm>
          <a:off x="1004132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814942</xdr:colOff>
      <xdr:row>1</xdr:row>
      <xdr:rowOff>103586</xdr:rowOff>
    </xdr:from>
    <xdr:to>
      <xdr:col>10</xdr:col>
      <xdr:colOff>814942</xdr:colOff>
      <xdr:row>2</xdr:row>
      <xdr:rowOff>117146</xdr:rowOff>
    </xdr:to>
    <xdr:cxnSp macro="">
      <xdr:nvCxnSpPr>
        <xdr:cNvPr id="43" name="Straight Connector 42">
          <a:extLst>
            <a:ext uri="{FF2B5EF4-FFF2-40B4-BE49-F238E27FC236}">
              <a16:creationId xmlns:a16="http://schemas.microsoft.com/office/drawing/2014/main" id="{20035DFA-7E48-40F1-B370-D7DE39ECD4F7}"/>
            </a:ext>
          </a:extLst>
        </xdr:cNvPr>
        <xdr:cNvCxnSpPr/>
      </xdr:nvCxnSpPr>
      <xdr:spPr>
        <a:xfrm>
          <a:off x="1090191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732910</xdr:colOff>
      <xdr:row>1</xdr:row>
      <xdr:rowOff>103586</xdr:rowOff>
    </xdr:from>
    <xdr:to>
      <xdr:col>11</xdr:col>
      <xdr:colOff>732910</xdr:colOff>
      <xdr:row>2</xdr:row>
      <xdr:rowOff>117146</xdr:rowOff>
    </xdr:to>
    <xdr:cxnSp macro="">
      <xdr:nvCxnSpPr>
        <xdr:cNvPr id="44" name="Straight Connector 43">
          <a:extLst>
            <a:ext uri="{FF2B5EF4-FFF2-40B4-BE49-F238E27FC236}">
              <a16:creationId xmlns:a16="http://schemas.microsoft.com/office/drawing/2014/main" id="{98376886-A700-4FF5-9C1A-6AF850442586}"/>
            </a:ext>
          </a:extLst>
        </xdr:cNvPr>
        <xdr:cNvCxnSpPr/>
      </xdr:nvCxnSpPr>
      <xdr:spPr>
        <a:xfrm>
          <a:off x="1176286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557707</xdr:colOff>
      <xdr:row>1</xdr:row>
      <xdr:rowOff>103586</xdr:rowOff>
    </xdr:from>
    <xdr:to>
      <xdr:col>13</xdr:col>
      <xdr:colOff>557707</xdr:colOff>
      <xdr:row>2</xdr:row>
      <xdr:rowOff>117146</xdr:rowOff>
    </xdr:to>
    <xdr:cxnSp macro="">
      <xdr:nvCxnSpPr>
        <xdr:cNvPr id="45" name="Straight Connector 44">
          <a:extLst>
            <a:ext uri="{FF2B5EF4-FFF2-40B4-BE49-F238E27FC236}">
              <a16:creationId xmlns:a16="http://schemas.microsoft.com/office/drawing/2014/main" id="{60A9DF5B-DA09-4B07-BB18-EC1D71BE74FE}"/>
            </a:ext>
          </a:extLst>
        </xdr:cNvPr>
        <xdr:cNvCxnSpPr/>
      </xdr:nvCxnSpPr>
      <xdr:spPr>
        <a:xfrm>
          <a:off x="1347360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473280</xdr:colOff>
      <xdr:row>1</xdr:row>
      <xdr:rowOff>103586</xdr:rowOff>
    </xdr:from>
    <xdr:to>
      <xdr:col>14</xdr:col>
      <xdr:colOff>473280</xdr:colOff>
      <xdr:row>2</xdr:row>
      <xdr:rowOff>117146</xdr:rowOff>
    </xdr:to>
    <xdr:cxnSp macro="">
      <xdr:nvCxnSpPr>
        <xdr:cNvPr id="46" name="Straight Connector 45">
          <a:extLst>
            <a:ext uri="{FF2B5EF4-FFF2-40B4-BE49-F238E27FC236}">
              <a16:creationId xmlns:a16="http://schemas.microsoft.com/office/drawing/2014/main" id="{60C1472F-7466-47F0-8E97-567C273090D9}"/>
            </a:ext>
          </a:extLst>
        </xdr:cNvPr>
        <xdr:cNvCxnSpPr/>
      </xdr:nvCxnSpPr>
      <xdr:spPr>
        <a:xfrm>
          <a:off x="1433215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391865</xdr:colOff>
      <xdr:row>1</xdr:row>
      <xdr:rowOff>103586</xdr:rowOff>
    </xdr:from>
    <xdr:to>
      <xdr:col>15</xdr:col>
      <xdr:colOff>391865</xdr:colOff>
      <xdr:row>2</xdr:row>
      <xdr:rowOff>117146</xdr:rowOff>
    </xdr:to>
    <xdr:cxnSp macro="">
      <xdr:nvCxnSpPr>
        <xdr:cNvPr id="47" name="Straight Connector 46">
          <a:extLst>
            <a:ext uri="{FF2B5EF4-FFF2-40B4-BE49-F238E27FC236}">
              <a16:creationId xmlns:a16="http://schemas.microsoft.com/office/drawing/2014/main" id="{10E62865-ED04-4924-87A1-24E8CA340D9F}"/>
            </a:ext>
          </a:extLst>
        </xdr:cNvPr>
        <xdr:cNvCxnSpPr/>
      </xdr:nvCxnSpPr>
      <xdr:spPr>
        <a:xfrm>
          <a:off x="151937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308792</xdr:colOff>
      <xdr:row>1</xdr:row>
      <xdr:rowOff>103586</xdr:rowOff>
    </xdr:from>
    <xdr:to>
      <xdr:col>16</xdr:col>
      <xdr:colOff>308792</xdr:colOff>
      <xdr:row>2</xdr:row>
      <xdr:rowOff>117146</xdr:rowOff>
    </xdr:to>
    <xdr:cxnSp macro="">
      <xdr:nvCxnSpPr>
        <xdr:cNvPr id="48" name="Straight Connector 47">
          <a:extLst>
            <a:ext uri="{FF2B5EF4-FFF2-40B4-BE49-F238E27FC236}">
              <a16:creationId xmlns:a16="http://schemas.microsoft.com/office/drawing/2014/main" id="{A1D2C990-FFD6-499A-9A96-BA8441209923}"/>
            </a:ext>
          </a:extLst>
        </xdr:cNvPr>
        <xdr:cNvCxnSpPr/>
      </xdr:nvCxnSpPr>
      <xdr:spPr>
        <a:xfrm>
          <a:off x="1605361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229416</xdr:colOff>
      <xdr:row>1</xdr:row>
      <xdr:rowOff>103586</xdr:rowOff>
    </xdr:from>
    <xdr:to>
      <xdr:col>17</xdr:col>
      <xdr:colOff>229416</xdr:colOff>
      <xdr:row>2</xdr:row>
      <xdr:rowOff>117146</xdr:rowOff>
    </xdr:to>
    <xdr:cxnSp macro="">
      <xdr:nvCxnSpPr>
        <xdr:cNvPr id="49" name="Straight Connector 48">
          <a:extLst>
            <a:ext uri="{FF2B5EF4-FFF2-40B4-BE49-F238E27FC236}">
              <a16:creationId xmlns:a16="http://schemas.microsoft.com/office/drawing/2014/main" id="{78977976-5838-4ACB-BE08-9CBD213047BF}"/>
            </a:ext>
          </a:extLst>
        </xdr:cNvPr>
        <xdr:cNvCxnSpPr/>
      </xdr:nvCxnSpPr>
      <xdr:spPr>
        <a:xfrm>
          <a:off x="1691721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645308</xdr:colOff>
      <xdr:row>1</xdr:row>
      <xdr:rowOff>103586</xdr:rowOff>
    </xdr:from>
    <xdr:to>
      <xdr:col>12</xdr:col>
      <xdr:colOff>645308</xdr:colOff>
      <xdr:row>2</xdr:row>
      <xdr:rowOff>117146</xdr:rowOff>
    </xdr:to>
    <xdr:cxnSp macro="">
      <xdr:nvCxnSpPr>
        <xdr:cNvPr id="52" name="Straight Connector 51">
          <a:extLst>
            <a:ext uri="{FF2B5EF4-FFF2-40B4-BE49-F238E27FC236}">
              <a16:creationId xmlns:a16="http://schemas.microsoft.com/office/drawing/2014/main" id="{A8C13133-9535-FBE8-2786-E1B7418F22C9}"/>
            </a:ext>
          </a:extLst>
        </xdr:cNvPr>
        <xdr:cNvCxnSpPr/>
      </xdr:nvCxnSpPr>
      <xdr:spPr>
        <a:xfrm>
          <a:off x="1261823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55</xdr:col>
      <xdr:colOff>656236</xdr:colOff>
      <xdr:row>4</xdr:row>
      <xdr:rowOff>0</xdr:rowOff>
    </xdr:to>
    <xdr:sp macro="" textlink="">
      <xdr:nvSpPr>
        <xdr:cNvPr id="5" name="Rectangle 4">
          <a:extLst>
            <a:ext uri="{FF2B5EF4-FFF2-40B4-BE49-F238E27FC236}">
              <a16:creationId xmlns:a16="http://schemas.microsoft.com/office/drawing/2014/main" id="{9361A3FD-7BA3-4AC8-8C9A-CD6CECF5D29B}"/>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3018822</xdr:colOff>
      <xdr:row>1</xdr:row>
      <xdr:rowOff>19879</xdr:rowOff>
    </xdr:from>
    <xdr:to>
      <xdr:col>12</xdr:col>
      <xdr:colOff>188365</xdr:colOff>
      <xdr:row>3</xdr:row>
      <xdr:rowOff>10354</xdr:rowOff>
    </xdr:to>
    <xdr:sp macro="" textlink="">
      <xdr:nvSpPr>
        <xdr:cNvPr id="39" name="TextBox 38">
          <a:hlinkClick xmlns:r="http://schemas.openxmlformats.org/officeDocument/2006/relationships" r:id="rId1"/>
          <a:extLst>
            <a:ext uri="{FF2B5EF4-FFF2-40B4-BE49-F238E27FC236}">
              <a16:creationId xmlns:a16="http://schemas.microsoft.com/office/drawing/2014/main" id="{5BB3FF60-EBB9-46BE-AABB-B4572242351F}"/>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0" name="Picture 39">
          <a:extLst>
            <a:ext uri="{FF2B5EF4-FFF2-40B4-BE49-F238E27FC236}">
              <a16:creationId xmlns:a16="http://schemas.microsoft.com/office/drawing/2014/main" id="{9E76B664-F2DF-4691-800B-39241254A051}"/>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1297802</xdr:colOff>
      <xdr:row>1</xdr:row>
      <xdr:rowOff>28201</xdr:rowOff>
    </xdr:from>
    <xdr:to>
      <xdr:col>1</xdr:col>
      <xdr:colOff>1297802</xdr:colOff>
      <xdr:row>2</xdr:row>
      <xdr:rowOff>138545</xdr:rowOff>
    </xdr:to>
    <xdr:cxnSp macro="">
      <xdr:nvCxnSpPr>
        <xdr:cNvPr id="42" name="Straight Connector 41">
          <a:extLst>
            <a:ext uri="{FF2B5EF4-FFF2-40B4-BE49-F238E27FC236}">
              <a16:creationId xmlns:a16="http://schemas.microsoft.com/office/drawing/2014/main" id="{A3BAADC3-BC7F-404E-A08E-0C92A5752D98}"/>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3801800</xdr:colOff>
      <xdr:row>1</xdr:row>
      <xdr:rowOff>19879</xdr:rowOff>
    </xdr:from>
    <xdr:to>
      <xdr:col>3</xdr:col>
      <xdr:colOff>622477</xdr:colOff>
      <xdr:row>3</xdr:row>
      <xdr:rowOff>10354</xdr:rowOff>
    </xdr:to>
    <xdr:sp macro="" textlink="">
      <xdr:nvSpPr>
        <xdr:cNvPr id="43" name="TextBox 42">
          <a:hlinkClick xmlns:r="http://schemas.openxmlformats.org/officeDocument/2006/relationships" r:id="rId3"/>
          <a:extLst>
            <a:ext uri="{FF2B5EF4-FFF2-40B4-BE49-F238E27FC236}">
              <a16:creationId xmlns:a16="http://schemas.microsoft.com/office/drawing/2014/main" id="{C3D69DA7-E0E3-484A-82FF-358C0270B596}"/>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525203</xdr:colOff>
      <xdr:row>1</xdr:row>
      <xdr:rowOff>19879</xdr:rowOff>
    </xdr:from>
    <xdr:to>
      <xdr:col>4</xdr:col>
      <xdr:colOff>597801</xdr:colOff>
      <xdr:row>3</xdr:row>
      <xdr:rowOff>10354</xdr:rowOff>
    </xdr:to>
    <xdr:sp macro="" textlink="">
      <xdr:nvSpPr>
        <xdr:cNvPr id="44" name="TextBox 43">
          <a:hlinkClick xmlns:r="http://schemas.openxmlformats.org/officeDocument/2006/relationships" r:id="rId4"/>
          <a:extLst>
            <a:ext uri="{FF2B5EF4-FFF2-40B4-BE49-F238E27FC236}">
              <a16:creationId xmlns:a16="http://schemas.microsoft.com/office/drawing/2014/main" id="{9CF89295-9740-428C-8FEA-F4B6E182A054}"/>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500527</xdr:colOff>
      <xdr:row>1</xdr:row>
      <xdr:rowOff>19879</xdr:rowOff>
    </xdr:from>
    <xdr:to>
      <xdr:col>5</xdr:col>
      <xdr:colOff>567066</xdr:colOff>
      <xdr:row>3</xdr:row>
      <xdr:rowOff>10354</xdr:rowOff>
    </xdr:to>
    <xdr:sp macro="" textlink="">
      <xdr:nvSpPr>
        <xdr:cNvPr id="45" name="TextBox 44">
          <a:hlinkClick xmlns:r="http://schemas.openxmlformats.org/officeDocument/2006/relationships" r:id="rId5"/>
          <a:extLst>
            <a:ext uri="{FF2B5EF4-FFF2-40B4-BE49-F238E27FC236}">
              <a16:creationId xmlns:a16="http://schemas.microsoft.com/office/drawing/2014/main" id="{1F1260B1-4CCC-473E-B417-A928F0774CB5}"/>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5</xdr:col>
      <xdr:colOff>469792</xdr:colOff>
      <xdr:row>1</xdr:row>
      <xdr:rowOff>19879</xdr:rowOff>
    </xdr:from>
    <xdr:to>
      <xdr:col>6</xdr:col>
      <xdr:colOff>542362</xdr:colOff>
      <xdr:row>3</xdr:row>
      <xdr:rowOff>10354</xdr:rowOff>
    </xdr:to>
    <xdr:sp macro="" textlink="">
      <xdr:nvSpPr>
        <xdr:cNvPr id="46" name="TextBox 45">
          <a:hlinkClick xmlns:r="http://schemas.openxmlformats.org/officeDocument/2006/relationships" r:id="rId6"/>
          <a:extLst>
            <a:ext uri="{FF2B5EF4-FFF2-40B4-BE49-F238E27FC236}">
              <a16:creationId xmlns:a16="http://schemas.microsoft.com/office/drawing/2014/main" id="{8B4B9446-EC75-45CC-ABEA-A2A1F59402BF}"/>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445088</xdr:colOff>
      <xdr:row>1</xdr:row>
      <xdr:rowOff>19879</xdr:rowOff>
    </xdr:from>
    <xdr:to>
      <xdr:col>7</xdr:col>
      <xdr:colOff>521739</xdr:colOff>
      <xdr:row>3</xdr:row>
      <xdr:rowOff>10354</xdr:rowOff>
    </xdr:to>
    <xdr:sp macro="" textlink="">
      <xdr:nvSpPr>
        <xdr:cNvPr id="47" name="TextBox 46">
          <a:hlinkClick xmlns:r="http://schemas.openxmlformats.org/officeDocument/2006/relationships" r:id="rId7"/>
          <a:extLst>
            <a:ext uri="{FF2B5EF4-FFF2-40B4-BE49-F238E27FC236}">
              <a16:creationId xmlns:a16="http://schemas.microsoft.com/office/drawing/2014/main" id="{C5BBA926-68D1-4DCE-8015-B6D56C62D2DC}"/>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424465</xdr:colOff>
      <xdr:row>1</xdr:row>
      <xdr:rowOff>19879</xdr:rowOff>
    </xdr:from>
    <xdr:to>
      <xdr:col>9</xdr:col>
      <xdr:colOff>370220</xdr:colOff>
      <xdr:row>3</xdr:row>
      <xdr:rowOff>10354</xdr:rowOff>
    </xdr:to>
    <xdr:sp macro="" textlink="">
      <xdr:nvSpPr>
        <xdr:cNvPr id="48" name="TextBox 47">
          <a:hlinkClick xmlns:r="http://schemas.openxmlformats.org/officeDocument/2006/relationships" r:id="rId8"/>
          <a:extLst>
            <a:ext uri="{FF2B5EF4-FFF2-40B4-BE49-F238E27FC236}">
              <a16:creationId xmlns:a16="http://schemas.microsoft.com/office/drawing/2014/main" id="{93578FD3-03E8-495F-9606-DDBE0A539390}"/>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9</xdr:col>
      <xdr:colOff>274627</xdr:colOff>
      <xdr:row>1</xdr:row>
      <xdr:rowOff>19879</xdr:rowOff>
    </xdr:from>
    <xdr:to>
      <xdr:col>10</xdr:col>
      <xdr:colOff>542552</xdr:colOff>
      <xdr:row>3</xdr:row>
      <xdr:rowOff>10354</xdr:rowOff>
    </xdr:to>
    <xdr:sp macro="" textlink="">
      <xdr:nvSpPr>
        <xdr:cNvPr id="49" name="TextBox 48">
          <a:hlinkClick xmlns:r="http://schemas.openxmlformats.org/officeDocument/2006/relationships" r:id="rId9"/>
          <a:extLst>
            <a:ext uri="{FF2B5EF4-FFF2-40B4-BE49-F238E27FC236}">
              <a16:creationId xmlns:a16="http://schemas.microsoft.com/office/drawing/2014/main" id="{EC81B7FA-3FE9-4C69-95AE-93F678085804}"/>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10</xdr:col>
      <xdr:colOff>446959</xdr:colOff>
      <xdr:row>1</xdr:row>
      <xdr:rowOff>19879</xdr:rowOff>
    </xdr:from>
    <xdr:to>
      <xdr:col>10</xdr:col>
      <xdr:colOff>1403142</xdr:colOff>
      <xdr:row>3</xdr:row>
      <xdr:rowOff>10354</xdr:rowOff>
    </xdr:to>
    <xdr:sp macro="" textlink="">
      <xdr:nvSpPr>
        <xdr:cNvPr id="50" name="TextBox 49">
          <a:hlinkClick xmlns:r="http://schemas.openxmlformats.org/officeDocument/2006/relationships" r:id="rId10"/>
          <a:extLst>
            <a:ext uri="{FF2B5EF4-FFF2-40B4-BE49-F238E27FC236}">
              <a16:creationId xmlns:a16="http://schemas.microsoft.com/office/drawing/2014/main" id="{8A7F32F2-3819-406D-A2BA-90CFF308438F}"/>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WACC</a:t>
          </a:r>
        </a:p>
      </xdr:txBody>
    </xdr:sp>
    <xdr:clientData/>
  </xdr:twoCellAnchor>
  <xdr:twoCellAnchor>
    <xdr:from>
      <xdr:col>10</xdr:col>
      <xdr:colOff>1305868</xdr:colOff>
      <xdr:row>1</xdr:row>
      <xdr:rowOff>19879</xdr:rowOff>
    </xdr:from>
    <xdr:to>
      <xdr:col>10</xdr:col>
      <xdr:colOff>2262404</xdr:colOff>
      <xdr:row>3</xdr:row>
      <xdr:rowOff>10354</xdr:rowOff>
    </xdr:to>
    <xdr:sp macro="" textlink="">
      <xdr:nvSpPr>
        <xdr:cNvPr id="51" name="TextBox 50">
          <a:hlinkClick xmlns:r="http://schemas.openxmlformats.org/officeDocument/2006/relationships" r:id="rId11"/>
          <a:extLst>
            <a:ext uri="{FF2B5EF4-FFF2-40B4-BE49-F238E27FC236}">
              <a16:creationId xmlns:a16="http://schemas.microsoft.com/office/drawing/2014/main" id="{5C3CF463-6629-42C1-B63A-512551BDB6F7}"/>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10</xdr:col>
      <xdr:colOff>2165130</xdr:colOff>
      <xdr:row>1</xdr:row>
      <xdr:rowOff>19879</xdr:rowOff>
    </xdr:from>
    <xdr:to>
      <xdr:col>11</xdr:col>
      <xdr:colOff>20471</xdr:colOff>
      <xdr:row>3</xdr:row>
      <xdr:rowOff>10354</xdr:rowOff>
    </xdr:to>
    <xdr:sp macro="" textlink="">
      <xdr:nvSpPr>
        <xdr:cNvPr id="52" name="TextBox 51">
          <a:hlinkClick xmlns:r="http://schemas.openxmlformats.org/officeDocument/2006/relationships" r:id="rId12"/>
          <a:extLst>
            <a:ext uri="{FF2B5EF4-FFF2-40B4-BE49-F238E27FC236}">
              <a16:creationId xmlns:a16="http://schemas.microsoft.com/office/drawing/2014/main" id="{F3ADCC7E-CAFC-44D2-99C4-271048807E2E}"/>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12</xdr:col>
      <xdr:colOff>91091</xdr:colOff>
      <xdr:row>1</xdr:row>
      <xdr:rowOff>19879</xdr:rowOff>
    </xdr:from>
    <xdr:to>
      <xdr:col>13</xdr:col>
      <xdr:colOff>359432</xdr:colOff>
      <xdr:row>3</xdr:row>
      <xdr:rowOff>10354</xdr:rowOff>
    </xdr:to>
    <xdr:sp macro="" textlink="">
      <xdr:nvSpPr>
        <xdr:cNvPr id="53" name="TextBox 52">
          <a:hlinkClick xmlns:r="http://schemas.openxmlformats.org/officeDocument/2006/relationships" r:id="rId13"/>
          <a:extLst>
            <a:ext uri="{FF2B5EF4-FFF2-40B4-BE49-F238E27FC236}">
              <a16:creationId xmlns:a16="http://schemas.microsoft.com/office/drawing/2014/main" id="{EE156D09-15E3-4C05-9FCD-CF9777ACBD8B}"/>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13</xdr:col>
      <xdr:colOff>262158</xdr:colOff>
      <xdr:row>1</xdr:row>
      <xdr:rowOff>19879</xdr:rowOff>
    </xdr:from>
    <xdr:to>
      <xdr:col>14</xdr:col>
      <xdr:colOff>533511</xdr:colOff>
      <xdr:row>3</xdr:row>
      <xdr:rowOff>10354</xdr:rowOff>
    </xdr:to>
    <xdr:sp macro="" textlink="">
      <xdr:nvSpPr>
        <xdr:cNvPr id="54" name="TextBox 53">
          <a:hlinkClick xmlns:r="http://schemas.openxmlformats.org/officeDocument/2006/relationships" r:id="rId14"/>
          <a:extLst>
            <a:ext uri="{FF2B5EF4-FFF2-40B4-BE49-F238E27FC236}">
              <a16:creationId xmlns:a16="http://schemas.microsoft.com/office/drawing/2014/main" id="{05B53E2C-EC94-4034-B12A-3AF2D06258C4}"/>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14</xdr:col>
      <xdr:colOff>436237</xdr:colOff>
      <xdr:row>1</xdr:row>
      <xdr:rowOff>19879</xdr:rowOff>
    </xdr:from>
    <xdr:to>
      <xdr:col>16</xdr:col>
      <xdr:colOff>20132</xdr:colOff>
      <xdr:row>3</xdr:row>
      <xdr:rowOff>10354</xdr:rowOff>
    </xdr:to>
    <xdr:sp macro="" textlink="">
      <xdr:nvSpPr>
        <xdr:cNvPr id="55" name="TextBox 54">
          <a:hlinkClick xmlns:r="http://schemas.openxmlformats.org/officeDocument/2006/relationships" r:id="rId15"/>
          <a:extLst>
            <a:ext uri="{FF2B5EF4-FFF2-40B4-BE49-F238E27FC236}">
              <a16:creationId xmlns:a16="http://schemas.microsoft.com/office/drawing/2014/main" id="{B5F7A5B4-7EB9-4D2B-B8A4-2A0C91E5077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15</xdr:col>
      <xdr:colOff>608658</xdr:colOff>
      <xdr:row>1</xdr:row>
      <xdr:rowOff>19879</xdr:rowOff>
    </xdr:from>
    <xdr:to>
      <xdr:col>17</xdr:col>
      <xdr:colOff>196250</xdr:colOff>
      <xdr:row>3</xdr:row>
      <xdr:rowOff>10354</xdr:rowOff>
    </xdr:to>
    <xdr:sp macro="" textlink="">
      <xdr:nvSpPr>
        <xdr:cNvPr id="56" name="TextBox 55">
          <a:hlinkClick xmlns:r="http://schemas.openxmlformats.org/officeDocument/2006/relationships" r:id="rId16"/>
          <a:extLst>
            <a:ext uri="{FF2B5EF4-FFF2-40B4-BE49-F238E27FC236}">
              <a16:creationId xmlns:a16="http://schemas.microsoft.com/office/drawing/2014/main" id="{F5B84C41-ECA4-4193-A607-422E46BAD03E}"/>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17</xdr:col>
      <xdr:colOff>98987</xdr:colOff>
      <xdr:row>1</xdr:row>
      <xdr:rowOff>19879</xdr:rowOff>
    </xdr:from>
    <xdr:to>
      <xdr:col>18</xdr:col>
      <xdr:colOff>369952</xdr:colOff>
      <xdr:row>3</xdr:row>
      <xdr:rowOff>10354</xdr:rowOff>
    </xdr:to>
    <xdr:sp macro="" textlink="">
      <xdr:nvSpPr>
        <xdr:cNvPr id="57" name="TextBox 56">
          <a:hlinkClick xmlns:r="http://schemas.openxmlformats.org/officeDocument/2006/relationships" r:id="rId17"/>
          <a:extLst>
            <a:ext uri="{FF2B5EF4-FFF2-40B4-BE49-F238E27FC236}">
              <a16:creationId xmlns:a16="http://schemas.microsoft.com/office/drawing/2014/main" id="{CE8724CF-B33A-41D4-B885-FCF9908EE7D3}"/>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518429</xdr:colOff>
      <xdr:row>1</xdr:row>
      <xdr:rowOff>103586</xdr:rowOff>
    </xdr:from>
    <xdr:to>
      <xdr:col>5</xdr:col>
      <xdr:colOff>518429</xdr:colOff>
      <xdr:row>2</xdr:row>
      <xdr:rowOff>117146</xdr:rowOff>
    </xdr:to>
    <xdr:cxnSp macro="">
      <xdr:nvCxnSpPr>
        <xdr:cNvPr id="58" name="Straight Connector 57">
          <a:extLst>
            <a:ext uri="{FF2B5EF4-FFF2-40B4-BE49-F238E27FC236}">
              <a16:creationId xmlns:a16="http://schemas.microsoft.com/office/drawing/2014/main" id="{70788389-2F9B-41AC-ABBC-942394A78F2C}"/>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549164</xdr:colOff>
      <xdr:row>1</xdr:row>
      <xdr:rowOff>103586</xdr:rowOff>
    </xdr:from>
    <xdr:to>
      <xdr:col>4</xdr:col>
      <xdr:colOff>549164</xdr:colOff>
      <xdr:row>2</xdr:row>
      <xdr:rowOff>117146</xdr:rowOff>
    </xdr:to>
    <xdr:cxnSp macro="">
      <xdr:nvCxnSpPr>
        <xdr:cNvPr id="59" name="Straight Connector 58">
          <a:extLst>
            <a:ext uri="{FF2B5EF4-FFF2-40B4-BE49-F238E27FC236}">
              <a16:creationId xmlns:a16="http://schemas.microsoft.com/office/drawing/2014/main" id="{0292A77A-E4E5-403F-BFD8-0CCDE604672A}"/>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573840</xdr:colOff>
      <xdr:row>1</xdr:row>
      <xdr:rowOff>103586</xdr:rowOff>
    </xdr:from>
    <xdr:to>
      <xdr:col>3</xdr:col>
      <xdr:colOff>573840</xdr:colOff>
      <xdr:row>2</xdr:row>
      <xdr:rowOff>117146</xdr:rowOff>
    </xdr:to>
    <xdr:cxnSp macro="">
      <xdr:nvCxnSpPr>
        <xdr:cNvPr id="60" name="Straight Connector 59">
          <a:extLst>
            <a:ext uri="{FF2B5EF4-FFF2-40B4-BE49-F238E27FC236}">
              <a16:creationId xmlns:a16="http://schemas.microsoft.com/office/drawing/2014/main" id="{E2533C51-C93D-46AF-885B-6D84DCD84D51}"/>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493725</xdr:colOff>
      <xdr:row>1</xdr:row>
      <xdr:rowOff>103586</xdr:rowOff>
    </xdr:from>
    <xdr:to>
      <xdr:col>6</xdr:col>
      <xdr:colOff>493725</xdr:colOff>
      <xdr:row>2</xdr:row>
      <xdr:rowOff>117146</xdr:rowOff>
    </xdr:to>
    <xdr:cxnSp macro="">
      <xdr:nvCxnSpPr>
        <xdr:cNvPr id="61" name="Straight Connector 60">
          <a:extLst>
            <a:ext uri="{FF2B5EF4-FFF2-40B4-BE49-F238E27FC236}">
              <a16:creationId xmlns:a16="http://schemas.microsoft.com/office/drawing/2014/main" id="{623019A7-0BED-4EF8-B1E8-0EF6F32A16D6}"/>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473102</xdr:colOff>
      <xdr:row>1</xdr:row>
      <xdr:rowOff>103586</xdr:rowOff>
    </xdr:from>
    <xdr:to>
      <xdr:col>7</xdr:col>
      <xdr:colOff>473102</xdr:colOff>
      <xdr:row>2</xdr:row>
      <xdr:rowOff>117146</xdr:rowOff>
    </xdr:to>
    <xdr:cxnSp macro="">
      <xdr:nvCxnSpPr>
        <xdr:cNvPr id="62" name="Straight Connector 61">
          <a:extLst>
            <a:ext uri="{FF2B5EF4-FFF2-40B4-BE49-F238E27FC236}">
              <a16:creationId xmlns:a16="http://schemas.microsoft.com/office/drawing/2014/main" id="{4E3B571D-C1A2-4F87-9CEA-6654DA12319F}"/>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321583</xdr:colOff>
      <xdr:row>1</xdr:row>
      <xdr:rowOff>103586</xdr:rowOff>
    </xdr:from>
    <xdr:to>
      <xdr:col>9</xdr:col>
      <xdr:colOff>321583</xdr:colOff>
      <xdr:row>2</xdr:row>
      <xdr:rowOff>117146</xdr:rowOff>
    </xdr:to>
    <xdr:cxnSp macro="">
      <xdr:nvCxnSpPr>
        <xdr:cNvPr id="63" name="Straight Connector 62">
          <a:extLst>
            <a:ext uri="{FF2B5EF4-FFF2-40B4-BE49-F238E27FC236}">
              <a16:creationId xmlns:a16="http://schemas.microsoft.com/office/drawing/2014/main" id="{2131708B-EAAB-44BE-AD67-E0B13EC25C15}"/>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495596</xdr:colOff>
      <xdr:row>1</xdr:row>
      <xdr:rowOff>103586</xdr:rowOff>
    </xdr:from>
    <xdr:to>
      <xdr:col>10</xdr:col>
      <xdr:colOff>495596</xdr:colOff>
      <xdr:row>2</xdr:row>
      <xdr:rowOff>117146</xdr:rowOff>
    </xdr:to>
    <xdr:cxnSp macro="">
      <xdr:nvCxnSpPr>
        <xdr:cNvPr id="64" name="Straight Connector 63">
          <a:extLst>
            <a:ext uri="{FF2B5EF4-FFF2-40B4-BE49-F238E27FC236}">
              <a16:creationId xmlns:a16="http://schemas.microsoft.com/office/drawing/2014/main" id="{B776D1A1-A8D7-487F-B7AE-53E662DCE894}"/>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1354505</xdr:colOff>
      <xdr:row>1</xdr:row>
      <xdr:rowOff>103586</xdr:rowOff>
    </xdr:from>
    <xdr:to>
      <xdr:col>10</xdr:col>
      <xdr:colOff>1354505</xdr:colOff>
      <xdr:row>2</xdr:row>
      <xdr:rowOff>117146</xdr:rowOff>
    </xdr:to>
    <xdr:cxnSp macro="">
      <xdr:nvCxnSpPr>
        <xdr:cNvPr id="65" name="Straight Connector 64">
          <a:extLst>
            <a:ext uri="{FF2B5EF4-FFF2-40B4-BE49-F238E27FC236}">
              <a16:creationId xmlns:a16="http://schemas.microsoft.com/office/drawing/2014/main" id="{2940BC73-6A61-4942-93DC-29D366F71C71}"/>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2213767</xdr:colOff>
      <xdr:row>1</xdr:row>
      <xdr:rowOff>103586</xdr:rowOff>
    </xdr:from>
    <xdr:to>
      <xdr:col>10</xdr:col>
      <xdr:colOff>2213767</xdr:colOff>
      <xdr:row>2</xdr:row>
      <xdr:rowOff>117146</xdr:rowOff>
    </xdr:to>
    <xdr:cxnSp macro="">
      <xdr:nvCxnSpPr>
        <xdr:cNvPr id="66" name="Straight Connector 65">
          <a:extLst>
            <a:ext uri="{FF2B5EF4-FFF2-40B4-BE49-F238E27FC236}">
              <a16:creationId xmlns:a16="http://schemas.microsoft.com/office/drawing/2014/main" id="{24C8217E-036D-4CB1-A656-73F97DA1E99F}"/>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139728</xdr:colOff>
      <xdr:row>1</xdr:row>
      <xdr:rowOff>103586</xdr:rowOff>
    </xdr:from>
    <xdr:to>
      <xdr:col>12</xdr:col>
      <xdr:colOff>139728</xdr:colOff>
      <xdr:row>2</xdr:row>
      <xdr:rowOff>117146</xdr:rowOff>
    </xdr:to>
    <xdr:cxnSp macro="">
      <xdr:nvCxnSpPr>
        <xdr:cNvPr id="67" name="Straight Connector 66">
          <a:extLst>
            <a:ext uri="{FF2B5EF4-FFF2-40B4-BE49-F238E27FC236}">
              <a16:creationId xmlns:a16="http://schemas.microsoft.com/office/drawing/2014/main" id="{553BB99E-C0AD-435C-8522-3925435065F0}"/>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310795</xdr:colOff>
      <xdr:row>1</xdr:row>
      <xdr:rowOff>103586</xdr:rowOff>
    </xdr:from>
    <xdr:to>
      <xdr:col>13</xdr:col>
      <xdr:colOff>310795</xdr:colOff>
      <xdr:row>2</xdr:row>
      <xdr:rowOff>117146</xdr:rowOff>
    </xdr:to>
    <xdr:cxnSp macro="">
      <xdr:nvCxnSpPr>
        <xdr:cNvPr id="68" name="Straight Connector 67">
          <a:extLst>
            <a:ext uri="{FF2B5EF4-FFF2-40B4-BE49-F238E27FC236}">
              <a16:creationId xmlns:a16="http://schemas.microsoft.com/office/drawing/2014/main" id="{7A220470-A67B-4791-8230-6004AB5E9E2E}"/>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484874</xdr:colOff>
      <xdr:row>1</xdr:row>
      <xdr:rowOff>103586</xdr:rowOff>
    </xdr:from>
    <xdr:to>
      <xdr:col>14</xdr:col>
      <xdr:colOff>484874</xdr:colOff>
      <xdr:row>2</xdr:row>
      <xdr:rowOff>117146</xdr:rowOff>
    </xdr:to>
    <xdr:cxnSp macro="">
      <xdr:nvCxnSpPr>
        <xdr:cNvPr id="69" name="Straight Connector 68">
          <a:extLst>
            <a:ext uri="{FF2B5EF4-FFF2-40B4-BE49-F238E27FC236}">
              <a16:creationId xmlns:a16="http://schemas.microsoft.com/office/drawing/2014/main" id="{FA4213C4-8E99-4738-803C-F208AAFFA0EB}"/>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657295</xdr:colOff>
      <xdr:row>1</xdr:row>
      <xdr:rowOff>103586</xdr:rowOff>
    </xdr:from>
    <xdr:to>
      <xdr:col>15</xdr:col>
      <xdr:colOff>657295</xdr:colOff>
      <xdr:row>2</xdr:row>
      <xdr:rowOff>117146</xdr:rowOff>
    </xdr:to>
    <xdr:cxnSp macro="">
      <xdr:nvCxnSpPr>
        <xdr:cNvPr id="70" name="Straight Connector 69">
          <a:extLst>
            <a:ext uri="{FF2B5EF4-FFF2-40B4-BE49-F238E27FC236}">
              <a16:creationId xmlns:a16="http://schemas.microsoft.com/office/drawing/2014/main" id="{76DF83C4-023B-4038-82D7-8672E11253E0}"/>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147613</xdr:colOff>
      <xdr:row>1</xdr:row>
      <xdr:rowOff>103586</xdr:rowOff>
    </xdr:from>
    <xdr:to>
      <xdr:col>17</xdr:col>
      <xdr:colOff>147613</xdr:colOff>
      <xdr:row>2</xdr:row>
      <xdr:rowOff>117146</xdr:rowOff>
    </xdr:to>
    <xdr:cxnSp macro="">
      <xdr:nvCxnSpPr>
        <xdr:cNvPr id="71" name="Straight Connector 70">
          <a:extLst>
            <a:ext uri="{FF2B5EF4-FFF2-40B4-BE49-F238E27FC236}">
              <a16:creationId xmlns:a16="http://schemas.microsoft.com/office/drawing/2014/main" id="{8C0C10C9-71A1-4868-95C4-D45FB038659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3067459</xdr:colOff>
      <xdr:row>1</xdr:row>
      <xdr:rowOff>103586</xdr:rowOff>
    </xdr:from>
    <xdr:to>
      <xdr:col>10</xdr:col>
      <xdr:colOff>3067459</xdr:colOff>
      <xdr:row>2</xdr:row>
      <xdr:rowOff>117146</xdr:rowOff>
    </xdr:to>
    <xdr:cxnSp macro="">
      <xdr:nvCxnSpPr>
        <xdr:cNvPr id="72" name="Straight Connector 71">
          <a:extLst>
            <a:ext uri="{FF2B5EF4-FFF2-40B4-BE49-F238E27FC236}">
              <a16:creationId xmlns:a16="http://schemas.microsoft.com/office/drawing/2014/main" id="{B6AECF9B-AAEC-4ACD-97AE-407A6A8EA1C3}"/>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56029</xdr:colOff>
      <xdr:row>23</xdr:row>
      <xdr:rowOff>179294</xdr:rowOff>
    </xdr:from>
    <xdr:to>
      <xdr:col>18</xdr:col>
      <xdr:colOff>56030</xdr:colOff>
      <xdr:row>39</xdr:row>
      <xdr:rowOff>85725</xdr:rowOff>
    </xdr:to>
    <xdr:graphicFrame macro="">
      <xdr:nvGraphicFramePr>
        <xdr:cNvPr id="2" name="Chart 1">
          <a:extLst>
            <a:ext uri="{FF2B5EF4-FFF2-40B4-BE49-F238E27FC236}">
              <a16:creationId xmlns:a16="http://schemas.microsoft.com/office/drawing/2014/main" id="{1F79E03C-B24C-4ABE-2F56-C2BB85122051}"/>
            </a:ext>
            <a:ext uri="{147F2762-F138-4A5C-976F-8EAC2B608ADB}">
              <a16:predDERef xmlns:a16="http://schemas.microsoft.com/office/drawing/2014/main" pred="{B6AECF9B-AAEC-4ACD-97AE-407A6A8EA1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92</xdr:col>
      <xdr:colOff>442204</xdr:colOff>
      <xdr:row>4</xdr:row>
      <xdr:rowOff>38100</xdr:rowOff>
    </xdr:to>
    <xdr:sp macro="" textlink="">
      <xdr:nvSpPr>
        <xdr:cNvPr id="2" name="Rectangle 1">
          <a:extLst>
            <a:ext uri="{FF2B5EF4-FFF2-40B4-BE49-F238E27FC236}">
              <a16:creationId xmlns:a16="http://schemas.microsoft.com/office/drawing/2014/main" id="{75676E85-DA0C-4D17-AC80-EC2F4BA9D8E6}"/>
            </a:ext>
          </a:extLst>
        </xdr:cNvPr>
        <xdr:cNvSpPr/>
      </xdr:nvSpPr>
      <xdr:spPr>
        <a:xfrm>
          <a:off x="0" y="0"/>
          <a:ext cx="46495579"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62</xdr:col>
      <xdr:colOff>470779</xdr:colOff>
      <xdr:row>4</xdr:row>
      <xdr:rowOff>0</xdr:rowOff>
    </xdr:to>
    <xdr:sp macro="" textlink="">
      <xdr:nvSpPr>
        <xdr:cNvPr id="2" name="Rectangle 1">
          <a:extLst>
            <a:ext uri="{FF2B5EF4-FFF2-40B4-BE49-F238E27FC236}">
              <a16:creationId xmlns:a16="http://schemas.microsoft.com/office/drawing/2014/main" id="{B3B9FA1E-7A0F-4FB0-B33A-9E7A970CD024}"/>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428582</xdr:colOff>
      <xdr:row>1</xdr:row>
      <xdr:rowOff>19879</xdr:rowOff>
    </xdr:from>
    <xdr:to>
      <xdr:col>16</xdr:col>
      <xdr:colOff>651168</xdr:colOff>
      <xdr:row>3</xdr:row>
      <xdr:rowOff>10354</xdr:rowOff>
    </xdr:to>
    <xdr:sp macro="" textlink="">
      <xdr:nvSpPr>
        <xdr:cNvPr id="3" name="TextBox 2">
          <a:hlinkClick xmlns:r="http://schemas.openxmlformats.org/officeDocument/2006/relationships" r:id="rId1"/>
          <a:extLst>
            <a:ext uri="{FF2B5EF4-FFF2-40B4-BE49-F238E27FC236}">
              <a16:creationId xmlns:a16="http://schemas.microsoft.com/office/drawing/2014/main" id="{D4E69937-910C-4302-BEB8-CEF948F91207}"/>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 name="Picture 5">
          <a:extLst>
            <a:ext uri="{FF2B5EF4-FFF2-40B4-BE49-F238E27FC236}">
              <a16:creationId xmlns:a16="http://schemas.microsoft.com/office/drawing/2014/main" id="{C1862BE1-3669-411F-A0AC-F1108E24E155}"/>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1291639</xdr:colOff>
      <xdr:row>1</xdr:row>
      <xdr:rowOff>28201</xdr:rowOff>
    </xdr:from>
    <xdr:to>
      <xdr:col>1</xdr:col>
      <xdr:colOff>1291639</xdr:colOff>
      <xdr:row>2</xdr:row>
      <xdr:rowOff>138545</xdr:rowOff>
    </xdr:to>
    <xdr:cxnSp macro="">
      <xdr:nvCxnSpPr>
        <xdr:cNvPr id="39" name="Straight Connector 38">
          <a:extLst>
            <a:ext uri="{FF2B5EF4-FFF2-40B4-BE49-F238E27FC236}">
              <a16:creationId xmlns:a16="http://schemas.microsoft.com/office/drawing/2014/main" id="{D477F025-1034-4CEF-B273-515770732ECD}"/>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3795637</xdr:colOff>
      <xdr:row>1</xdr:row>
      <xdr:rowOff>19879</xdr:rowOff>
    </xdr:from>
    <xdr:to>
      <xdr:col>3</xdr:col>
      <xdr:colOff>637605</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A1578049-AF96-4B91-9ACF-7477C958BF5B}"/>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540331</xdr:colOff>
      <xdr:row>1</xdr:row>
      <xdr:rowOff>19879</xdr:rowOff>
    </xdr:from>
    <xdr:to>
      <xdr:col>5</xdr:col>
      <xdr:colOff>41989</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25F5091B-EB5B-4119-B135-3AE13104B639}"/>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673098</xdr:colOff>
      <xdr:row>1</xdr:row>
      <xdr:rowOff>19879</xdr:rowOff>
    </xdr:from>
    <xdr:to>
      <xdr:col>6</xdr:col>
      <xdr:colOff>168697</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8C8782CC-0866-457A-A2B7-80BD409628FD}"/>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71423</xdr:colOff>
      <xdr:row>1</xdr:row>
      <xdr:rowOff>19879</xdr:rowOff>
    </xdr:from>
    <xdr:to>
      <xdr:col>7</xdr:col>
      <xdr:colOff>301436</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8298BAD8-CEA1-4156-BA29-423AE8908604}"/>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204162</xdr:colOff>
      <xdr:row>1</xdr:row>
      <xdr:rowOff>19879</xdr:rowOff>
    </xdr:from>
    <xdr:to>
      <xdr:col>9</xdr:col>
      <xdr:colOff>158108</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69FB6F3E-0333-4496-96D5-302CAA60B56B}"/>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60834</xdr:colOff>
      <xdr:row>1</xdr:row>
      <xdr:rowOff>19879</xdr:rowOff>
    </xdr:from>
    <xdr:to>
      <xdr:col>10</xdr:col>
      <xdr:colOff>287857</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76646059-336F-42B8-B530-6EF52A18CF76}"/>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192264</xdr:colOff>
      <xdr:row>1</xdr:row>
      <xdr:rowOff>19879</xdr:rowOff>
    </xdr:from>
    <xdr:to>
      <xdr:col>11</xdr:col>
      <xdr:colOff>417606</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55096E33-C572-4ACE-A2E5-0A3C53CDE24A}"/>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322013</xdr:colOff>
      <xdr:row>1</xdr:row>
      <xdr:rowOff>19879</xdr:rowOff>
    </xdr:from>
    <xdr:to>
      <xdr:col>12</xdr:col>
      <xdr:colOff>549814</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98602735-EA77-489C-8BA5-032263016731}"/>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452540</xdr:colOff>
      <xdr:row>1</xdr:row>
      <xdr:rowOff>19879</xdr:rowOff>
    </xdr:from>
    <xdr:to>
      <xdr:col>13</xdr:col>
      <xdr:colOff>680694</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0E23078C-A8CE-48DC-8F63-432ADDAA5E87}"/>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FCFF</a:t>
          </a:r>
        </a:p>
      </xdr:txBody>
    </xdr:sp>
    <xdr:clientData/>
  </xdr:twoCellAnchor>
  <xdr:twoCellAnchor>
    <xdr:from>
      <xdr:col>13</xdr:col>
      <xdr:colOff>583420</xdr:colOff>
      <xdr:row>1</xdr:row>
      <xdr:rowOff>19879</xdr:rowOff>
    </xdr:from>
    <xdr:to>
      <xdr:col>15</xdr:col>
      <xdr:colOff>525856</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F474D1CA-BAF5-45DD-8156-7DDCFC1FF9A2}"/>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553894</xdr:colOff>
      <xdr:row>1</xdr:row>
      <xdr:rowOff>19879</xdr:rowOff>
    </xdr:from>
    <xdr:to>
      <xdr:col>18</xdr:col>
      <xdr:colOff>51270</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2F94DB21-9E66-4BA2-984B-7801327CA289}"/>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682379</xdr:colOff>
      <xdr:row>1</xdr:row>
      <xdr:rowOff>19879</xdr:rowOff>
    </xdr:from>
    <xdr:to>
      <xdr:col>19</xdr:col>
      <xdr:colOff>182767</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8281EE22-D5FF-483D-AD74-EBCE7E68196A}"/>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19</xdr:col>
      <xdr:colOff>85493</xdr:colOff>
      <xdr:row>1</xdr:row>
      <xdr:rowOff>19879</xdr:rowOff>
    </xdr:from>
    <xdr:to>
      <xdr:col>21</xdr:col>
      <xdr:colOff>32458</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F038F6B9-B843-42C1-86DE-826B4B2FE29B}"/>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20</xdr:col>
      <xdr:colOff>58449</xdr:colOff>
      <xdr:row>1</xdr:row>
      <xdr:rowOff>19879</xdr:rowOff>
    </xdr:from>
    <xdr:to>
      <xdr:col>22</xdr:col>
      <xdr:colOff>165994</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FC0B690C-372F-4868-BB46-EAA02B408EEF}"/>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22</xdr:col>
      <xdr:colOff>68731</xdr:colOff>
      <xdr:row>1</xdr:row>
      <xdr:rowOff>19879</xdr:rowOff>
    </xdr:from>
    <xdr:to>
      <xdr:col>23</xdr:col>
      <xdr:colOff>297114</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B0520DEF-B969-4C0A-B8C3-4C3FB77B9882}"/>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120060</xdr:colOff>
      <xdr:row>1</xdr:row>
      <xdr:rowOff>103586</xdr:rowOff>
    </xdr:from>
    <xdr:to>
      <xdr:col>6</xdr:col>
      <xdr:colOff>120060</xdr:colOff>
      <xdr:row>2</xdr:row>
      <xdr:rowOff>117146</xdr:rowOff>
    </xdr:to>
    <xdr:cxnSp macro="">
      <xdr:nvCxnSpPr>
        <xdr:cNvPr id="55" name="Straight Connector 54">
          <a:extLst>
            <a:ext uri="{FF2B5EF4-FFF2-40B4-BE49-F238E27FC236}">
              <a16:creationId xmlns:a16="http://schemas.microsoft.com/office/drawing/2014/main" id="{69781C5A-BAD1-48F1-BA66-B14AD3604AB2}"/>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721735</xdr:colOff>
      <xdr:row>1</xdr:row>
      <xdr:rowOff>103586</xdr:rowOff>
    </xdr:from>
    <xdr:to>
      <xdr:col>4</xdr:col>
      <xdr:colOff>721735</xdr:colOff>
      <xdr:row>2</xdr:row>
      <xdr:rowOff>117146</xdr:rowOff>
    </xdr:to>
    <xdr:cxnSp macro="">
      <xdr:nvCxnSpPr>
        <xdr:cNvPr id="56" name="Straight Connector 55">
          <a:extLst>
            <a:ext uri="{FF2B5EF4-FFF2-40B4-BE49-F238E27FC236}">
              <a16:creationId xmlns:a16="http://schemas.microsoft.com/office/drawing/2014/main" id="{B16416D2-1DA8-46BE-87A0-8A975955807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588968</xdr:colOff>
      <xdr:row>1</xdr:row>
      <xdr:rowOff>103586</xdr:rowOff>
    </xdr:from>
    <xdr:to>
      <xdr:col>3</xdr:col>
      <xdr:colOff>588968</xdr:colOff>
      <xdr:row>2</xdr:row>
      <xdr:rowOff>117146</xdr:rowOff>
    </xdr:to>
    <xdr:cxnSp macro="">
      <xdr:nvCxnSpPr>
        <xdr:cNvPr id="57" name="Straight Connector 56">
          <a:extLst>
            <a:ext uri="{FF2B5EF4-FFF2-40B4-BE49-F238E27FC236}">
              <a16:creationId xmlns:a16="http://schemas.microsoft.com/office/drawing/2014/main" id="{ECC1ADD5-8578-44DF-A023-BF7C11E120A5}"/>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252799</xdr:colOff>
      <xdr:row>1</xdr:row>
      <xdr:rowOff>103586</xdr:rowOff>
    </xdr:from>
    <xdr:to>
      <xdr:col>7</xdr:col>
      <xdr:colOff>252799</xdr:colOff>
      <xdr:row>2</xdr:row>
      <xdr:rowOff>117146</xdr:rowOff>
    </xdr:to>
    <xdr:cxnSp macro="">
      <xdr:nvCxnSpPr>
        <xdr:cNvPr id="58" name="Straight Connector 57">
          <a:extLst>
            <a:ext uri="{FF2B5EF4-FFF2-40B4-BE49-F238E27FC236}">
              <a16:creationId xmlns:a16="http://schemas.microsoft.com/office/drawing/2014/main" id="{9697DC2A-7554-4629-988F-C79DBC51974D}"/>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109471</xdr:colOff>
      <xdr:row>1</xdr:row>
      <xdr:rowOff>103586</xdr:rowOff>
    </xdr:from>
    <xdr:to>
      <xdr:col>9</xdr:col>
      <xdr:colOff>109471</xdr:colOff>
      <xdr:row>2</xdr:row>
      <xdr:rowOff>117146</xdr:rowOff>
    </xdr:to>
    <xdr:cxnSp macro="">
      <xdr:nvCxnSpPr>
        <xdr:cNvPr id="59" name="Straight Connector 58">
          <a:extLst>
            <a:ext uri="{FF2B5EF4-FFF2-40B4-BE49-F238E27FC236}">
              <a16:creationId xmlns:a16="http://schemas.microsoft.com/office/drawing/2014/main" id="{8F61A2CD-C389-4716-BF30-992BC58B8614}"/>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239220</xdr:colOff>
      <xdr:row>1</xdr:row>
      <xdr:rowOff>103586</xdr:rowOff>
    </xdr:from>
    <xdr:to>
      <xdr:col>10</xdr:col>
      <xdr:colOff>239220</xdr:colOff>
      <xdr:row>2</xdr:row>
      <xdr:rowOff>117146</xdr:rowOff>
    </xdr:to>
    <xdr:cxnSp macro="">
      <xdr:nvCxnSpPr>
        <xdr:cNvPr id="60" name="Straight Connector 59">
          <a:extLst>
            <a:ext uri="{FF2B5EF4-FFF2-40B4-BE49-F238E27FC236}">
              <a16:creationId xmlns:a16="http://schemas.microsoft.com/office/drawing/2014/main" id="{F2AE59AD-9C88-48C3-9F21-34203C261A0C}"/>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370650</xdr:colOff>
      <xdr:row>1</xdr:row>
      <xdr:rowOff>103586</xdr:rowOff>
    </xdr:from>
    <xdr:to>
      <xdr:col>11</xdr:col>
      <xdr:colOff>370650</xdr:colOff>
      <xdr:row>2</xdr:row>
      <xdr:rowOff>117146</xdr:rowOff>
    </xdr:to>
    <xdr:cxnSp macro="">
      <xdr:nvCxnSpPr>
        <xdr:cNvPr id="61" name="Straight Connector 60">
          <a:extLst>
            <a:ext uri="{FF2B5EF4-FFF2-40B4-BE49-F238E27FC236}">
              <a16:creationId xmlns:a16="http://schemas.microsoft.com/office/drawing/2014/main" id="{FBEC924C-CA76-4570-9C2B-89613DCAC52C}"/>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501177</xdr:colOff>
      <xdr:row>1</xdr:row>
      <xdr:rowOff>103586</xdr:rowOff>
    </xdr:from>
    <xdr:to>
      <xdr:col>12</xdr:col>
      <xdr:colOff>501177</xdr:colOff>
      <xdr:row>2</xdr:row>
      <xdr:rowOff>117146</xdr:rowOff>
    </xdr:to>
    <xdr:cxnSp macro="">
      <xdr:nvCxnSpPr>
        <xdr:cNvPr id="62" name="Straight Connector 61">
          <a:extLst>
            <a:ext uri="{FF2B5EF4-FFF2-40B4-BE49-F238E27FC236}">
              <a16:creationId xmlns:a16="http://schemas.microsoft.com/office/drawing/2014/main" id="{1CB19589-E990-4AE4-B709-81A67ED797AB}"/>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632057</xdr:colOff>
      <xdr:row>1</xdr:row>
      <xdr:rowOff>103586</xdr:rowOff>
    </xdr:from>
    <xdr:to>
      <xdr:col>13</xdr:col>
      <xdr:colOff>632057</xdr:colOff>
      <xdr:row>2</xdr:row>
      <xdr:rowOff>117146</xdr:rowOff>
    </xdr:to>
    <xdr:cxnSp macro="">
      <xdr:nvCxnSpPr>
        <xdr:cNvPr id="63" name="Straight Connector 62">
          <a:extLst>
            <a:ext uri="{FF2B5EF4-FFF2-40B4-BE49-F238E27FC236}">
              <a16:creationId xmlns:a16="http://schemas.microsoft.com/office/drawing/2014/main" id="{E1607C58-CD82-4D1C-BDE9-C0CDB80FAA31}"/>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602531</xdr:colOff>
      <xdr:row>1</xdr:row>
      <xdr:rowOff>103586</xdr:rowOff>
    </xdr:from>
    <xdr:to>
      <xdr:col>16</xdr:col>
      <xdr:colOff>602531</xdr:colOff>
      <xdr:row>2</xdr:row>
      <xdr:rowOff>117146</xdr:rowOff>
    </xdr:to>
    <xdr:cxnSp macro="">
      <xdr:nvCxnSpPr>
        <xdr:cNvPr id="64" name="Straight Connector 63">
          <a:extLst>
            <a:ext uri="{FF2B5EF4-FFF2-40B4-BE49-F238E27FC236}">
              <a16:creationId xmlns:a16="http://schemas.microsoft.com/office/drawing/2014/main" id="{6A939570-A9B5-4E17-87FE-2FDBF4570669}"/>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2633</xdr:colOff>
      <xdr:row>1</xdr:row>
      <xdr:rowOff>103586</xdr:rowOff>
    </xdr:from>
    <xdr:to>
      <xdr:col>18</xdr:col>
      <xdr:colOff>2633</xdr:colOff>
      <xdr:row>2</xdr:row>
      <xdr:rowOff>117146</xdr:rowOff>
    </xdr:to>
    <xdr:cxnSp macro="">
      <xdr:nvCxnSpPr>
        <xdr:cNvPr id="65" name="Straight Connector 64">
          <a:extLst>
            <a:ext uri="{FF2B5EF4-FFF2-40B4-BE49-F238E27FC236}">
              <a16:creationId xmlns:a16="http://schemas.microsoft.com/office/drawing/2014/main" id="{2B28781C-862B-465D-B963-7D8299CB9911}"/>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134130</xdr:colOff>
      <xdr:row>1</xdr:row>
      <xdr:rowOff>103586</xdr:rowOff>
    </xdr:from>
    <xdr:to>
      <xdr:col>19</xdr:col>
      <xdr:colOff>134130</xdr:colOff>
      <xdr:row>2</xdr:row>
      <xdr:rowOff>117146</xdr:rowOff>
    </xdr:to>
    <xdr:cxnSp macro="">
      <xdr:nvCxnSpPr>
        <xdr:cNvPr id="66" name="Straight Connector 65">
          <a:extLst>
            <a:ext uri="{FF2B5EF4-FFF2-40B4-BE49-F238E27FC236}">
              <a16:creationId xmlns:a16="http://schemas.microsoft.com/office/drawing/2014/main" id="{9D40F05A-8B34-4056-BC97-A9B7E0B999AF}"/>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107086</xdr:colOff>
      <xdr:row>1</xdr:row>
      <xdr:rowOff>103586</xdr:rowOff>
    </xdr:from>
    <xdr:to>
      <xdr:col>20</xdr:col>
      <xdr:colOff>107086</xdr:colOff>
      <xdr:row>2</xdr:row>
      <xdr:rowOff>117146</xdr:rowOff>
    </xdr:to>
    <xdr:cxnSp macro="">
      <xdr:nvCxnSpPr>
        <xdr:cNvPr id="67" name="Straight Connector 66">
          <a:extLst>
            <a:ext uri="{FF2B5EF4-FFF2-40B4-BE49-F238E27FC236}">
              <a16:creationId xmlns:a16="http://schemas.microsoft.com/office/drawing/2014/main" id="{EF66F637-4E2F-4E60-99E5-A1687F7B53A1}"/>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117357</xdr:colOff>
      <xdr:row>1</xdr:row>
      <xdr:rowOff>103586</xdr:rowOff>
    </xdr:from>
    <xdr:to>
      <xdr:col>22</xdr:col>
      <xdr:colOff>117357</xdr:colOff>
      <xdr:row>2</xdr:row>
      <xdr:rowOff>117146</xdr:rowOff>
    </xdr:to>
    <xdr:cxnSp macro="">
      <xdr:nvCxnSpPr>
        <xdr:cNvPr id="68" name="Straight Connector 67">
          <a:extLst>
            <a:ext uri="{FF2B5EF4-FFF2-40B4-BE49-F238E27FC236}">
              <a16:creationId xmlns:a16="http://schemas.microsoft.com/office/drawing/2014/main" id="{920429B8-DEE7-4589-9003-2936C88A179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477219</xdr:colOff>
      <xdr:row>1</xdr:row>
      <xdr:rowOff>103586</xdr:rowOff>
    </xdr:from>
    <xdr:to>
      <xdr:col>15</xdr:col>
      <xdr:colOff>477219</xdr:colOff>
      <xdr:row>2</xdr:row>
      <xdr:rowOff>117146</xdr:rowOff>
    </xdr:to>
    <xdr:cxnSp macro="">
      <xdr:nvCxnSpPr>
        <xdr:cNvPr id="69" name="Straight Connector 68">
          <a:extLst>
            <a:ext uri="{FF2B5EF4-FFF2-40B4-BE49-F238E27FC236}">
              <a16:creationId xmlns:a16="http://schemas.microsoft.com/office/drawing/2014/main" id="{44B536AC-DD8B-48F2-B3F9-C3F8C064A509}"/>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85725</xdr:colOff>
      <xdr:row>198</xdr:row>
      <xdr:rowOff>28575</xdr:rowOff>
    </xdr:from>
    <xdr:to>
      <xdr:col>4</xdr:col>
      <xdr:colOff>629382</xdr:colOff>
      <xdr:row>211</xdr:row>
      <xdr:rowOff>17146</xdr:rowOff>
    </xdr:to>
    <xdr:pic>
      <xdr:nvPicPr>
        <xdr:cNvPr id="8" name="Picture 3">
          <a:extLst>
            <a:ext uri="{FF2B5EF4-FFF2-40B4-BE49-F238E27FC236}">
              <a16:creationId xmlns:a16="http://schemas.microsoft.com/office/drawing/2014/main" id="{1E0BC8A9-D9E6-C4B9-63A9-543E3CA6CA0F}"/>
            </a:ext>
            <a:ext uri="{147F2762-F138-4A5C-976F-8EAC2B608ADB}">
              <a16:predDERef xmlns:a16="http://schemas.microsoft.com/office/drawing/2014/main" pred="{44B536AC-DD8B-48F2-B3F9-C3F8C064A509}"/>
            </a:ext>
          </a:extLst>
        </xdr:cNvPr>
        <xdr:cNvPicPr>
          <a:picLocks noChangeAspect="1"/>
        </xdr:cNvPicPr>
      </xdr:nvPicPr>
      <xdr:blipFill>
        <a:blip xmlns:r="http://schemas.openxmlformats.org/officeDocument/2006/relationships" r:embed="rId18"/>
        <a:stretch>
          <a:fillRect/>
        </a:stretch>
      </xdr:blipFill>
      <xdr:spPr>
        <a:xfrm>
          <a:off x="85725" y="33804225"/>
          <a:ext cx="5930265" cy="212026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17</xdr:col>
      <xdr:colOff>11206</xdr:colOff>
      <xdr:row>10</xdr:row>
      <xdr:rowOff>62595</xdr:rowOff>
    </xdr:from>
    <xdr:to>
      <xdr:col>26</xdr:col>
      <xdr:colOff>112059</xdr:colOff>
      <xdr:row>29</xdr:row>
      <xdr:rowOff>1</xdr:rowOff>
    </xdr:to>
    <xdr:graphicFrame macro="">
      <xdr:nvGraphicFramePr>
        <xdr:cNvPr id="4" name="Chart 3">
          <a:extLst>
            <a:ext uri="{FF2B5EF4-FFF2-40B4-BE49-F238E27FC236}">
              <a16:creationId xmlns:a16="http://schemas.microsoft.com/office/drawing/2014/main" id="{D59B45DA-BBAB-715B-113D-35FF819D9A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63</xdr:col>
      <xdr:colOff>470779</xdr:colOff>
      <xdr:row>4</xdr:row>
      <xdr:rowOff>0</xdr:rowOff>
    </xdr:to>
    <xdr:sp macro="" textlink="">
      <xdr:nvSpPr>
        <xdr:cNvPr id="40" name="Rectangle 39">
          <a:extLst>
            <a:ext uri="{FF2B5EF4-FFF2-40B4-BE49-F238E27FC236}">
              <a16:creationId xmlns:a16="http://schemas.microsoft.com/office/drawing/2014/main" id="{6718B9DD-6E7D-48AF-84DC-48DE5C595A90}"/>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u="sng"/>
        </a:p>
      </xdr:txBody>
    </xdr:sp>
    <xdr:clientData/>
  </xdr:twoCellAnchor>
  <xdr:twoCellAnchor>
    <xdr:from>
      <xdr:col>19</xdr:col>
      <xdr:colOff>81200</xdr:colOff>
      <xdr:row>1</xdr:row>
      <xdr:rowOff>19879</xdr:rowOff>
    </xdr:from>
    <xdr:to>
      <xdr:col>20</xdr:col>
      <xdr:colOff>348609</xdr:colOff>
      <xdr:row>3</xdr:row>
      <xdr:rowOff>10354</xdr:rowOff>
    </xdr:to>
    <xdr:sp macro="" textlink="">
      <xdr:nvSpPr>
        <xdr:cNvPr id="41" name="TextBox 40">
          <a:hlinkClick xmlns:r="http://schemas.openxmlformats.org/officeDocument/2006/relationships" r:id="rId2"/>
          <a:extLst>
            <a:ext uri="{FF2B5EF4-FFF2-40B4-BE49-F238E27FC236}">
              <a16:creationId xmlns:a16="http://schemas.microsoft.com/office/drawing/2014/main" id="{F6E8D479-6FFF-405E-88EE-BD8DF830BFB0}"/>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2" name="Picture 41">
          <a:extLst>
            <a:ext uri="{FF2B5EF4-FFF2-40B4-BE49-F238E27FC236}">
              <a16:creationId xmlns:a16="http://schemas.microsoft.com/office/drawing/2014/main" id="{905DA265-AF8B-4BE0-882A-C33B7072E3F3}"/>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2</xdr:col>
      <xdr:colOff>608080</xdr:colOff>
      <xdr:row>1</xdr:row>
      <xdr:rowOff>28201</xdr:rowOff>
    </xdr:from>
    <xdr:to>
      <xdr:col>2</xdr:col>
      <xdr:colOff>608080</xdr:colOff>
      <xdr:row>2</xdr:row>
      <xdr:rowOff>138545</xdr:rowOff>
    </xdr:to>
    <xdr:cxnSp macro="">
      <xdr:nvCxnSpPr>
        <xdr:cNvPr id="44" name="Straight Connector 43">
          <a:extLst>
            <a:ext uri="{FF2B5EF4-FFF2-40B4-BE49-F238E27FC236}">
              <a16:creationId xmlns:a16="http://schemas.microsoft.com/office/drawing/2014/main" id="{2EB8935B-3DB8-4E56-A328-8AC6245D6556}"/>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377843</xdr:colOff>
      <xdr:row>1</xdr:row>
      <xdr:rowOff>19879</xdr:rowOff>
    </xdr:from>
    <xdr:to>
      <xdr:col>7</xdr:col>
      <xdr:colOff>648811</xdr:colOff>
      <xdr:row>3</xdr:row>
      <xdr:rowOff>10354</xdr:rowOff>
    </xdr:to>
    <xdr:sp macro="" textlink="">
      <xdr:nvSpPr>
        <xdr:cNvPr id="45" name="TextBox 44">
          <a:hlinkClick xmlns:r="http://schemas.openxmlformats.org/officeDocument/2006/relationships" r:id="rId4"/>
          <a:extLst>
            <a:ext uri="{FF2B5EF4-FFF2-40B4-BE49-F238E27FC236}">
              <a16:creationId xmlns:a16="http://schemas.microsoft.com/office/drawing/2014/main" id="{CAABC9B1-FE3F-4E92-9F7D-61862B4F6159}"/>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7</xdr:col>
      <xdr:colOff>551537</xdr:colOff>
      <xdr:row>1</xdr:row>
      <xdr:rowOff>19879</xdr:rowOff>
    </xdr:from>
    <xdr:to>
      <xdr:col>9</xdr:col>
      <xdr:colOff>142842</xdr:colOff>
      <xdr:row>3</xdr:row>
      <xdr:rowOff>10354</xdr:rowOff>
    </xdr:to>
    <xdr:sp macro="" textlink="">
      <xdr:nvSpPr>
        <xdr:cNvPr id="46" name="TextBox 45">
          <a:hlinkClick xmlns:r="http://schemas.openxmlformats.org/officeDocument/2006/relationships" r:id="rId5"/>
          <a:extLst>
            <a:ext uri="{FF2B5EF4-FFF2-40B4-BE49-F238E27FC236}">
              <a16:creationId xmlns:a16="http://schemas.microsoft.com/office/drawing/2014/main" id="{260A05A0-C69E-4B44-B0A3-36837E0E966B}"/>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9</xdr:col>
      <xdr:colOff>45568</xdr:colOff>
      <xdr:row>1</xdr:row>
      <xdr:rowOff>19879</xdr:rowOff>
    </xdr:from>
    <xdr:to>
      <xdr:col>10</xdr:col>
      <xdr:colOff>314373</xdr:colOff>
      <xdr:row>3</xdr:row>
      <xdr:rowOff>10354</xdr:rowOff>
    </xdr:to>
    <xdr:sp macro="" textlink="">
      <xdr:nvSpPr>
        <xdr:cNvPr id="47" name="TextBox 46">
          <a:hlinkClick xmlns:r="http://schemas.openxmlformats.org/officeDocument/2006/relationships" r:id="rId6"/>
          <a:extLst>
            <a:ext uri="{FF2B5EF4-FFF2-40B4-BE49-F238E27FC236}">
              <a16:creationId xmlns:a16="http://schemas.microsoft.com/office/drawing/2014/main" id="{189AE3C0-C619-47A8-8E89-E7E176C02FFE}"/>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10</xdr:col>
      <xdr:colOff>217099</xdr:colOff>
      <xdr:row>1</xdr:row>
      <xdr:rowOff>19879</xdr:rowOff>
    </xdr:from>
    <xdr:to>
      <xdr:col>11</xdr:col>
      <xdr:colOff>491936</xdr:colOff>
      <xdr:row>3</xdr:row>
      <xdr:rowOff>10354</xdr:rowOff>
    </xdr:to>
    <xdr:sp macro="" textlink="">
      <xdr:nvSpPr>
        <xdr:cNvPr id="48" name="TextBox 47">
          <a:hlinkClick xmlns:r="http://schemas.openxmlformats.org/officeDocument/2006/relationships" r:id="rId7"/>
          <a:extLst>
            <a:ext uri="{FF2B5EF4-FFF2-40B4-BE49-F238E27FC236}">
              <a16:creationId xmlns:a16="http://schemas.microsoft.com/office/drawing/2014/main" id="{A806B1D4-7EB1-499E-87A1-6F5E6372095B}"/>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11</xdr:col>
      <xdr:colOff>394662</xdr:colOff>
      <xdr:row>1</xdr:row>
      <xdr:rowOff>19879</xdr:rowOff>
    </xdr:from>
    <xdr:to>
      <xdr:col>12</xdr:col>
      <xdr:colOff>673579</xdr:colOff>
      <xdr:row>3</xdr:row>
      <xdr:rowOff>10354</xdr:rowOff>
    </xdr:to>
    <xdr:sp macro="" textlink="">
      <xdr:nvSpPr>
        <xdr:cNvPr id="49" name="TextBox 48">
          <a:hlinkClick xmlns:r="http://schemas.openxmlformats.org/officeDocument/2006/relationships" r:id="rId8"/>
          <a:extLst>
            <a:ext uri="{FF2B5EF4-FFF2-40B4-BE49-F238E27FC236}">
              <a16:creationId xmlns:a16="http://schemas.microsoft.com/office/drawing/2014/main" id="{D7ABCDD3-F78A-440B-841A-74247B2A54B6}"/>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12</xdr:col>
      <xdr:colOff>576305</xdr:colOff>
      <xdr:row>1</xdr:row>
      <xdr:rowOff>19879</xdr:rowOff>
    </xdr:from>
    <xdr:to>
      <xdr:col>14</xdr:col>
      <xdr:colOff>164592</xdr:colOff>
      <xdr:row>3</xdr:row>
      <xdr:rowOff>10354</xdr:rowOff>
    </xdr:to>
    <xdr:sp macro="" textlink="">
      <xdr:nvSpPr>
        <xdr:cNvPr id="50" name="TextBox 49">
          <a:hlinkClick xmlns:r="http://schemas.openxmlformats.org/officeDocument/2006/relationships" r:id="rId9"/>
          <a:extLst>
            <a:ext uri="{FF2B5EF4-FFF2-40B4-BE49-F238E27FC236}">
              <a16:creationId xmlns:a16="http://schemas.microsoft.com/office/drawing/2014/main" id="{70BA2138-00CE-4D92-9800-A2083B822D6F}"/>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14</xdr:col>
      <xdr:colOff>68999</xdr:colOff>
      <xdr:row>1</xdr:row>
      <xdr:rowOff>19879</xdr:rowOff>
    </xdr:from>
    <xdr:to>
      <xdr:col>15</xdr:col>
      <xdr:colOff>339165</xdr:colOff>
      <xdr:row>3</xdr:row>
      <xdr:rowOff>10354</xdr:rowOff>
    </xdr:to>
    <xdr:sp macro="" textlink="">
      <xdr:nvSpPr>
        <xdr:cNvPr id="51" name="TextBox 50">
          <a:hlinkClick xmlns:r="http://schemas.openxmlformats.org/officeDocument/2006/relationships" r:id="rId10"/>
          <a:extLst>
            <a:ext uri="{FF2B5EF4-FFF2-40B4-BE49-F238E27FC236}">
              <a16:creationId xmlns:a16="http://schemas.microsoft.com/office/drawing/2014/main" id="{D8A0818B-E92A-4A99-972D-EDADD747A244}"/>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15</xdr:col>
      <xdr:colOff>243572</xdr:colOff>
      <xdr:row>1</xdr:row>
      <xdr:rowOff>19879</xdr:rowOff>
    </xdr:from>
    <xdr:to>
      <xdr:col>16</xdr:col>
      <xdr:colOff>516196</xdr:colOff>
      <xdr:row>3</xdr:row>
      <xdr:rowOff>10354</xdr:rowOff>
    </xdr:to>
    <xdr:sp macro="" textlink="">
      <xdr:nvSpPr>
        <xdr:cNvPr id="52" name="TextBox 51">
          <a:hlinkClick xmlns:r="http://schemas.openxmlformats.org/officeDocument/2006/relationships" r:id="rId11"/>
          <a:extLst>
            <a:ext uri="{FF2B5EF4-FFF2-40B4-BE49-F238E27FC236}">
              <a16:creationId xmlns:a16="http://schemas.microsoft.com/office/drawing/2014/main" id="{558721BD-8E0C-4A7C-AB17-053E0ACBDA2C}"/>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16</xdr:col>
      <xdr:colOff>418922</xdr:colOff>
      <xdr:row>1</xdr:row>
      <xdr:rowOff>19879</xdr:rowOff>
    </xdr:from>
    <xdr:to>
      <xdr:col>18</xdr:col>
      <xdr:colOff>8341</xdr:colOff>
      <xdr:row>3</xdr:row>
      <xdr:rowOff>10354</xdr:rowOff>
    </xdr:to>
    <xdr:sp macro="" textlink="">
      <xdr:nvSpPr>
        <xdr:cNvPr id="53" name="TextBox 52">
          <a:hlinkClick xmlns:r="http://schemas.openxmlformats.org/officeDocument/2006/relationships" r:id="rId12"/>
          <a:extLst>
            <a:ext uri="{FF2B5EF4-FFF2-40B4-BE49-F238E27FC236}">
              <a16:creationId xmlns:a16="http://schemas.microsoft.com/office/drawing/2014/main" id="{CD4D31F4-E2B9-4E1F-A2CF-4FF5FF4B252D}"/>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17</xdr:col>
      <xdr:colOff>594626</xdr:colOff>
      <xdr:row>1</xdr:row>
      <xdr:rowOff>19879</xdr:rowOff>
    </xdr:from>
    <xdr:to>
      <xdr:col>19</xdr:col>
      <xdr:colOff>178474</xdr:colOff>
      <xdr:row>3</xdr:row>
      <xdr:rowOff>10354</xdr:rowOff>
    </xdr:to>
    <xdr:sp macro="" textlink="">
      <xdr:nvSpPr>
        <xdr:cNvPr id="54" name="TextBox 53">
          <a:hlinkClick xmlns:r="http://schemas.openxmlformats.org/officeDocument/2006/relationships" r:id="rId13"/>
          <a:extLst>
            <a:ext uri="{FF2B5EF4-FFF2-40B4-BE49-F238E27FC236}">
              <a16:creationId xmlns:a16="http://schemas.microsoft.com/office/drawing/2014/main" id="{F7711511-8CCE-4B47-9808-92967898DAEF}"/>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20</xdr:col>
      <xdr:colOff>251335</xdr:colOff>
      <xdr:row>1</xdr:row>
      <xdr:rowOff>19879</xdr:rowOff>
    </xdr:from>
    <xdr:to>
      <xdr:col>21</xdr:col>
      <xdr:colOff>499506</xdr:colOff>
      <xdr:row>3</xdr:row>
      <xdr:rowOff>10354</xdr:rowOff>
    </xdr:to>
    <xdr:sp macro="" textlink="">
      <xdr:nvSpPr>
        <xdr:cNvPr id="55" name="TextBox 54">
          <a:hlinkClick xmlns:r="http://schemas.openxmlformats.org/officeDocument/2006/relationships" r:id="rId14"/>
          <a:extLst>
            <a:ext uri="{FF2B5EF4-FFF2-40B4-BE49-F238E27FC236}">
              <a16:creationId xmlns:a16="http://schemas.microsoft.com/office/drawing/2014/main" id="{8F4FDE50-C839-4729-9F1E-5BA65224AD4E}"/>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IS</a:t>
          </a:r>
        </a:p>
      </xdr:txBody>
    </xdr:sp>
    <xdr:clientData/>
  </xdr:twoCellAnchor>
  <xdr:twoCellAnchor>
    <xdr:from>
      <xdr:col>21</xdr:col>
      <xdr:colOff>402232</xdr:colOff>
      <xdr:row>1</xdr:row>
      <xdr:rowOff>19879</xdr:rowOff>
    </xdr:from>
    <xdr:to>
      <xdr:col>22</xdr:col>
      <xdr:colOff>653414</xdr:colOff>
      <xdr:row>3</xdr:row>
      <xdr:rowOff>10354</xdr:rowOff>
    </xdr:to>
    <xdr:sp macro="" textlink="">
      <xdr:nvSpPr>
        <xdr:cNvPr id="56" name="TextBox 55">
          <a:hlinkClick xmlns:r="http://schemas.openxmlformats.org/officeDocument/2006/relationships" r:id="rId15"/>
          <a:extLst>
            <a:ext uri="{FF2B5EF4-FFF2-40B4-BE49-F238E27FC236}">
              <a16:creationId xmlns:a16="http://schemas.microsoft.com/office/drawing/2014/main" id="{B690B155-83CD-497D-BA24-221594A95679}"/>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22</xdr:col>
      <xdr:colOff>556140</xdr:colOff>
      <xdr:row>1</xdr:row>
      <xdr:rowOff>19879</xdr:rowOff>
    </xdr:from>
    <xdr:to>
      <xdr:col>24</xdr:col>
      <xdr:colOff>99694</xdr:colOff>
      <xdr:row>3</xdr:row>
      <xdr:rowOff>10354</xdr:rowOff>
    </xdr:to>
    <xdr:sp macro="" textlink="">
      <xdr:nvSpPr>
        <xdr:cNvPr id="57" name="TextBox 56">
          <a:hlinkClick xmlns:r="http://schemas.openxmlformats.org/officeDocument/2006/relationships" r:id="rId16"/>
          <a:extLst>
            <a:ext uri="{FF2B5EF4-FFF2-40B4-BE49-F238E27FC236}">
              <a16:creationId xmlns:a16="http://schemas.microsoft.com/office/drawing/2014/main" id="{2DF37820-DAA4-4FE6-9B0F-51271951F90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24</xdr:col>
      <xdr:colOff>2420</xdr:colOff>
      <xdr:row>1</xdr:row>
      <xdr:rowOff>19879</xdr:rowOff>
    </xdr:from>
    <xdr:to>
      <xdr:col>25</xdr:col>
      <xdr:colOff>278053</xdr:colOff>
      <xdr:row>3</xdr:row>
      <xdr:rowOff>10354</xdr:rowOff>
    </xdr:to>
    <xdr:sp macro="" textlink="">
      <xdr:nvSpPr>
        <xdr:cNvPr id="58" name="TextBox 57">
          <a:hlinkClick xmlns:r="http://schemas.openxmlformats.org/officeDocument/2006/relationships" r:id="rId17"/>
          <a:extLst>
            <a:ext uri="{FF2B5EF4-FFF2-40B4-BE49-F238E27FC236}">
              <a16:creationId xmlns:a16="http://schemas.microsoft.com/office/drawing/2014/main" id="{CD0814D2-F40E-4F77-A934-A66F94BB9462}"/>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25</xdr:col>
      <xdr:colOff>180790</xdr:colOff>
      <xdr:row>1</xdr:row>
      <xdr:rowOff>19879</xdr:rowOff>
    </xdr:from>
    <xdr:to>
      <xdr:col>26</xdr:col>
      <xdr:colOff>453996</xdr:colOff>
      <xdr:row>3</xdr:row>
      <xdr:rowOff>10354</xdr:rowOff>
    </xdr:to>
    <xdr:sp macro="" textlink="">
      <xdr:nvSpPr>
        <xdr:cNvPr id="59" name="TextBox 58">
          <a:hlinkClick xmlns:r="http://schemas.openxmlformats.org/officeDocument/2006/relationships" r:id="rId18"/>
          <a:extLst>
            <a:ext uri="{FF2B5EF4-FFF2-40B4-BE49-F238E27FC236}">
              <a16:creationId xmlns:a16="http://schemas.microsoft.com/office/drawing/2014/main" id="{C2CA7DD5-E5DC-4811-B179-76B863673509}"/>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10</xdr:col>
      <xdr:colOff>265736</xdr:colOff>
      <xdr:row>1</xdr:row>
      <xdr:rowOff>103586</xdr:rowOff>
    </xdr:from>
    <xdr:to>
      <xdr:col>10</xdr:col>
      <xdr:colOff>265736</xdr:colOff>
      <xdr:row>2</xdr:row>
      <xdr:rowOff>117146</xdr:rowOff>
    </xdr:to>
    <xdr:cxnSp macro="">
      <xdr:nvCxnSpPr>
        <xdr:cNvPr id="60" name="Straight Connector 59">
          <a:extLst>
            <a:ext uri="{FF2B5EF4-FFF2-40B4-BE49-F238E27FC236}">
              <a16:creationId xmlns:a16="http://schemas.microsoft.com/office/drawing/2014/main" id="{A0ACF81B-D411-490F-8AAC-6DDBC353177D}"/>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94205</xdr:colOff>
      <xdr:row>1</xdr:row>
      <xdr:rowOff>103586</xdr:rowOff>
    </xdr:from>
    <xdr:to>
      <xdr:col>9</xdr:col>
      <xdr:colOff>94205</xdr:colOff>
      <xdr:row>2</xdr:row>
      <xdr:rowOff>117146</xdr:rowOff>
    </xdr:to>
    <xdr:cxnSp macro="">
      <xdr:nvCxnSpPr>
        <xdr:cNvPr id="61" name="Straight Connector 60">
          <a:extLst>
            <a:ext uri="{FF2B5EF4-FFF2-40B4-BE49-F238E27FC236}">
              <a16:creationId xmlns:a16="http://schemas.microsoft.com/office/drawing/2014/main" id="{446FAD6D-611D-468E-AFDD-0B52AD38A2BC}"/>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600174</xdr:colOff>
      <xdr:row>1</xdr:row>
      <xdr:rowOff>103586</xdr:rowOff>
    </xdr:from>
    <xdr:to>
      <xdr:col>7</xdr:col>
      <xdr:colOff>600174</xdr:colOff>
      <xdr:row>2</xdr:row>
      <xdr:rowOff>117146</xdr:rowOff>
    </xdr:to>
    <xdr:cxnSp macro="">
      <xdr:nvCxnSpPr>
        <xdr:cNvPr id="62" name="Straight Connector 61">
          <a:extLst>
            <a:ext uri="{FF2B5EF4-FFF2-40B4-BE49-F238E27FC236}">
              <a16:creationId xmlns:a16="http://schemas.microsoft.com/office/drawing/2014/main" id="{00538D45-E35F-40D3-A792-EB55720A9A57}"/>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443299</xdr:colOff>
      <xdr:row>1</xdr:row>
      <xdr:rowOff>103586</xdr:rowOff>
    </xdr:from>
    <xdr:to>
      <xdr:col>11</xdr:col>
      <xdr:colOff>443299</xdr:colOff>
      <xdr:row>2</xdr:row>
      <xdr:rowOff>117146</xdr:rowOff>
    </xdr:to>
    <xdr:cxnSp macro="">
      <xdr:nvCxnSpPr>
        <xdr:cNvPr id="63" name="Straight Connector 62">
          <a:extLst>
            <a:ext uri="{FF2B5EF4-FFF2-40B4-BE49-F238E27FC236}">
              <a16:creationId xmlns:a16="http://schemas.microsoft.com/office/drawing/2014/main" id="{65DA74B9-16C2-4CB0-95E5-B9DE60AA1E8D}"/>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624942</xdr:colOff>
      <xdr:row>1</xdr:row>
      <xdr:rowOff>103586</xdr:rowOff>
    </xdr:from>
    <xdr:to>
      <xdr:col>12</xdr:col>
      <xdr:colOff>624942</xdr:colOff>
      <xdr:row>2</xdr:row>
      <xdr:rowOff>117146</xdr:rowOff>
    </xdr:to>
    <xdr:cxnSp macro="">
      <xdr:nvCxnSpPr>
        <xdr:cNvPr id="64" name="Straight Connector 63">
          <a:extLst>
            <a:ext uri="{FF2B5EF4-FFF2-40B4-BE49-F238E27FC236}">
              <a16:creationId xmlns:a16="http://schemas.microsoft.com/office/drawing/2014/main" id="{A3F16B74-111A-4B8E-8554-2C324B17183B}"/>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115955</xdr:colOff>
      <xdr:row>1</xdr:row>
      <xdr:rowOff>103586</xdr:rowOff>
    </xdr:from>
    <xdr:to>
      <xdr:col>14</xdr:col>
      <xdr:colOff>115955</xdr:colOff>
      <xdr:row>2</xdr:row>
      <xdr:rowOff>117146</xdr:rowOff>
    </xdr:to>
    <xdr:cxnSp macro="">
      <xdr:nvCxnSpPr>
        <xdr:cNvPr id="65" name="Straight Connector 64">
          <a:extLst>
            <a:ext uri="{FF2B5EF4-FFF2-40B4-BE49-F238E27FC236}">
              <a16:creationId xmlns:a16="http://schemas.microsoft.com/office/drawing/2014/main" id="{F12CE0FF-7D24-464B-A695-6CEA16B58253}"/>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292209</xdr:colOff>
      <xdr:row>1</xdr:row>
      <xdr:rowOff>103586</xdr:rowOff>
    </xdr:from>
    <xdr:to>
      <xdr:col>15</xdr:col>
      <xdr:colOff>292209</xdr:colOff>
      <xdr:row>2</xdr:row>
      <xdr:rowOff>117146</xdr:rowOff>
    </xdr:to>
    <xdr:cxnSp macro="">
      <xdr:nvCxnSpPr>
        <xdr:cNvPr id="66" name="Straight Connector 65">
          <a:extLst>
            <a:ext uri="{FF2B5EF4-FFF2-40B4-BE49-F238E27FC236}">
              <a16:creationId xmlns:a16="http://schemas.microsoft.com/office/drawing/2014/main" id="{24BE83D7-0CAA-40CA-98DF-7E0A63407494}"/>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467559</xdr:colOff>
      <xdr:row>1</xdr:row>
      <xdr:rowOff>103586</xdr:rowOff>
    </xdr:from>
    <xdr:to>
      <xdr:col>16</xdr:col>
      <xdr:colOff>467559</xdr:colOff>
      <xdr:row>2</xdr:row>
      <xdr:rowOff>117146</xdr:rowOff>
    </xdr:to>
    <xdr:cxnSp macro="">
      <xdr:nvCxnSpPr>
        <xdr:cNvPr id="67" name="Straight Connector 66">
          <a:extLst>
            <a:ext uri="{FF2B5EF4-FFF2-40B4-BE49-F238E27FC236}">
              <a16:creationId xmlns:a16="http://schemas.microsoft.com/office/drawing/2014/main" id="{B568332A-8914-4393-A547-EED847086A94}"/>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643263</xdr:colOff>
      <xdr:row>1</xdr:row>
      <xdr:rowOff>103586</xdr:rowOff>
    </xdr:from>
    <xdr:to>
      <xdr:col>17</xdr:col>
      <xdr:colOff>643263</xdr:colOff>
      <xdr:row>2</xdr:row>
      <xdr:rowOff>117146</xdr:rowOff>
    </xdr:to>
    <xdr:cxnSp macro="">
      <xdr:nvCxnSpPr>
        <xdr:cNvPr id="68" name="Straight Connector 67">
          <a:extLst>
            <a:ext uri="{FF2B5EF4-FFF2-40B4-BE49-F238E27FC236}">
              <a16:creationId xmlns:a16="http://schemas.microsoft.com/office/drawing/2014/main" id="{5D355C19-F67E-4301-85D4-2E7149DCEAC1}"/>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299972</xdr:colOff>
      <xdr:row>1</xdr:row>
      <xdr:rowOff>103586</xdr:rowOff>
    </xdr:from>
    <xdr:to>
      <xdr:col>20</xdr:col>
      <xdr:colOff>299972</xdr:colOff>
      <xdr:row>2</xdr:row>
      <xdr:rowOff>117146</xdr:rowOff>
    </xdr:to>
    <xdr:cxnSp macro="">
      <xdr:nvCxnSpPr>
        <xdr:cNvPr id="69" name="Straight Connector 68">
          <a:extLst>
            <a:ext uri="{FF2B5EF4-FFF2-40B4-BE49-F238E27FC236}">
              <a16:creationId xmlns:a16="http://schemas.microsoft.com/office/drawing/2014/main" id="{A25C1E46-D717-43B6-A8B1-67C1DE4B19DD}"/>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450869</xdr:colOff>
      <xdr:row>1</xdr:row>
      <xdr:rowOff>103586</xdr:rowOff>
    </xdr:from>
    <xdr:to>
      <xdr:col>21</xdr:col>
      <xdr:colOff>450869</xdr:colOff>
      <xdr:row>2</xdr:row>
      <xdr:rowOff>117146</xdr:rowOff>
    </xdr:to>
    <xdr:cxnSp macro="">
      <xdr:nvCxnSpPr>
        <xdr:cNvPr id="70" name="Straight Connector 69">
          <a:extLst>
            <a:ext uri="{FF2B5EF4-FFF2-40B4-BE49-F238E27FC236}">
              <a16:creationId xmlns:a16="http://schemas.microsoft.com/office/drawing/2014/main" id="{9FC8B357-5AA4-47D3-8DFF-59C516DD8890}"/>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604777</xdr:colOff>
      <xdr:row>1</xdr:row>
      <xdr:rowOff>103586</xdr:rowOff>
    </xdr:from>
    <xdr:to>
      <xdr:col>22</xdr:col>
      <xdr:colOff>604777</xdr:colOff>
      <xdr:row>2</xdr:row>
      <xdr:rowOff>117146</xdr:rowOff>
    </xdr:to>
    <xdr:cxnSp macro="">
      <xdr:nvCxnSpPr>
        <xdr:cNvPr id="71" name="Straight Connector 70">
          <a:extLst>
            <a:ext uri="{FF2B5EF4-FFF2-40B4-BE49-F238E27FC236}">
              <a16:creationId xmlns:a16="http://schemas.microsoft.com/office/drawing/2014/main" id="{599B67DC-74F5-46EC-8CC7-2C11D4DB7D02}"/>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51057</xdr:colOff>
      <xdr:row>1</xdr:row>
      <xdr:rowOff>103586</xdr:rowOff>
    </xdr:from>
    <xdr:to>
      <xdr:col>24</xdr:col>
      <xdr:colOff>51057</xdr:colOff>
      <xdr:row>2</xdr:row>
      <xdr:rowOff>117146</xdr:rowOff>
    </xdr:to>
    <xdr:cxnSp macro="">
      <xdr:nvCxnSpPr>
        <xdr:cNvPr id="72" name="Straight Connector 71">
          <a:extLst>
            <a:ext uri="{FF2B5EF4-FFF2-40B4-BE49-F238E27FC236}">
              <a16:creationId xmlns:a16="http://schemas.microsoft.com/office/drawing/2014/main" id="{34EAB332-56E6-4F99-B973-1FBAB46550C9}"/>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229416</xdr:colOff>
      <xdr:row>1</xdr:row>
      <xdr:rowOff>103586</xdr:rowOff>
    </xdr:from>
    <xdr:to>
      <xdr:col>25</xdr:col>
      <xdr:colOff>229416</xdr:colOff>
      <xdr:row>2</xdr:row>
      <xdr:rowOff>117146</xdr:rowOff>
    </xdr:to>
    <xdr:cxnSp macro="">
      <xdr:nvCxnSpPr>
        <xdr:cNvPr id="73" name="Straight Connector 72">
          <a:extLst>
            <a:ext uri="{FF2B5EF4-FFF2-40B4-BE49-F238E27FC236}">
              <a16:creationId xmlns:a16="http://schemas.microsoft.com/office/drawing/2014/main" id="{8433AE92-9548-4BE5-872D-1CF6D0688884}"/>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129837</xdr:colOff>
      <xdr:row>1</xdr:row>
      <xdr:rowOff>103586</xdr:rowOff>
    </xdr:from>
    <xdr:to>
      <xdr:col>19</xdr:col>
      <xdr:colOff>129837</xdr:colOff>
      <xdr:row>2</xdr:row>
      <xdr:rowOff>117146</xdr:rowOff>
    </xdr:to>
    <xdr:cxnSp macro="">
      <xdr:nvCxnSpPr>
        <xdr:cNvPr id="74" name="Straight Connector 73">
          <a:extLst>
            <a:ext uri="{FF2B5EF4-FFF2-40B4-BE49-F238E27FC236}">
              <a16:creationId xmlns:a16="http://schemas.microsoft.com/office/drawing/2014/main" id="{6CCA1591-D2F2-495C-876C-5045CAD5DBEF}"/>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10</xdr:row>
      <xdr:rowOff>0</xdr:rowOff>
    </xdr:from>
    <xdr:to>
      <xdr:col>15</xdr:col>
      <xdr:colOff>668655</xdr:colOff>
      <xdr:row>42</xdr:row>
      <xdr:rowOff>59055</xdr:rowOff>
    </xdr:to>
    <xdr:pic>
      <xdr:nvPicPr>
        <xdr:cNvPr id="12" name="Picture 1">
          <a:extLst>
            <a:ext uri="{FF2B5EF4-FFF2-40B4-BE49-F238E27FC236}">
              <a16:creationId xmlns:a16="http://schemas.microsoft.com/office/drawing/2014/main" id="{C5577556-A7D4-198F-493E-E3E1DBBD4689}"/>
            </a:ext>
            <a:ext uri="{147F2762-F138-4A5C-976F-8EAC2B608ADB}">
              <a16:predDERef xmlns:a16="http://schemas.microsoft.com/office/drawing/2014/main" pred="{6CCA1591-D2F2-495C-876C-5045CAD5DBEF}"/>
            </a:ext>
          </a:extLst>
        </xdr:cNvPr>
        <xdr:cNvPicPr>
          <a:picLocks noChangeAspect="1"/>
        </xdr:cNvPicPr>
      </xdr:nvPicPr>
      <xdr:blipFill>
        <a:blip xmlns:r="http://schemas.openxmlformats.org/officeDocument/2006/relationships" r:embed="rId19"/>
        <a:stretch>
          <a:fillRect/>
        </a:stretch>
      </xdr:blipFill>
      <xdr:spPr>
        <a:xfrm>
          <a:off x="161925" y="1619250"/>
          <a:ext cx="10277475" cy="6162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63</xdr:col>
      <xdr:colOff>1732</xdr:colOff>
      <xdr:row>4</xdr:row>
      <xdr:rowOff>0</xdr:rowOff>
    </xdr:to>
    <xdr:sp macro="" textlink="">
      <xdr:nvSpPr>
        <xdr:cNvPr id="2" name="Rectangle 1">
          <a:extLst>
            <a:ext uri="{FF2B5EF4-FFF2-40B4-BE49-F238E27FC236}">
              <a16:creationId xmlns:a16="http://schemas.microsoft.com/office/drawing/2014/main" id="{43017C49-9EA0-4EE2-81EB-25B9D10D4D8D}"/>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361347</xdr:colOff>
      <xdr:row>1</xdr:row>
      <xdr:rowOff>19879</xdr:rowOff>
    </xdr:from>
    <xdr:to>
      <xdr:col>16</xdr:col>
      <xdr:colOff>577529</xdr:colOff>
      <xdr:row>3</xdr:row>
      <xdr:rowOff>10354</xdr:rowOff>
    </xdr:to>
    <xdr:sp macro="" textlink="">
      <xdr:nvSpPr>
        <xdr:cNvPr id="4" name="TextBox 3">
          <a:hlinkClick xmlns:r="http://schemas.openxmlformats.org/officeDocument/2006/relationships" r:id="rId1"/>
          <a:extLst>
            <a:ext uri="{FF2B5EF4-FFF2-40B4-BE49-F238E27FC236}">
              <a16:creationId xmlns:a16="http://schemas.microsoft.com/office/drawing/2014/main" id="{7D420E38-046F-4AEF-8E50-F0365EFDD3F1}"/>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5" name="Picture 4">
          <a:extLst>
            <a:ext uri="{FF2B5EF4-FFF2-40B4-BE49-F238E27FC236}">
              <a16:creationId xmlns:a16="http://schemas.microsoft.com/office/drawing/2014/main" id="{69131AEF-2AB8-4195-BDFA-16D6DEF395FE}"/>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1282834</xdr:colOff>
      <xdr:row>1</xdr:row>
      <xdr:rowOff>28201</xdr:rowOff>
    </xdr:from>
    <xdr:to>
      <xdr:col>1</xdr:col>
      <xdr:colOff>1282834</xdr:colOff>
      <xdr:row>2</xdr:row>
      <xdr:rowOff>138545</xdr:rowOff>
    </xdr:to>
    <xdr:cxnSp macro="">
      <xdr:nvCxnSpPr>
        <xdr:cNvPr id="39" name="Straight Connector 38">
          <a:extLst>
            <a:ext uri="{FF2B5EF4-FFF2-40B4-BE49-F238E27FC236}">
              <a16:creationId xmlns:a16="http://schemas.microsoft.com/office/drawing/2014/main" id="{78218EBC-5A74-4226-9ECC-56BACFD4503B}"/>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3786832</xdr:colOff>
      <xdr:row>1</xdr:row>
      <xdr:rowOff>19879</xdr:rowOff>
    </xdr:from>
    <xdr:to>
      <xdr:col>3</xdr:col>
      <xdr:colOff>618395</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C129E1FF-62DE-45B1-8AB2-B1C39505603C}"/>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521121</xdr:colOff>
      <xdr:row>1</xdr:row>
      <xdr:rowOff>19879</xdr:rowOff>
    </xdr:from>
    <xdr:to>
      <xdr:col>5</xdr:col>
      <xdr:colOff>9972</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9AE9281B-70F9-4203-8C6F-72A1E6927BB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647484</xdr:colOff>
      <xdr:row>1</xdr:row>
      <xdr:rowOff>19879</xdr:rowOff>
    </xdr:from>
    <xdr:to>
      <xdr:col>6</xdr:col>
      <xdr:colOff>130277</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08731BB7-EA48-49A2-AB22-4372BAC93FF4}"/>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33003</xdr:colOff>
      <xdr:row>1</xdr:row>
      <xdr:rowOff>19879</xdr:rowOff>
    </xdr:from>
    <xdr:to>
      <xdr:col>7</xdr:col>
      <xdr:colOff>256612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BA22BF2A-0106-4188-B0C7-88D2269405D9}"/>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159338</xdr:colOff>
      <xdr:row>1</xdr:row>
      <xdr:rowOff>19879</xdr:rowOff>
    </xdr:from>
    <xdr:to>
      <xdr:col>9</xdr:col>
      <xdr:colOff>114885</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761007E9-9A05-4B11-90F0-7290F9A13CB4}"/>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17611</xdr:colOff>
      <xdr:row>1</xdr:row>
      <xdr:rowOff>19879</xdr:rowOff>
    </xdr:from>
    <xdr:to>
      <xdr:col>10</xdr:col>
      <xdr:colOff>238231</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FF1174C0-DD1A-4C7F-ADC1-75DA876F2BA5}"/>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142638</xdr:colOff>
      <xdr:row>1</xdr:row>
      <xdr:rowOff>19879</xdr:rowOff>
    </xdr:from>
    <xdr:to>
      <xdr:col>11</xdr:col>
      <xdr:colOff>361577</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927DFDED-D84E-477F-BF27-85683C68C522}"/>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265984</xdr:colOff>
      <xdr:row>1</xdr:row>
      <xdr:rowOff>19879</xdr:rowOff>
    </xdr:from>
    <xdr:to>
      <xdr:col>12</xdr:col>
      <xdr:colOff>487381</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D3572F7D-2225-45C3-AFCC-55F670CC229B}"/>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390107</xdr:colOff>
      <xdr:row>1</xdr:row>
      <xdr:rowOff>19879</xdr:rowOff>
    </xdr:from>
    <xdr:to>
      <xdr:col>13</xdr:col>
      <xdr:colOff>611858</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CB330906-E121-4D99-982D-FC5020616F3C}"/>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514584</xdr:colOff>
      <xdr:row>1</xdr:row>
      <xdr:rowOff>19879</xdr:rowOff>
    </xdr:from>
    <xdr:to>
      <xdr:col>15</xdr:col>
      <xdr:colOff>458621</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C9A5D376-C3D5-47FD-B425-6C353600B78B}"/>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480255</xdr:colOff>
      <xdr:row>1</xdr:row>
      <xdr:rowOff>19879</xdr:rowOff>
    </xdr:from>
    <xdr:to>
      <xdr:col>17</xdr:col>
      <xdr:colOff>699611</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C8ABB620-6C0F-4EFF-A586-6B8FBA367640}"/>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IS</a:t>
          </a:r>
        </a:p>
      </xdr:txBody>
    </xdr:sp>
    <xdr:clientData/>
  </xdr:twoCellAnchor>
  <xdr:twoCellAnchor>
    <xdr:from>
      <xdr:col>17</xdr:col>
      <xdr:colOff>602337</xdr:colOff>
      <xdr:row>1</xdr:row>
      <xdr:rowOff>19879</xdr:rowOff>
    </xdr:from>
    <xdr:to>
      <xdr:col>19</xdr:col>
      <xdr:colOff>89918</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24EFB7B9-EB57-4B4B-909D-B34156B6FF7A}"/>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18</xdr:col>
      <xdr:colOff>727430</xdr:colOff>
      <xdr:row>1</xdr:row>
      <xdr:rowOff>19879</xdr:rowOff>
    </xdr:from>
    <xdr:to>
      <xdr:col>20</xdr:col>
      <xdr:colOff>63675</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B25CF6BF-1B77-4615-83BE-D64C942249C5}"/>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19</xdr:col>
      <xdr:colOff>850865</xdr:colOff>
      <xdr:row>1</xdr:row>
      <xdr:rowOff>19879</xdr:rowOff>
    </xdr:from>
    <xdr:to>
      <xdr:col>22</xdr:col>
      <xdr:colOff>68343</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A360A8FE-A2F0-49A3-9AC0-802EA17937AE}"/>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705866</xdr:colOff>
      <xdr:row>1</xdr:row>
      <xdr:rowOff>19879</xdr:rowOff>
    </xdr:from>
    <xdr:to>
      <xdr:col>23</xdr:col>
      <xdr:colOff>193059</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B2AA7A40-AE0C-49DA-BBFB-286549F1AC2D}"/>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81640</xdr:colOff>
      <xdr:row>1</xdr:row>
      <xdr:rowOff>103586</xdr:rowOff>
    </xdr:from>
    <xdr:to>
      <xdr:col>6</xdr:col>
      <xdr:colOff>81640</xdr:colOff>
      <xdr:row>2</xdr:row>
      <xdr:rowOff>117146</xdr:rowOff>
    </xdr:to>
    <xdr:cxnSp macro="">
      <xdr:nvCxnSpPr>
        <xdr:cNvPr id="55" name="Straight Connector 54">
          <a:extLst>
            <a:ext uri="{FF2B5EF4-FFF2-40B4-BE49-F238E27FC236}">
              <a16:creationId xmlns:a16="http://schemas.microsoft.com/office/drawing/2014/main" id="{24A051E6-1392-4828-9BA1-B13F5C3E5986}"/>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696121</xdr:colOff>
      <xdr:row>1</xdr:row>
      <xdr:rowOff>103586</xdr:rowOff>
    </xdr:from>
    <xdr:to>
      <xdr:col>4</xdr:col>
      <xdr:colOff>696121</xdr:colOff>
      <xdr:row>2</xdr:row>
      <xdr:rowOff>117146</xdr:rowOff>
    </xdr:to>
    <xdr:cxnSp macro="">
      <xdr:nvCxnSpPr>
        <xdr:cNvPr id="56" name="Straight Connector 55">
          <a:extLst>
            <a:ext uri="{FF2B5EF4-FFF2-40B4-BE49-F238E27FC236}">
              <a16:creationId xmlns:a16="http://schemas.microsoft.com/office/drawing/2014/main" id="{217FCE4C-3B17-46AE-8072-A3DCE8DB002D}"/>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569758</xdr:colOff>
      <xdr:row>1</xdr:row>
      <xdr:rowOff>103586</xdr:rowOff>
    </xdr:from>
    <xdr:to>
      <xdr:col>3</xdr:col>
      <xdr:colOff>569758</xdr:colOff>
      <xdr:row>2</xdr:row>
      <xdr:rowOff>117146</xdr:rowOff>
    </xdr:to>
    <xdr:cxnSp macro="">
      <xdr:nvCxnSpPr>
        <xdr:cNvPr id="57" name="Straight Connector 56">
          <a:extLst>
            <a:ext uri="{FF2B5EF4-FFF2-40B4-BE49-F238E27FC236}">
              <a16:creationId xmlns:a16="http://schemas.microsoft.com/office/drawing/2014/main" id="{ED665E52-3C41-4278-80FE-4B8353ACB366}"/>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207975</xdr:colOff>
      <xdr:row>1</xdr:row>
      <xdr:rowOff>103586</xdr:rowOff>
    </xdr:from>
    <xdr:to>
      <xdr:col>7</xdr:col>
      <xdr:colOff>207975</xdr:colOff>
      <xdr:row>2</xdr:row>
      <xdr:rowOff>117146</xdr:rowOff>
    </xdr:to>
    <xdr:cxnSp macro="">
      <xdr:nvCxnSpPr>
        <xdr:cNvPr id="58" name="Straight Connector 57">
          <a:extLst>
            <a:ext uri="{FF2B5EF4-FFF2-40B4-BE49-F238E27FC236}">
              <a16:creationId xmlns:a16="http://schemas.microsoft.com/office/drawing/2014/main" id="{1A3A78B6-51C2-4CE8-8E38-10891F0B031D}"/>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66248</xdr:colOff>
      <xdr:row>1</xdr:row>
      <xdr:rowOff>103586</xdr:rowOff>
    </xdr:from>
    <xdr:to>
      <xdr:col>9</xdr:col>
      <xdr:colOff>66248</xdr:colOff>
      <xdr:row>2</xdr:row>
      <xdr:rowOff>117146</xdr:rowOff>
    </xdr:to>
    <xdr:cxnSp macro="">
      <xdr:nvCxnSpPr>
        <xdr:cNvPr id="59" name="Straight Connector 58">
          <a:extLst>
            <a:ext uri="{FF2B5EF4-FFF2-40B4-BE49-F238E27FC236}">
              <a16:creationId xmlns:a16="http://schemas.microsoft.com/office/drawing/2014/main" id="{40CA7663-7096-40B3-9DC0-0E76ECF850FA}"/>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189594</xdr:colOff>
      <xdr:row>1</xdr:row>
      <xdr:rowOff>103586</xdr:rowOff>
    </xdr:from>
    <xdr:to>
      <xdr:col>10</xdr:col>
      <xdr:colOff>189594</xdr:colOff>
      <xdr:row>2</xdr:row>
      <xdr:rowOff>117146</xdr:rowOff>
    </xdr:to>
    <xdr:cxnSp macro="">
      <xdr:nvCxnSpPr>
        <xdr:cNvPr id="60" name="Straight Connector 59">
          <a:extLst>
            <a:ext uri="{FF2B5EF4-FFF2-40B4-BE49-F238E27FC236}">
              <a16:creationId xmlns:a16="http://schemas.microsoft.com/office/drawing/2014/main" id="{599EA639-8AFE-4F25-804C-31CE707CBF72}"/>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314621</xdr:colOff>
      <xdr:row>1</xdr:row>
      <xdr:rowOff>103586</xdr:rowOff>
    </xdr:from>
    <xdr:to>
      <xdr:col>11</xdr:col>
      <xdr:colOff>314621</xdr:colOff>
      <xdr:row>2</xdr:row>
      <xdr:rowOff>117146</xdr:rowOff>
    </xdr:to>
    <xdr:cxnSp macro="">
      <xdr:nvCxnSpPr>
        <xdr:cNvPr id="61" name="Straight Connector 60">
          <a:extLst>
            <a:ext uri="{FF2B5EF4-FFF2-40B4-BE49-F238E27FC236}">
              <a16:creationId xmlns:a16="http://schemas.microsoft.com/office/drawing/2014/main" id="{5F28E991-396E-4CB9-96CD-E84A2CA2F371}"/>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438744</xdr:colOff>
      <xdr:row>1</xdr:row>
      <xdr:rowOff>103586</xdr:rowOff>
    </xdr:from>
    <xdr:to>
      <xdr:col>12</xdr:col>
      <xdr:colOff>438744</xdr:colOff>
      <xdr:row>2</xdr:row>
      <xdr:rowOff>117146</xdr:rowOff>
    </xdr:to>
    <xdr:cxnSp macro="">
      <xdr:nvCxnSpPr>
        <xdr:cNvPr id="62" name="Straight Connector 61">
          <a:extLst>
            <a:ext uri="{FF2B5EF4-FFF2-40B4-BE49-F238E27FC236}">
              <a16:creationId xmlns:a16="http://schemas.microsoft.com/office/drawing/2014/main" id="{5F7DFCC2-113E-4F25-9A19-320E6EDCBC1A}"/>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563221</xdr:colOff>
      <xdr:row>1</xdr:row>
      <xdr:rowOff>103586</xdr:rowOff>
    </xdr:from>
    <xdr:to>
      <xdr:col>13</xdr:col>
      <xdr:colOff>563221</xdr:colOff>
      <xdr:row>2</xdr:row>
      <xdr:rowOff>117146</xdr:rowOff>
    </xdr:to>
    <xdr:cxnSp macro="">
      <xdr:nvCxnSpPr>
        <xdr:cNvPr id="63" name="Straight Connector 62">
          <a:extLst>
            <a:ext uri="{FF2B5EF4-FFF2-40B4-BE49-F238E27FC236}">
              <a16:creationId xmlns:a16="http://schemas.microsoft.com/office/drawing/2014/main" id="{45EE0C0F-1EFA-42F9-8B2A-134651E76B8C}"/>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528892</xdr:colOff>
      <xdr:row>1</xdr:row>
      <xdr:rowOff>103586</xdr:rowOff>
    </xdr:from>
    <xdr:to>
      <xdr:col>16</xdr:col>
      <xdr:colOff>528892</xdr:colOff>
      <xdr:row>2</xdr:row>
      <xdr:rowOff>117146</xdr:rowOff>
    </xdr:to>
    <xdr:cxnSp macro="">
      <xdr:nvCxnSpPr>
        <xdr:cNvPr id="64" name="Straight Connector 63">
          <a:extLst>
            <a:ext uri="{FF2B5EF4-FFF2-40B4-BE49-F238E27FC236}">
              <a16:creationId xmlns:a16="http://schemas.microsoft.com/office/drawing/2014/main" id="{07F0F97D-A38E-4AD2-98D0-0EDA19DFDB7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650974</xdr:colOff>
      <xdr:row>1</xdr:row>
      <xdr:rowOff>103586</xdr:rowOff>
    </xdr:from>
    <xdr:to>
      <xdr:col>17</xdr:col>
      <xdr:colOff>650974</xdr:colOff>
      <xdr:row>2</xdr:row>
      <xdr:rowOff>117146</xdr:rowOff>
    </xdr:to>
    <xdr:cxnSp macro="">
      <xdr:nvCxnSpPr>
        <xdr:cNvPr id="65" name="Straight Connector 64">
          <a:extLst>
            <a:ext uri="{FF2B5EF4-FFF2-40B4-BE49-F238E27FC236}">
              <a16:creationId xmlns:a16="http://schemas.microsoft.com/office/drawing/2014/main" id="{5E56EF89-BA47-4A5A-8793-D4DF99559ECF}"/>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41281</xdr:colOff>
      <xdr:row>1</xdr:row>
      <xdr:rowOff>103586</xdr:rowOff>
    </xdr:from>
    <xdr:to>
      <xdr:col>19</xdr:col>
      <xdr:colOff>41281</xdr:colOff>
      <xdr:row>2</xdr:row>
      <xdr:rowOff>117146</xdr:rowOff>
    </xdr:to>
    <xdr:cxnSp macro="">
      <xdr:nvCxnSpPr>
        <xdr:cNvPr id="66" name="Straight Connector 65">
          <a:extLst>
            <a:ext uri="{FF2B5EF4-FFF2-40B4-BE49-F238E27FC236}">
              <a16:creationId xmlns:a16="http://schemas.microsoft.com/office/drawing/2014/main" id="{A49D973B-E1D6-4171-98DE-3CE5129259A2}"/>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15038</xdr:colOff>
      <xdr:row>1</xdr:row>
      <xdr:rowOff>103586</xdr:rowOff>
    </xdr:from>
    <xdr:to>
      <xdr:col>20</xdr:col>
      <xdr:colOff>15038</xdr:colOff>
      <xdr:row>2</xdr:row>
      <xdr:rowOff>117146</xdr:rowOff>
    </xdr:to>
    <xdr:cxnSp macro="">
      <xdr:nvCxnSpPr>
        <xdr:cNvPr id="67" name="Straight Connector 66">
          <a:extLst>
            <a:ext uri="{FF2B5EF4-FFF2-40B4-BE49-F238E27FC236}">
              <a16:creationId xmlns:a16="http://schemas.microsoft.com/office/drawing/2014/main" id="{58279B69-0D3D-4DE5-93A8-6D7E615DFDD4}"/>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19706</xdr:colOff>
      <xdr:row>1</xdr:row>
      <xdr:rowOff>103586</xdr:rowOff>
    </xdr:from>
    <xdr:to>
      <xdr:col>22</xdr:col>
      <xdr:colOff>19706</xdr:colOff>
      <xdr:row>2</xdr:row>
      <xdr:rowOff>117146</xdr:rowOff>
    </xdr:to>
    <xdr:cxnSp macro="">
      <xdr:nvCxnSpPr>
        <xdr:cNvPr id="68" name="Straight Connector 67">
          <a:extLst>
            <a:ext uri="{FF2B5EF4-FFF2-40B4-BE49-F238E27FC236}">
              <a16:creationId xmlns:a16="http://schemas.microsoft.com/office/drawing/2014/main" id="{C2D41711-31D1-4EB5-965D-DC83F3B9BCC2}"/>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409984</xdr:colOff>
      <xdr:row>1</xdr:row>
      <xdr:rowOff>103586</xdr:rowOff>
    </xdr:from>
    <xdr:to>
      <xdr:col>15</xdr:col>
      <xdr:colOff>409984</xdr:colOff>
      <xdr:row>2</xdr:row>
      <xdr:rowOff>117146</xdr:rowOff>
    </xdr:to>
    <xdr:cxnSp macro="">
      <xdr:nvCxnSpPr>
        <xdr:cNvPr id="69" name="Straight Connector 68">
          <a:extLst>
            <a:ext uri="{FF2B5EF4-FFF2-40B4-BE49-F238E27FC236}">
              <a16:creationId xmlns:a16="http://schemas.microsoft.com/office/drawing/2014/main" id="{265A516A-A86D-4AB2-B867-532883B80F2D}"/>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62</xdr:col>
      <xdr:colOff>124197</xdr:colOff>
      <xdr:row>4</xdr:row>
      <xdr:rowOff>0</xdr:rowOff>
    </xdr:to>
    <xdr:sp macro="" textlink="">
      <xdr:nvSpPr>
        <xdr:cNvPr id="4" name="Rectangle 3">
          <a:extLst>
            <a:ext uri="{FF2B5EF4-FFF2-40B4-BE49-F238E27FC236}">
              <a16:creationId xmlns:a16="http://schemas.microsoft.com/office/drawing/2014/main" id="{617FAE12-5B59-435D-B24B-0FCBF9748204}"/>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361347</xdr:colOff>
      <xdr:row>1</xdr:row>
      <xdr:rowOff>19879</xdr:rowOff>
    </xdr:from>
    <xdr:to>
      <xdr:col>16</xdr:col>
      <xdr:colOff>577529</xdr:colOff>
      <xdr:row>3</xdr:row>
      <xdr:rowOff>10354</xdr:rowOff>
    </xdr:to>
    <xdr:sp macro="" textlink="">
      <xdr:nvSpPr>
        <xdr:cNvPr id="5" name="TextBox 4">
          <a:hlinkClick xmlns:r="http://schemas.openxmlformats.org/officeDocument/2006/relationships" r:id="rId1"/>
          <a:extLst>
            <a:ext uri="{FF2B5EF4-FFF2-40B4-BE49-F238E27FC236}">
              <a16:creationId xmlns:a16="http://schemas.microsoft.com/office/drawing/2014/main" id="{AC51300F-E5C3-4DA0-8124-E456063E06C5}"/>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 name="Picture 5">
          <a:extLst>
            <a:ext uri="{FF2B5EF4-FFF2-40B4-BE49-F238E27FC236}">
              <a16:creationId xmlns:a16="http://schemas.microsoft.com/office/drawing/2014/main" id="{211799E0-91EF-44D6-8652-E3D5FC6D0EC1}"/>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1282834</xdr:colOff>
      <xdr:row>1</xdr:row>
      <xdr:rowOff>28201</xdr:rowOff>
    </xdr:from>
    <xdr:to>
      <xdr:col>1</xdr:col>
      <xdr:colOff>1282834</xdr:colOff>
      <xdr:row>2</xdr:row>
      <xdr:rowOff>138545</xdr:rowOff>
    </xdr:to>
    <xdr:cxnSp macro="">
      <xdr:nvCxnSpPr>
        <xdr:cNvPr id="39" name="Straight Connector 38">
          <a:extLst>
            <a:ext uri="{FF2B5EF4-FFF2-40B4-BE49-F238E27FC236}">
              <a16:creationId xmlns:a16="http://schemas.microsoft.com/office/drawing/2014/main" id="{B9F33AD2-D475-457E-A876-AD16D5FA510B}"/>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3786832</xdr:colOff>
      <xdr:row>1</xdr:row>
      <xdr:rowOff>19879</xdr:rowOff>
    </xdr:from>
    <xdr:to>
      <xdr:col>3</xdr:col>
      <xdr:colOff>618395</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0901A182-93A0-43E7-B11F-9242774613D0}"/>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521121</xdr:colOff>
      <xdr:row>1</xdr:row>
      <xdr:rowOff>19879</xdr:rowOff>
    </xdr:from>
    <xdr:to>
      <xdr:col>5</xdr:col>
      <xdr:colOff>9972</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E157F68F-619A-43B6-935E-9FA5DA220B5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647484</xdr:colOff>
      <xdr:row>1</xdr:row>
      <xdr:rowOff>19879</xdr:rowOff>
    </xdr:from>
    <xdr:to>
      <xdr:col>6</xdr:col>
      <xdr:colOff>130277</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4485F24B-BA52-46D3-A985-6D55B37CE809}"/>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33003</xdr:colOff>
      <xdr:row>1</xdr:row>
      <xdr:rowOff>19879</xdr:rowOff>
    </xdr:from>
    <xdr:to>
      <xdr:col>7</xdr:col>
      <xdr:colOff>256612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E682221F-4755-4ECE-9218-DCFAF07747BA}"/>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159338</xdr:colOff>
      <xdr:row>1</xdr:row>
      <xdr:rowOff>19879</xdr:rowOff>
    </xdr:from>
    <xdr:to>
      <xdr:col>9</xdr:col>
      <xdr:colOff>114885</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7E701A3A-E82E-4FBD-9207-6E16365DEA52}"/>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17611</xdr:colOff>
      <xdr:row>1</xdr:row>
      <xdr:rowOff>19879</xdr:rowOff>
    </xdr:from>
    <xdr:to>
      <xdr:col>10</xdr:col>
      <xdr:colOff>238231</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06338BF7-6B8B-47CF-B4D7-6B213D7D194B}"/>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142638</xdr:colOff>
      <xdr:row>1</xdr:row>
      <xdr:rowOff>19879</xdr:rowOff>
    </xdr:from>
    <xdr:to>
      <xdr:col>11</xdr:col>
      <xdr:colOff>361577</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130FFE4A-EECE-44A1-8B9B-16DE1CFE852B}"/>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265984</xdr:colOff>
      <xdr:row>1</xdr:row>
      <xdr:rowOff>19879</xdr:rowOff>
    </xdr:from>
    <xdr:to>
      <xdr:col>12</xdr:col>
      <xdr:colOff>487381</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FB937D78-F683-4486-A17C-BCE41D4951B3}"/>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390107</xdr:colOff>
      <xdr:row>1</xdr:row>
      <xdr:rowOff>19879</xdr:rowOff>
    </xdr:from>
    <xdr:to>
      <xdr:col>13</xdr:col>
      <xdr:colOff>611858</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E23C3758-3925-4B52-9016-A86DA7019C91}"/>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514584</xdr:colOff>
      <xdr:row>1</xdr:row>
      <xdr:rowOff>19879</xdr:rowOff>
    </xdr:from>
    <xdr:to>
      <xdr:col>15</xdr:col>
      <xdr:colOff>458621</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31B22D2D-90A3-47C7-AA4C-04998904BC19}"/>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480255</xdr:colOff>
      <xdr:row>1</xdr:row>
      <xdr:rowOff>19879</xdr:rowOff>
    </xdr:from>
    <xdr:to>
      <xdr:col>17</xdr:col>
      <xdr:colOff>699611</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EBD948F3-B150-49E0-9FE4-A1BEE18B32DE}"/>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602337</xdr:colOff>
      <xdr:row>1</xdr:row>
      <xdr:rowOff>19879</xdr:rowOff>
    </xdr:from>
    <xdr:to>
      <xdr:col>19</xdr:col>
      <xdr:colOff>89918</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7E679969-D9FC-4E42-BA71-91F1E080BB4E}"/>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BS</a:t>
          </a:r>
        </a:p>
      </xdr:txBody>
    </xdr:sp>
    <xdr:clientData/>
  </xdr:twoCellAnchor>
  <xdr:twoCellAnchor>
    <xdr:from>
      <xdr:col>18</xdr:col>
      <xdr:colOff>727430</xdr:colOff>
      <xdr:row>1</xdr:row>
      <xdr:rowOff>19879</xdr:rowOff>
    </xdr:from>
    <xdr:to>
      <xdr:col>20</xdr:col>
      <xdr:colOff>63675</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DC5657EA-9DB2-4806-92EB-CBC9535B4FF8}"/>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19</xdr:col>
      <xdr:colOff>850865</xdr:colOff>
      <xdr:row>1</xdr:row>
      <xdr:rowOff>19879</xdr:rowOff>
    </xdr:from>
    <xdr:to>
      <xdr:col>22</xdr:col>
      <xdr:colOff>68343</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FFBB7292-B296-4EC5-87AA-E0E887AC9FA6}"/>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705866</xdr:colOff>
      <xdr:row>1</xdr:row>
      <xdr:rowOff>19879</xdr:rowOff>
    </xdr:from>
    <xdr:to>
      <xdr:col>23</xdr:col>
      <xdr:colOff>193059</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EF2F54B5-EA83-4AB6-9281-8DC7D985AD44}"/>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81640</xdr:colOff>
      <xdr:row>1</xdr:row>
      <xdr:rowOff>103586</xdr:rowOff>
    </xdr:from>
    <xdr:to>
      <xdr:col>6</xdr:col>
      <xdr:colOff>81640</xdr:colOff>
      <xdr:row>2</xdr:row>
      <xdr:rowOff>117146</xdr:rowOff>
    </xdr:to>
    <xdr:cxnSp macro="">
      <xdr:nvCxnSpPr>
        <xdr:cNvPr id="55" name="Straight Connector 54">
          <a:extLst>
            <a:ext uri="{FF2B5EF4-FFF2-40B4-BE49-F238E27FC236}">
              <a16:creationId xmlns:a16="http://schemas.microsoft.com/office/drawing/2014/main" id="{DF9E42C4-49A2-40E4-9467-45F4323210C0}"/>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696121</xdr:colOff>
      <xdr:row>1</xdr:row>
      <xdr:rowOff>103586</xdr:rowOff>
    </xdr:from>
    <xdr:to>
      <xdr:col>4</xdr:col>
      <xdr:colOff>696121</xdr:colOff>
      <xdr:row>2</xdr:row>
      <xdr:rowOff>117146</xdr:rowOff>
    </xdr:to>
    <xdr:cxnSp macro="">
      <xdr:nvCxnSpPr>
        <xdr:cNvPr id="56" name="Straight Connector 55">
          <a:extLst>
            <a:ext uri="{FF2B5EF4-FFF2-40B4-BE49-F238E27FC236}">
              <a16:creationId xmlns:a16="http://schemas.microsoft.com/office/drawing/2014/main" id="{29161BDF-FF88-4458-A34E-C81C183520C9}"/>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569758</xdr:colOff>
      <xdr:row>1</xdr:row>
      <xdr:rowOff>103586</xdr:rowOff>
    </xdr:from>
    <xdr:to>
      <xdr:col>3</xdr:col>
      <xdr:colOff>569758</xdr:colOff>
      <xdr:row>2</xdr:row>
      <xdr:rowOff>117146</xdr:rowOff>
    </xdr:to>
    <xdr:cxnSp macro="">
      <xdr:nvCxnSpPr>
        <xdr:cNvPr id="57" name="Straight Connector 56">
          <a:extLst>
            <a:ext uri="{FF2B5EF4-FFF2-40B4-BE49-F238E27FC236}">
              <a16:creationId xmlns:a16="http://schemas.microsoft.com/office/drawing/2014/main" id="{3001A618-7877-4DE3-A81D-042089FC0A1F}"/>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207975</xdr:colOff>
      <xdr:row>1</xdr:row>
      <xdr:rowOff>103586</xdr:rowOff>
    </xdr:from>
    <xdr:to>
      <xdr:col>7</xdr:col>
      <xdr:colOff>207975</xdr:colOff>
      <xdr:row>2</xdr:row>
      <xdr:rowOff>117146</xdr:rowOff>
    </xdr:to>
    <xdr:cxnSp macro="">
      <xdr:nvCxnSpPr>
        <xdr:cNvPr id="58" name="Straight Connector 57">
          <a:extLst>
            <a:ext uri="{FF2B5EF4-FFF2-40B4-BE49-F238E27FC236}">
              <a16:creationId xmlns:a16="http://schemas.microsoft.com/office/drawing/2014/main" id="{6DF62CF3-B167-4CF8-87BF-6DA43705B9E0}"/>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66248</xdr:colOff>
      <xdr:row>1</xdr:row>
      <xdr:rowOff>103586</xdr:rowOff>
    </xdr:from>
    <xdr:to>
      <xdr:col>9</xdr:col>
      <xdr:colOff>66248</xdr:colOff>
      <xdr:row>2</xdr:row>
      <xdr:rowOff>117146</xdr:rowOff>
    </xdr:to>
    <xdr:cxnSp macro="">
      <xdr:nvCxnSpPr>
        <xdr:cNvPr id="59" name="Straight Connector 58">
          <a:extLst>
            <a:ext uri="{FF2B5EF4-FFF2-40B4-BE49-F238E27FC236}">
              <a16:creationId xmlns:a16="http://schemas.microsoft.com/office/drawing/2014/main" id="{8078C07A-269D-49D8-9436-9219448DFA73}"/>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189594</xdr:colOff>
      <xdr:row>1</xdr:row>
      <xdr:rowOff>103586</xdr:rowOff>
    </xdr:from>
    <xdr:to>
      <xdr:col>10</xdr:col>
      <xdr:colOff>189594</xdr:colOff>
      <xdr:row>2</xdr:row>
      <xdr:rowOff>117146</xdr:rowOff>
    </xdr:to>
    <xdr:cxnSp macro="">
      <xdr:nvCxnSpPr>
        <xdr:cNvPr id="60" name="Straight Connector 59">
          <a:extLst>
            <a:ext uri="{FF2B5EF4-FFF2-40B4-BE49-F238E27FC236}">
              <a16:creationId xmlns:a16="http://schemas.microsoft.com/office/drawing/2014/main" id="{9256061D-ECF0-42A2-AB2E-189FCE9C0136}"/>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314621</xdr:colOff>
      <xdr:row>1</xdr:row>
      <xdr:rowOff>103586</xdr:rowOff>
    </xdr:from>
    <xdr:to>
      <xdr:col>11</xdr:col>
      <xdr:colOff>314621</xdr:colOff>
      <xdr:row>2</xdr:row>
      <xdr:rowOff>117146</xdr:rowOff>
    </xdr:to>
    <xdr:cxnSp macro="">
      <xdr:nvCxnSpPr>
        <xdr:cNvPr id="61" name="Straight Connector 60">
          <a:extLst>
            <a:ext uri="{FF2B5EF4-FFF2-40B4-BE49-F238E27FC236}">
              <a16:creationId xmlns:a16="http://schemas.microsoft.com/office/drawing/2014/main" id="{199825F1-5805-49A5-B44F-8D055BB4E6CE}"/>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438744</xdr:colOff>
      <xdr:row>1</xdr:row>
      <xdr:rowOff>103586</xdr:rowOff>
    </xdr:from>
    <xdr:to>
      <xdr:col>12</xdr:col>
      <xdr:colOff>438744</xdr:colOff>
      <xdr:row>2</xdr:row>
      <xdr:rowOff>117146</xdr:rowOff>
    </xdr:to>
    <xdr:cxnSp macro="">
      <xdr:nvCxnSpPr>
        <xdr:cNvPr id="62" name="Straight Connector 61">
          <a:extLst>
            <a:ext uri="{FF2B5EF4-FFF2-40B4-BE49-F238E27FC236}">
              <a16:creationId xmlns:a16="http://schemas.microsoft.com/office/drawing/2014/main" id="{93A18476-8DBF-42F6-8657-DC0B10A1E1DC}"/>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563221</xdr:colOff>
      <xdr:row>1</xdr:row>
      <xdr:rowOff>103586</xdr:rowOff>
    </xdr:from>
    <xdr:to>
      <xdr:col>13</xdr:col>
      <xdr:colOff>563221</xdr:colOff>
      <xdr:row>2</xdr:row>
      <xdr:rowOff>117146</xdr:rowOff>
    </xdr:to>
    <xdr:cxnSp macro="">
      <xdr:nvCxnSpPr>
        <xdr:cNvPr id="63" name="Straight Connector 62">
          <a:extLst>
            <a:ext uri="{FF2B5EF4-FFF2-40B4-BE49-F238E27FC236}">
              <a16:creationId xmlns:a16="http://schemas.microsoft.com/office/drawing/2014/main" id="{9E59116F-26F3-4C72-830B-827EFA920B33}"/>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528892</xdr:colOff>
      <xdr:row>1</xdr:row>
      <xdr:rowOff>103586</xdr:rowOff>
    </xdr:from>
    <xdr:to>
      <xdr:col>16</xdr:col>
      <xdr:colOff>528892</xdr:colOff>
      <xdr:row>2</xdr:row>
      <xdr:rowOff>117146</xdr:rowOff>
    </xdr:to>
    <xdr:cxnSp macro="">
      <xdr:nvCxnSpPr>
        <xdr:cNvPr id="64" name="Straight Connector 63">
          <a:extLst>
            <a:ext uri="{FF2B5EF4-FFF2-40B4-BE49-F238E27FC236}">
              <a16:creationId xmlns:a16="http://schemas.microsoft.com/office/drawing/2014/main" id="{C53A68F6-38CF-4A81-814F-814D619AEBD0}"/>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650974</xdr:colOff>
      <xdr:row>1</xdr:row>
      <xdr:rowOff>103586</xdr:rowOff>
    </xdr:from>
    <xdr:to>
      <xdr:col>17</xdr:col>
      <xdr:colOff>650974</xdr:colOff>
      <xdr:row>2</xdr:row>
      <xdr:rowOff>117146</xdr:rowOff>
    </xdr:to>
    <xdr:cxnSp macro="">
      <xdr:nvCxnSpPr>
        <xdr:cNvPr id="65" name="Straight Connector 64">
          <a:extLst>
            <a:ext uri="{FF2B5EF4-FFF2-40B4-BE49-F238E27FC236}">
              <a16:creationId xmlns:a16="http://schemas.microsoft.com/office/drawing/2014/main" id="{863A907D-30B0-4C5E-870E-116186F07A6B}"/>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41281</xdr:colOff>
      <xdr:row>1</xdr:row>
      <xdr:rowOff>103586</xdr:rowOff>
    </xdr:from>
    <xdr:to>
      <xdr:col>19</xdr:col>
      <xdr:colOff>41281</xdr:colOff>
      <xdr:row>2</xdr:row>
      <xdr:rowOff>117146</xdr:rowOff>
    </xdr:to>
    <xdr:cxnSp macro="">
      <xdr:nvCxnSpPr>
        <xdr:cNvPr id="66" name="Straight Connector 65">
          <a:extLst>
            <a:ext uri="{FF2B5EF4-FFF2-40B4-BE49-F238E27FC236}">
              <a16:creationId xmlns:a16="http://schemas.microsoft.com/office/drawing/2014/main" id="{09AAB225-3204-4862-ACB3-1C74EACEE8F0}"/>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15038</xdr:colOff>
      <xdr:row>1</xdr:row>
      <xdr:rowOff>103586</xdr:rowOff>
    </xdr:from>
    <xdr:to>
      <xdr:col>20</xdr:col>
      <xdr:colOff>15038</xdr:colOff>
      <xdr:row>2</xdr:row>
      <xdr:rowOff>117146</xdr:rowOff>
    </xdr:to>
    <xdr:cxnSp macro="">
      <xdr:nvCxnSpPr>
        <xdr:cNvPr id="67" name="Straight Connector 66">
          <a:extLst>
            <a:ext uri="{FF2B5EF4-FFF2-40B4-BE49-F238E27FC236}">
              <a16:creationId xmlns:a16="http://schemas.microsoft.com/office/drawing/2014/main" id="{4136DC8A-9384-4B44-A3A7-76D13B1D4183}"/>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19706</xdr:colOff>
      <xdr:row>1</xdr:row>
      <xdr:rowOff>103586</xdr:rowOff>
    </xdr:from>
    <xdr:to>
      <xdr:col>22</xdr:col>
      <xdr:colOff>19706</xdr:colOff>
      <xdr:row>2</xdr:row>
      <xdr:rowOff>117146</xdr:rowOff>
    </xdr:to>
    <xdr:cxnSp macro="">
      <xdr:nvCxnSpPr>
        <xdr:cNvPr id="68" name="Straight Connector 67">
          <a:extLst>
            <a:ext uri="{FF2B5EF4-FFF2-40B4-BE49-F238E27FC236}">
              <a16:creationId xmlns:a16="http://schemas.microsoft.com/office/drawing/2014/main" id="{A178428A-72B7-4B5A-99B2-177D5C6DFCC5}"/>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409984</xdr:colOff>
      <xdr:row>1</xdr:row>
      <xdr:rowOff>103586</xdr:rowOff>
    </xdr:from>
    <xdr:to>
      <xdr:col>15</xdr:col>
      <xdr:colOff>409984</xdr:colOff>
      <xdr:row>2</xdr:row>
      <xdr:rowOff>117146</xdr:rowOff>
    </xdr:to>
    <xdr:cxnSp macro="">
      <xdr:nvCxnSpPr>
        <xdr:cNvPr id="69" name="Straight Connector 68">
          <a:extLst>
            <a:ext uri="{FF2B5EF4-FFF2-40B4-BE49-F238E27FC236}">
              <a16:creationId xmlns:a16="http://schemas.microsoft.com/office/drawing/2014/main" id="{E016A023-4A45-44D7-BD38-DC68691D85DB}"/>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63</xdr:col>
      <xdr:colOff>1732</xdr:colOff>
      <xdr:row>4</xdr:row>
      <xdr:rowOff>0</xdr:rowOff>
    </xdr:to>
    <xdr:sp macro="" textlink="">
      <xdr:nvSpPr>
        <xdr:cNvPr id="2" name="Rectangle 1">
          <a:extLst>
            <a:ext uri="{FF2B5EF4-FFF2-40B4-BE49-F238E27FC236}">
              <a16:creationId xmlns:a16="http://schemas.microsoft.com/office/drawing/2014/main" id="{8EAC2606-C0C2-497E-A715-23ED24CC3AC5}"/>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361347</xdr:colOff>
      <xdr:row>1</xdr:row>
      <xdr:rowOff>19879</xdr:rowOff>
    </xdr:from>
    <xdr:to>
      <xdr:col>16</xdr:col>
      <xdr:colOff>577529</xdr:colOff>
      <xdr:row>3</xdr:row>
      <xdr:rowOff>10354</xdr:rowOff>
    </xdr:to>
    <xdr:sp macro="" textlink="">
      <xdr:nvSpPr>
        <xdr:cNvPr id="3" name="TextBox 2">
          <a:hlinkClick xmlns:r="http://schemas.openxmlformats.org/officeDocument/2006/relationships" r:id="rId1"/>
          <a:extLst>
            <a:ext uri="{FF2B5EF4-FFF2-40B4-BE49-F238E27FC236}">
              <a16:creationId xmlns:a16="http://schemas.microsoft.com/office/drawing/2014/main" id="{0872C436-FE21-48CA-B36B-A11125B44037}"/>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 name="Picture 3">
          <a:extLst>
            <a:ext uri="{FF2B5EF4-FFF2-40B4-BE49-F238E27FC236}">
              <a16:creationId xmlns:a16="http://schemas.microsoft.com/office/drawing/2014/main" id="{34B4F7FA-B997-4609-8FA9-E4DA75667B72}"/>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1282834</xdr:colOff>
      <xdr:row>1</xdr:row>
      <xdr:rowOff>28201</xdr:rowOff>
    </xdr:from>
    <xdr:to>
      <xdr:col>1</xdr:col>
      <xdr:colOff>1282834</xdr:colOff>
      <xdr:row>2</xdr:row>
      <xdr:rowOff>138545</xdr:rowOff>
    </xdr:to>
    <xdr:cxnSp macro="">
      <xdr:nvCxnSpPr>
        <xdr:cNvPr id="39" name="Straight Connector 38">
          <a:extLst>
            <a:ext uri="{FF2B5EF4-FFF2-40B4-BE49-F238E27FC236}">
              <a16:creationId xmlns:a16="http://schemas.microsoft.com/office/drawing/2014/main" id="{D441F765-015E-4581-B8EB-2FF0F23974AD}"/>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3786832</xdr:colOff>
      <xdr:row>1</xdr:row>
      <xdr:rowOff>19879</xdr:rowOff>
    </xdr:from>
    <xdr:to>
      <xdr:col>3</xdr:col>
      <xdr:colOff>618395</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8748FDB3-670A-46FA-90AF-730E5E7298AA}"/>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521121</xdr:colOff>
      <xdr:row>1</xdr:row>
      <xdr:rowOff>19879</xdr:rowOff>
    </xdr:from>
    <xdr:to>
      <xdr:col>5</xdr:col>
      <xdr:colOff>9972</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34961042-2226-4205-B443-E3DAAB93589D}"/>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647484</xdr:colOff>
      <xdr:row>1</xdr:row>
      <xdr:rowOff>19879</xdr:rowOff>
    </xdr:from>
    <xdr:to>
      <xdr:col>6</xdr:col>
      <xdr:colOff>130277</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5814298F-CC85-40C1-B421-18F468243104}"/>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33003</xdr:colOff>
      <xdr:row>1</xdr:row>
      <xdr:rowOff>19879</xdr:rowOff>
    </xdr:from>
    <xdr:to>
      <xdr:col>7</xdr:col>
      <xdr:colOff>256612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E903F656-3553-4D22-86C4-8631F3E23091}"/>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159338</xdr:colOff>
      <xdr:row>1</xdr:row>
      <xdr:rowOff>19879</xdr:rowOff>
    </xdr:from>
    <xdr:to>
      <xdr:col>9</xdr:col>
      <xdr:colOff>114885</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C9F92C18-FDC6-42E9-B18E-17C2F1212D1A}"/>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17611</xdr:colOff>
      <xdr:row>1</xdr:row>
      <xdr:rowOff>19879</xdr:rowOff>
    </xdr:from>
    <xdr:to>
      <xdr:col>10</xdr:col>
      <xdr:colOff>238231</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201AE1B9-D528-4521-8483-574B5F2DB6F9}"/>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142638</xdr:colOff>
      <xdr:row>1</xdr:row>
      <xdr:rowOff>19879</xdr:rowOff>
    </xdr:from>
    <xdr:to>
      <xdr:col>11</xdr:col>
      <xdr:colOff>361577</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8EED5DFC-76D0-4741-AE6E-F473ABD5B69D}"/>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265984</xdr:colOff>
      <xdr:row>1</xdr:row>
      <xdr:rowOff>19879</xdr:rowOff>
    </xdr:from>
    <xdr:to>
      <xdr:col>12</xdr:col>
      <xdr:colOff>487381</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9D90285C-EB04-44F9-ADD0-BE5988EAC347}"/>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390107</xdr:colOff>
      <xdr:row>1</xdr:row>
      <xdr:rowOff>19879</xdr:rowOff>
    </xdr:from>
    <xdr:to>
      <xdr:col>13</xdr:col>
      <xdr:colOff>611858</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5B86942F-12E7-4247-ACE7-78FB84B0DD57}"/>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514584</xdr:colOff>
      <xdr:row>1</xdr:row>
      <xdr:rowOff>19879</xdr:rowOff>
    </xdr:from>
    <xdr:to>
      <xdr:col>15</xdr:col>
      <xdr:colOff>458621</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5D2E482F-82FF-4118-AB32-65CD6059A711}"/>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480255</xdr:colOff>
      <xdr:row>1</xdr:row>
      <xdr:rowOff>19879</xdr:rowOff>
    </xdr:from>
    <xdr:to>
      <xdr:col>17</xdr:col>
      <xdr:colOff>699611</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6A9F3FBF-9B64-4880-98BA-BF771C0F1D3C}"/>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602337</xdr:colOff>
      <xdr:row>1</xdr:row>
      <xdr:rowOff>19879</xdr:rowOff>
    </xdr:from>
    <xdr:to>
      <xdr:col>19</xdr:col>
      <xdr:colOff>89918</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7E3A4EDF-8C3C-4EDA-ACC1-8B6A5ABC1C2C}"/>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18</xdr:col>
      <xdr:colOff>727430</xdr:colOff>
      <xdr:row>1</xdr:row>
      <xdr:rowOff>19879</xdr:rowOff>
    </xdr:from>
    <xdr:to>
      <xdr:col>20</xdr:col>
      <xdr:colOff>63675</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CB3A954F-781C-46DE-A05E-0FAF59BCFF6D}"/>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CF</a:t>
          </a:r>
        </a:p>
      </xdr:txBody>
    </xdr:sp>
    <xdr:clientData/>
  </xdr:twoCellAnchor>
  <xdr:twoCellAnchor>
    <xdr:from>
      <xdr:col>19</xdr:col>
      <xdr:colOff>850865</xdr:colOff>
      <xdr:row>1</xdr:row>
      <xdr:rowOff>19879</xdr:rowOff>
    </xdr:from>
    <xdr:to>
      <xdr:col>22</xdr:col>
      <xdr:colOff>68343</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73C2DC9A-0314-4D64-A362-8A97626EFEE3}"/>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705866</xdr:colOff>
      <xdr:row>1</xdr:row>
      <xdr:rowOff>19879</xdr:rowOff>
    </xdr:from>
    <xdr:to>
      <xdr:col>23</xdr:col>
      <xdr:colOff>193059</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489E87B7-F477-4B23-916E-2EDB87BAECE5}"/>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81640</xdr:colOff>
      <xdr:row>1</xdr:row>
      <xdr:rowOff>103586</xdr:rowOff>
    </xdr:from>
    <xdr:to>
      <xdr:col>6</xdr:col>
      <xdr:colOff>81640</xdr:colOff>
      <xdr:row>2</xdr:row>
      <xdr:rowOff>117146</xdr:rowOff>
    </xdr:to>
    <xdr:cxnSp macro="">
      <xdr:nvCxnSpPr>
        <xdr:cNvPr id="55" name="Straight Connector 54">
          <a:extLst>
            <a:ext uri="{FF2B5EF4-FFF2-40B4-BE49-F238E27FC236}">
              <a16:creationId xmlns:a16="http://schemas.microsoft.com/office/drawing/2014/main" id="{0B595BC7-6D7E-487F-B48E-DD228A7540AC}"/>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696121</xdr:colOff>
      <xdr:row>1</xdr:row>
      <xdr:rowOff>103586</xdr:rowOff>
    </xdr:from>
    <xdr:to>
      <xdr:col>4</xdr:col>
      <xdr:colOff>696121</xdr:colOff>
      <xdr:row>2</xdr:row>
      <xdr:rowOff>117146</xdr:rowOff>
    </xdr:to>
    <xdr:cxnSp macro="">
      <xdr:nvCxnSpPr>
        <xdr:cNvPr id="56" name="Straight Connector 55">
          <a:extLst>
            <a:ext uri="{FF2B5EF4-FFF2-40B4-BE49-F238E27FC236}">
              <a16:creationId xmlns:a16="http://schemas.microsoft.com/office/drawing/2014/main" id="{F4231307-8765-40DA-B8BC-06ADAAA73966}"/>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569758</xdr:colOff>
      <xdr:row>1</xdr:row>
      <xdr:rowOff>103586</xdr:rowOff>
    </xdr:from>
    <xdr:to>
      <xdr:col>3</xdr:col>
      <xdr:colOff>569758</xdr:colOff>
      <xdr:row>2</xdr:row>
      <xdr:rowOff>117146</xdr:rowOff>
    </xdr:to>
    <xdr:cxnSp macro="">
      <xdr:nvCxnSpPr>
        <xdr:cNvPr id="57" name="Straight Connector 56">
          <a:extLst>
            <a:ext uri="{FF2B5EF4-FFF2-40B4-BE49-F238E27FC236}">
              <a16:creationId xmlns:a16="http://schemas.microsoft.com/office/drawing/2014/main" id="{80BD65C5-7418-4551-9DDD-15CD9F9C90CB}"/>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207975</xdr:colOff>
      <xdr:row>1</xdr:row>
      <xdr:rowOff>103586</xdr:rowOff>
    </xdr:from>
    <xdr:to>
      <xdr:col>7</xdr:col>
      <xdr:colOff>207975</xdr:colOff>
      <xdr:row>2</xdr:row>
      <xdr:rowOff>117146</xdr:rowOff>
    </xdr:to>
    <xdr:cxnSp macro="">
      <xdr:nvCxnSpPr>
        <xdr:cNvPr id="58" name="Straight Connector 57">
          <a:extLst>
            <a:ext uri="{FF2B5EF4-FFF2-40B4-BE49-F238E27FC236}">
              <a16:creationId xmlns:a16="http://schemas.microsoft.com/office/drawing/2014/main" id="{40DC60D3-5B9D-43FF-A8C9-D33D52BB59D0}"/>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66248</xdr:colOff>
      <xdr:row>1</xdr:row>
      <xdr:rowOff>103586</xdr:rowOff>
    </xdr:from>
    <xdr:to>
      <xdr:col>9</xdr:col>
      <xdr:colOff>66248</xdr:colOff>
      <xdr:row>2</xdr:row>
      <xdr:rowOff>117146</xdr:rowOff>
    </xdr:to>
    <xdr:cxnSp macro="">
      <xdr:nvCxnSpPr>
        <xdr:cNvPr id="59" name="Straight Connector 58">
          <a:extLst>
            <a:ext uri="{FF2B5EF4-FFF2-40B4-BE49-F238E27FC236}">
              <a16:creationId xmlns:a16="http://schemas.microsoft.com/office/drawing/2014/main" id="{D8C6375C-F869-4486-BBE8-5FB51E264736}"/>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189594</xdr:colOff>
      <xdr:row>1</xdr:row>
      <xdr:rowOff>103586</xdr:rowOff>
    </xdr:from>
    <xdr:to>
      <xdr:col>10</xdr:col>
      <xdr:colOff>189594</xdr:colOff>
      <xdr:row>2</xdr:row>
      <xdr:rowOff>117146</xdr:rowOff>
    </xdr:to>
    <xdr:cxnSp macro="">
      <xdr:nvCxnSpPr>
        <xdr:cNvPr id="60" name="Straight Connector 59">
          <a:extLst>
            <a:ext uri="{FF2B5EF4-FFF2-40B4-BE49-F238E27FC236}">
              <a16:creationId xmlns:a16="http://schemas.microsoft.com/office/drawing/2014/main" id="{E79765E9-6069-4F02-9124-ADC2CBD56771}"/>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314621</xdr:colOff>
      <xdr:row>1</xdr:row>
      <xdr:rowOff>103586</xdr:rowOff>
    </xdr:from>
    <xdr:to>
      <xdr:col>11</xdr:col>
      <xdr:colOff>314621</xdr:colOff>
      <xdr:row>2</xdr:row>
      <xdr:rowOff>117146</xdr:rowOff>
    </xdr:to>
    <xdr:cxnSp macro="">
      <xdr:nvCxnSpPr>
        <xdr:cNvPr id="61" name="Straight Connector 60">
          <a:extLst>
            <a:ext uri="{FF2B5EF4-FFF2-40B4-BE49-F238E27FC236}">
              <a16:creationId xmlns:a16="http://schemas.microsoft.com/office/drawing/2014/main" id="{BAA2D6D1-1F08-466A-8150-E50D91BED24D}"/>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438744</xdr:colOff>
      <xdr:row>1</xdr:row>
      <xdr:rowOff>103586</xdr:rowOff>
    </xdr:from>
    <xdr:to>
      <xdr:col>12</xdr:col>
      <xdr:colOff>438744</xdr:colOff>
      <xdr:row>2</xdr:row>
      <xdr:rowOff>117146</xdr:rowOff>
    </xdr:to>
    <xdr:cxnSp macro="">
      <xdr:nvCxnSpPr>
        <xdr:cNvPr id="62" name="Straight Connector 61">
          <a:extLst>
            <a:ext uri="{FF2B5EF4-FFF2-40B4-BE49-F238E27FC236}">
              <a16:creationId xmlns:a16="http://schemas.microsoft.com/office/drawing/2014/main" id="{76E5C163-2418-437F-8FF9-5E8E08664A58}"/>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563221</xdr:colOff>
      <xdr:row>1</xdr:row>
      <xdr:rowOff>103586</xdr:rowOff>
    </xdr:from>
    <xdr:to>
      <xdr:col>13</xdr:col>
      <xdr:colOff>563221</xdr:colOff>
      <xdr:row>2</xdr:row>
      <xdr:rowOff>117146</xdr:rowOff>
    </xdr:to>
    <xdr:cxnSp macro="">
      <xdr:nvCxnSpPr>
        <xdr:cNvPr id="63" name="Straight Connector 62">
          <a:extLst>
            <a:ext uri="{FF2B5EF4-FFF2-40B4-BE49-F238E27FC236}">
              <a16:creationId xmlns:a16="http://schemas.microsoft.com/office/drawing/2014/main" id="{495EC85A-8A41-4823-82E6-312E23978A1F}"/>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528892</xdr:colOff>
      <xdr:row>1</xdr:row>
      <xdr:rowOff>103586</xdr:rowOff>
    </xdr:from>
    <xdr:to>
      <xdr:col>16</xdr:col>
      <xdr:colOff>528892</xdr:colOff>
      <xdr:row>2</xdr:row>
      <xdr:rowOff>117146</xdr:rowOff>
    </xdr:to>
    <xdr:cxnSp macro="">
      <xdr:nvCxnSpPr>
        <xdr:cNvPr id="64" name="Straight Connector 63">
          <a:extLst>
            <a:ext uri="{FF2B5EF4-FFF2-40B4-BE49-F238E27FC236}">
              <a16:creationId xmlns:a16="http://schemas.microsoft.com/office/drawing/2014/main" id="{0E892B0E-2B9B-4DDD-A589-5B4762F65B5D}"/>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650974</xdr:colOff>
      <xdr:row>1</xdr:row>
      <xdr:rowOff>103586</xdr:rowOff>
    </xdr:from>
    <xdr:to>
      <xdr:col>17</xdr:col>
      <xdr:colOff>650974</xdr:colOff>
      <xdr:row>2</xdr:row>
      <xdr:rowOff>117146</xdr:rowOff>
    </xdr:to>
    <xdr:cxnSp macro="">
      <xdr:nvCxnSpPr>
        <xdr:cNvPr id="65" name="Straight Connector 64">
          <a:extLst>
            <a:ext uri="{FF2B5EF4-FFF2-40B4-BE49-F238E27FC236}">
              <a16:creationId xmlns:a16="http://schemas.microsoft.com/office/drawing/2014/main" id="{14C39EA0-CC20-4C99-BAF0-7C7E5B63B9C3}"/>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41281</xdr:colOff>
      <xdr:row>1</xdr:row>
      <xdr:rowOff>103586</xdr:rowOff>
    </xdr:from>
    <xdr:to>
      <xdr:col>19</xdr:col>
      <xdr:colOff>41281</xdr:colOff>
      <xdr:row>2</xdr:row>
      <xdr:rowOff>117146</xdr:rowOff>
    </xdr:to>
    <xdr:cxnSp macro="">
      <xdr:nvCxnSpPr>
        <xdr:cNvPr id="66" name="Straight Connector 65">
          <a:extLst>
            <a:ext uri="{FF2B5EF4-FFF2-40B4-BE49-F238E27FC236}">
              <a16:creationId xmlns:a16="http://schemas.microsoft.com/office/drawing/2014/main" id="{42EBCD54-7E84-465C-B5E7-F5AAC5FDDDBE}"/>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15038</xdr:colOff>
      <xdr:row>1</xdr:row>
      <xdr:rowOff>103586</xdr:rowOff>
    </xdr:from>
    <xdr:to>
      <xdr:col>20</xdr:col>
      <xdr:colOff>15038</xdr:colOff>
      <xdr:row>2</xdr:row>
      <xdr:rowOff>117146</xdr:rowOff>
    </xdr:to>
    <xdr:cxnSp macro="">
      <xdr:nvCxnSpPr>
        <xdr:cNvPr id="67" name="Straight Connector 66">
          <a:extLst>
            <a:ext uri="{FF2B5EF4-FFF2-40B4-BE49-F238E27FC236}">
              <a16:creationId xmlns:a16="http://schemas.microsoft.com/office/drawing/2014/main" id="{335B30A3-697A-4A1E-B76C-ECD8101A1431}"/>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19706</xdr:colOff>
      <xdr:row>1</xdr:row>
      <xdr:rowOff>103586</xdr:rowOff>
    </xdr:from>
    <xdr:to>
      <xdr:col>22</xdr:col>
      <xdr:colOff>19706</xdr:colOff>
      <xdr:row>2</xdr:row>
      <xdr:rowOff>117146</xdr:rowOff>
    </xdr:to>
    <xdr:cxnSp macro="">
      <xdr:nvCxnSpPr>
        <xdr:cNvPr id="68" name="Straight Connector 67">
          <a:extLst>
            <a:ext uri="{FF2B5EF4-FFF2-40B4-BE49-F238E27FC236}">
              <a16:creationId xmlns:a16="http://schemas.microsoft.com/office/drawing/2014/main" id="{83013B23-C7B7-4B25-AB09-1436E01F1BFD}"/>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409984</xdr:colOff>
      <xdr:row>1</xdr:row>
      <xdr:rowOff>103586</xdr:rowOff>
    </xdr:from>
    <xdr:to>
      <xdr:col>15</xdr:col>
      <xdr:colOff>409984</xdr:colOff>
      <xdr:row>2</xdr:row>
      <xdr:rowOff>117146</xdr:rowOff>
    </xdr:to>
    <xdr:cxnSp macro="">
      <xdr:nvCxnSpPr>
        <xdr:cNvPr id="69" name="Straight Connector 68">
          <a:extLst>
            <a:ext uri="{FF2B5EF4-FFF2-40B4-BE49-F238E27FC236}">
              <a16:creationId xmlns:a16="http://schemas.microsoft.com/office/drawing/2014/main" id="{DA612801-D5D5-4866-827C-9B4F706573E2}"/>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62</xdr:col>
      <xdr:colOff>646711</xdr:colOff>
      <xdr:row>4</xdr:row>
      <xdr:rowOff>0</xdr:rowOff>
    </xdr:to>
    <xdr:sp macro="" textlink="">
      <xdr:nvSpPr>
        <xdr:cNvPr id="2" name="Rectangle 1">
          <a:extLst>
            <a:ext uri="{FF2B5EF4-FFF2-40B4-BE49-F238E27FC236}">
              <a16:creationId xmlns:a16="http://schemas.microsoft.com/office/drawing/2014/main" id="{E1C9947F-F394-4AF7-921D-36742362EF6E}"/>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380397</xdr:colOff>
      <xdr:row>1</xdr:row>
      <xdr:rowOff>19879</xdr:rowOff>
    </xdr:from>
    <xdr:to>
      <xdr:col>16</xdr:col>
      <xdr:colOff>597940</xdr:colOff>
      <xdr:row>3</xdr:row>
      <xdr:rowOff>10354</xdr:rowOff>
    </xdr:to>
    <xdr:sp macro="" textlink="">
      <xdr:nvSpPr>
        <xdr:cNvPr id="3" name="TextBox 2">
          <a:hlinkClick xmlns:r="http://schemas.openxmlformats.org/officeDocument/2006/relationships" r:id="rId1"/>
          <a:extLst>
            <a:ext uri="{FF2B5EF4-FFF2-40B4-BE49-F238E27FC236}">
              <a16:creationId xmlns:a16="http://schemas.microsoft.com/office/drawing/2014/main" id="{8318BBB9-2ABA-42A0-97F4-2DA4655210AD}"/>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 name="Picture 3">
          <a:extLst>
            <a:ext uri="{FF2B5EF4-FFF2-40B4-BE49-F238E27FC236}">
              <a16:creationId xmlns:a16="http://schemas.microsoft.com/office/drawing/2014/main" id="{38CAF285-4CE8-430A-92A4-407037A4027E}"/>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39" name="Straight Connector 38">
          <a:extLst>
            <a:ext uri="{FF2B5EF4-FFF2-40B4-BE49-F238E27FC236}">
              <a16:creationId xmlns:a16="http://schemas.microsoft.com/office/drawing/2014/main" id="{30A0E70F-5A05-42AE-9D7F-5B17CEE8C542}"/>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3792275</xdr:colOff>
      <xdr:row>1</xdr:row>
      <xdr:rowOff>19879</xdr:rowOff>
    </xdr:from>
    <xdr:to>
      <xdr:col>3</xdr:col>
      <xdr:colOff>632002</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3E60C308-B1CB-4F3A-B247-FC7F7CCB4B4E}"/>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534728</xdr:colOff>
      <xdr:row>1</xdr:row>
      <xdr:rowOff>19879</xdr:rowOff>
    </xdr:from>
    <xdr:to>
      <xdr:col>5</xdr:col>
      <xdr:colOff>26301</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7DDBCB69-7E11-4DB8-8AE6-A199C826606A}"/>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662452</xdr:colOff>
      <xdr:row>1</xdr:row>
      <xdr:rowOff>19879</xdr:rowOff>
    </xdr:from>
    <xdr:to>
      <xdr:col>6</xdr:col>
      <xdr:colOff>147966</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1D42B26A-7FF3-4669-A319-0F7544F9DB4C}"/>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50692</xdr:colOff>
      <xdr:row>1</xdr:row>
      <xdr:rowOff>19879</xdr:rowOff>
    </xdr:from>
    <xdr:to>
      <xdr:col>7</xdr:col>
      <xdr:colOff>275662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1F869B43-1693-44E8-8A19-3D5A9D14B62A}"/>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178388</xdr:colOff>
      <xdr:row>1</xdr:row>
      <xdr:rowOff>19879</xdr:rowOff>
    </xdr:from>
    <xdr:to>
      <xdr:col>9</xdr:col>
      <xdr:colOff>131214</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93194E40-6FC6-475C-A2E2-25BF58699338}"/>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33940</xdr:colOff>
      <xdr:row>1</xdr:row>
      <xdr:rowOff>19879</xdr:rowOff>
    </xdr:from>
    <xdr:to>
      <xdr:col>10</xdr:col>
      <xdr:colOff>255920</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62B0565C-CAD8-411D-976E-BC0F1ABDF760}"/>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160327</xdr:colOff>
      <xdr:row>1</xdr:row>
      <xdr:rowOff>19879</xdr:rowOff>
    </xdr:from>
    <xdr:to>
      <xdr:col>11</xdr:col>
      <xdr:colOff>380627</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78B235BA-74AD-4E08-B5D9-E804F021FA20}"/>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285034</xdr:colOff>
      <xdr:row>1</xdr:row>
      <xdr:rowOff>19879</xdr:rowOff>
    </xdr:from>
    <xdr:to>
      <xdr:col>12</xdr:col>
      <xdr:colOff>507792</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3D652B5F-A72B-4094-A3A3-738A003EB0FF}"/>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410518</xdr:colOff>
      <xdr:row>1</xdr:row>
      <xdr:rowOff>19879</xdr:rowOff>
    </xdr:from>
    <xdr:to>
      <xdr:col>13</xdr:col>
      <xdr:colOff>633629</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B34FEDB6-4CA5-441E-A5B9-B0A049D6F518}"/>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536355</xdr:colOff>
      <xdr:row>1</xdr:row>
      <xdr:rowOff>19879</xdr:rowOff>
    </xdr:from>
    <xdr:to>
      <xdr:col>15</xdr:col>
      <xdr:colOff>477671</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AB80B540-DB95-4AAF-ACB0-ABA272E398BB}"/>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500666</xdr:colOff>
      <xdr:row>1</xdr:row>
      <xdr:rowOff>19879</xdr:rowOff>
    </xdr:from>
    <xdr:to>
      <xdr:col>17</xdr:col>
      <xdr:colOff>721382</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F19AAFDF-C056-44A7-8A04-A34B0C133950}"/>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624108</xdr:colOff>
      <xdr:row>1</xdr:row>
      <xdr:rowOff>19879</xdr:rowOff>
    </xdr:from>
    <xdr:to>
      <xdr:col>19</xdr:col>
      <xdr:colOff>114411</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DF35B489-5A58-4FDE-A7D3-7703A4ECE435}"/>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19</xdr:col>
      <xdr:colOff>17137</xdr:colOff>
      <xdr:row>1</xdr:row>
      <xdr:rowOff>19879</xdr:rowOff>
    </xdr:from>
    <xdr:to>
      <xdr:col>20</xdr:col>
      <xdr:colOff>86807</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36E2A83A-BDFE-4800-9BA5-1B2B7A15868E}"/>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19</xdr:col>
      <xdr:colOff>875358</xdr:colOff>
      <xdr:row>1</xdr:row>
      <xdr:rowOff>19879</xdr:rowOff>
    </xdr:from>
    <xdr:to>
      <xdr:col>22</xdr:col>
      <xdr:colOff>91475</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34408FD4-D917-4B66-9AE0-519E07F3BB58}"/>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Error</a:t>
          </a:r>
        </a:p>
      </xdr:txBody>
    </xdr:sp>
    <xdr:clientData/>
  </xdr:twoCellAnchor>
  <xdr:twoCellAnchor>
    <xdr:from>
      <xdr:col>21</xdr:col>
      <xdr:colOff>727637</xdr:colOff>
      <xdr:row>1</xdr:row>
      <xdr:rowOff>19879</xdr:rowOff>
    </xdr:from>
    <xdr:to>
      <xdr:col>23</xdr:col>
      <xdr:colOff>217552</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7081A1CB-B9BD-4F04-A38D-F435B1BBF654}"/>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99329</xdr:colOff>
      <xdr:row>1</xdr:row>
      <xdr:rowOff>103586</xdr:rowOff>
    </xdr:from>
    <xdr:to>
      <xdr:col>6</xdr:col>
      <xdr:colOff>99329</xdr:colOff>
      <xdr:row>2</xdr:row>
      <xdr:rowOff>117146</xdr:rowOff>
    </xdr:to>
    <xdr:cxnSp macro="">
      <xdr:nvCxnSpPr>
        <xdr:cNvPr id="55" name="Straight Connector 54">
          <a:extLst>
            <a:ext uri="{FF2B5EF4-FFF2-40B4-BE49-F238E27FC236}">
              <a16:creationId xmlns:a16="http://schemas.microsoft.com/office/drawing/2014/main" id="{B2C964CE-13FD-446A-8B57-18F17B645CC2}"/>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711089</xdr:colOff>
      <xdr:row>1</xdr:row>
      <xdr:rowOff>103586</xdr:rowOff>
    </xdr:from>
    <xdr:to>
      <xdr:col>4</xdr:col>
      <xdr:colOff>711089</xdr:colOff>
      <xdr:row>2</xdr:row>
      <xdr:rowOff>117146</xdr:rowOff>
    </xdr:to>
    <xdr:cxnSp macro="">
      <xdr:nvCxnSpPr>
        <xdr:cNvPr id="56" name="Straight Connector 55">
          <a:extLst>
            <a:ext uri="{FF2B5EF4-FFF2-40B4-BE49-F238E27FC236}">
              <a16:creationId xmlns:a16="http://schemas.microsoft.com/office/drawing/2014/main" id="{162DA624-A803-4147-A619-763D9168390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583365</xdr:colOff>
      <xdr:row>1</xdr:row>
      <xdr:rowOff>103586</xdr:rowOff>
    </xdr:from>
    <xdr:to>
      <xdr:col>3</xdr:col>
      <xdr:colOff>583365</xdr:colOff>
      <xdr:row>2</xdr:row>
      <xdr:rowOff>117146</xdr:rowOff>
    </xdr:to>
    <xdr:cxnSp macro="">
      <xdr:nvCxnSpPr>
        <xdr:cNvPr id="57" name="Straight Connector 56">
          <a:extLst>
            <a:ext uri="{FF2B5EF4-FFF2-40B4-BE49-F238E27FC236}">
              <a16:creationId xmlns:a16="http://schemas.microsoft.com/office/drawing/2014/main" id="{3DEC9F3F-DA3C-4A2A-9642-7B384794B6C5}"/>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227025</xdr:colOff>
      <xdr:row>1</xdr:row>
      <xdr:rowOff>103586</xdr:rowOff>
    </xdr:from>
    <xdr:to>
      <xdr:col>7</xdr:col>
      <xdr:colOff>227025</xdr:colOff>
      <xdr:row>2</xdr:row>
      <xdr:rowOff>117146</xdr:rowOff>
    </xdr:to>
    <xdr:cxnSp macro="">
      <xdr:nvCxnSpPr>
        <xdr:cNvPr id="58" name="Straight Connector 57">
          <a:extLst>
            <a:ext uri="{FF2B5EF4-FFF2-40B4-BE49-F238E27FC236}">
              <a16:creationId xmlns:a16="http://schemas.microsoft.com/office/drawing/2014/main" id="{A49099B9-B95E-421D-905E-3436F6C3CC83}"/>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82577</xdr:colOff>
      <xdr:row>1</xdr:row>
      <xdr:rowOff>103586</xdr:rowOff>
    </xdr:from>
    <xdr:to>
      <xdr:col>9</xdr:col>
      <xdr:colOff>82577</xdr:colOff>
      <xdr:row>2</xdr:row>
      <xdr:rowOff>117146</xdr:rowOff>
    </xdr:to>
    <xdr:cxnSp macro="">
      <xdr:nvCxnSpPr>
        <xdr:cNvPr id="59" name="Straight Connector 58">
          <a:extLst>
            <a:ext uri="{FF2B5EF4-FFF2-40B4-BE49-F238E27FC236}">
              <a16:creationId xmlns:a16="http://schemas.microsoft.com/office/drawing/2014/main" id="{CD201D65-CCF0-4C78-BE4A-3589A9FB39D3}"/>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207283</xdr:colOff>
      <xdr:row>1</xdr:row>
      <xdr:rowOff>103586</xdr:rowOff>
    </xdr:from>
    <xdr:to>
      <xdr:col>10</xdr:col>
      <xdr:colOff>207283</xdr:colOff>
      <xdr:row>2</xdr:row>
      <xdr:rowOff>117146</xdr:rowOff>
    </xdr:to>
    <xdr:cxnSp macro="">
      <xdr:nvCxnSpPr>
        <xdr:cNvPr id="60" name="Straight Connector 59">
          <a:extLst>
            <a:ext uri="{FF2B5EF4-FFF2-40B4-BE49-F238E27FC236}">
              <a16:creationId xmlns:a16="http://schemas.microsoft.com/office/drawing/2014/main" id="{DC020F3D-69B9-48BC-A5B6-41CECEAD17E4}"/>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333671</xdr:colOff>
      <xdr:row>1</xdr:row>
      <xdr:rowOff>103586</xdr:rowOff>
    </xdr:from>
    <xdr:to>
      <xdr:col>11</xdr:col>
      <xdr:colOff>333671</xdr:colOff>
      <xdr:row>2</xdr:row>
      <xdr:rowOff>117146</xdr:rowOff>
    </xdr:to>
    <xdr:cxnSp macro="">
      <xdr:nvCxnSpPr>
        <xdr:cNvPr id="61" name="Straight Connector 60">
          <a:extLst>
            <a:ext uri="{FF2B5EF4-FFF2-40B4-BE49-F238E27FC236}">
              <a16:creationId xmlns:a16="http://schemas.microsoft.com/office/drawing/2014/main" id="{B189BAB2-746F-4586-AD83-D9DDE8FA5EE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459155</xdr:colOff>
      <xdr:row>1</xdr:row>
      <xdr:rowOff>103586</xdr:rowOff>
    </xdr:from>
    <xdr:to>
      <xdr:col>12</xdr:col>
      <xdr:colOff>459155</xdr:colOff>
      <xdr:row>2</xdr:row>
      <xdr:rowOff>117146</xdr:rowOff>
    </xdr:to>
    <xdr:cxnSp macro="">
      <xdr:nvCxnSpPr>
        <xdr:cNvPr id="62" name="Straight Connector 61">
          <a:extLst>
            <a:ext uri="{FF2B5EF4-FFF2-40B4-BE49-F238E27FC236}">
              <a16:creationId xmlns:a16="http://schemas.microsoft.com/office/drawing/2014/main" id="{8DCB3351-D591-4D5E-9CD1-59AFBF3BC64A}"/>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584992</xdr:colOff>
      <xdr:row>1</xdr:row>
      <xdr:rowOff>103586</xdr:rowOff>
    </xdr:from>
    <xdr:to>
      <xdr:col>13</xdr:col>
      <xdr:colOff>584992</xdr:colOff>
      <xdr:row>2</xdr:row>
      <xdr:rowOff>117146</xdr:rowOff>
    </xdr:to>
    <xdr:cxnSp macro="">
      <xdr:nvCxnSpPr>
        <xdr:cNvPr id="63" name="Straight Connector 62">
          <a:extLst>
            <a:ext uri="{FF2B5EF4-FFF2-40B4-BE49-F238E27FC236}">
              <a16:creationId xmlns:a16="http://schemas.microsoft.com/office/drawing/2014/main" id="{EF9BE06C-BB4C-4A6B-8823-F48D170FF35D}"/>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549303</xdr:colOff>
      <xdr:row>1</xdr:row>
      <xdr:rowOff>103586</xdr:rowOff>
    </xdr:from>
    <xdr:to>
      <xdr:col>16</xdr:col>
      <xdr:colOff>549303</xdr:colOff>
      <xdr:row>2</xdr:row>
      <xdr:rowOff>117146</xdr:rowOff>
    </xdr:to>
    <xdr:cxnSp macro="">
      <xdr:nvCxnSpPr>
        <xdr:cNvPr id="64" name="Straight Connector 63">
          <a:extLst>
            <a:ext uri="{FF2B5EF4-FFF2-40B4-BE49-F238E27FC236}">
              <a16:creationId xmlns:a16="http://schemas.microsoft.com/office/drawing/2014/main" id="{ECDB7F55-0680-4DE6-A6B1-8C08FF35229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672745</xdr:colOff>
      <xdr:row>1</xdr:row>
      <xdr:rowOff>103586</xdr:rowOff>
    </xdr:from>
    <xdr:to>
      <xdr:col>17</xdr:col>
      <xdr:colOff>672745</xdr:colOff>
      <xdr:row>2</xdr:row>
      <xdr:rowOff>117146</xdr:rowOff>
    </xdr:to>
    <xdr:cxnSp macro="">
      <xdr:nvCxnSpPr>
        <xdr:cNvPr id="65" name="Straight Connector 64">
          <a:extLst>
            <a:ext uri="{FF2B5EF4-FFF2-40B4-BE49-F238E27FC236}">
              <a16:creationId xmlns:a16="http://schemas.microsoft.com/office/drawing/2014/main" id="{3BEA882C-E3ED-4675-AC5F-6BE5F0B1B8B1}"/>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65774</xdr:colOff>
      <xdr:row>1</xdr:row>
      <xdr:rowOff>103586</xdr:rowOff>
    </xdr:from>
    <xdr:to>
      <xdr:col>19</xdr:col>
      <xdr:colOff>65774</xdr:colOff>
      <xdr:row>2</xdr:row>
      <xdr:rowOff>117146</xdr:rowOff>
    </xdr:to>
    <xdr:cxnSp macro="">
      <xdr:nvCxnSpPr>
        <xdr:cNvPr id="66" name="Straight Connector 65">
          <a:extLst>
            <a:ext uri="{FF2B5EF4-FFF2-40B4-BE49-F238E27FC236}">
              <a16:creationId xmlns:a16="http://schemas.microsoft.com/office/drawing/2014/main" id="{BDB68D7E-6B22-404A-858C-B4231AF22732}"/>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38170</xdr:colOff>
      <xdr:row>1</xdr:row>
      <xdr:rowOff>103586</xdr:rowOff>
    </xdr:from>
    <xdr:to>
      <xdr:col>20</xdr:col>
      <xdr:colOff>38170</xdr:colOff>
      <xdr:row>2</xdr:row>
      <xdr:rowOff>117146</xdr:rowOff>
    </xdr:to>
    <xdr:cxnSp macro="">
      <xdr:nvCxnSpPr>
        <xdr:cNvPr id="67" name="Straight Connector 66">
          <a:extLst>
            <a:ext uri="{FF2B5EF4-FFF2-40B4-BE49-F238E27FC236}">
              <a16:creationId xmlns:a16="http://schemas.microsoft.com/office/drawing/2014/main" id="{210FBF48-1254-4D37-B168-B739382B949F}"/>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42838</xdr:colOff>
      <xdr:row>1</xdr:row>
      <xdr:rowOff>103586</xdr:rowOff>
    </xdr:from>
    <xdr:to>
      <xdr:col>22</xdr:col>
      <xdr:colOff>42838</xdr:colOff>
      <xdr:row>2</xdr:row>
      <xdr:rowOff>117146</xdr:rowOff>
    </xdr:to>
    <xdr:cxnSp macro="">
      <xdr:nvCxnSpPr>
        <xdr:cNvPr id="68" name="Straight Connector 67">
          <a:extLst>
            <a:ext uri="{FF2B5EF4-FFF2-40B4-BE49-F238E27FC236}">
              <a16:creationId xmlns:a16="http://schemas.microsoft.com/office/drawing/2014/main" id="{43960165-9582-4219-B1BA-D0D12B1E9972}"/>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429034</xdr:colOff>
      <xdr:row>1</xdr:row>
      <xdr:rowOff>103586</xdr:rowOff>
    </xdr:from>
    <xdr:to>
      <xdr:col>15</xdr:col>
      <xdr:colOff>429034</xdr:colOff>
      <xdr:row>2</xdr:row>
      <xdr:rowOff>117146</xdr:rowOff>
    </xdr:to>
    <xdr:cxnSp macro="">
      <xdr:nvCxnSpPr>
        <xdr:cNvPr id="69" name="Straight Connector 68">
          <a:extLst>
            <a:ext uri="{FF2B5EF4-FFF2-40B4-BE49-F238E27FC236}">
              <a16:creationId xmlns:a16="http://schemas.microsoft.com/office/drawing/2014/main" id="{A71C8ECE-4E92-4B3F-9CEC-C15D1074BCDB}"/>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19052</xdr:colOff>
      <xdr:row>31</xdr:row>
      <xdr:rowOff>95251</xdr:rowOff>
    </xdr:from>
    <xdr:to>
      <xdr:col>9</xdr:col>
      <xdr:colOff>571501</xdr:colOff>
      <xdr:row>54</xdr:row>
      <xdr:rowOff>17318</xdr:rowOff>
    </xdr:to>
    <xdr:graphicFrame macro="">
      <xdr:nvGraphicFramePr>
        <xdr:cNvPr id="5" name="Chart 4">
          <a:extLst>
            <a:ext uri="{FF2B5EF4-FFF2-40B4-BE49-F238E27FC236}">
              <a16:creationId xmlns:a16="http://schemas.microsoft.com/office/drawing/2014/main" id="{00000000-0008-0000-0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573727</xdr:colOff>
      <xdr:row>31</xdr:row>
      <xdr:rowOff>55914</xdr:rowOff>
    </xdr:from>
    <xdr:to>
      <xdr:col>20</xdr:col>
      <xdr:colOff>612321</xdr:colOff>
      <xdr:row>55</xdr:row>
      <xdr:rowOff>0</xdr:rowOff>
    </xdr:to>
    <xdr:graphicFrame macro="">
      <xdr:nvGraphicFramePr>
        <xdr:cNvPr id="6" name="Chart 5">
          <a:extLst>
            <a:ext uri="{FF2B5EF4-FFF2-40B4-BE49-F238E27FC236}">
              <a16:creationId xmlns:a16="http://schemas.microsoft.com/office/drawing/2014/main" id="{00000000-0008-0000-0D00-000006000000}"/>
            </a:ext>
            <a:ext uri="{147F2762-F138-4A5C-976F-8EAC2B608ADB}">
              <a16:predDERef xmlns:a16="http://schemas.microsoft.com/office/drawing/2014/main" pred="{00000000-0008-0000-0D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60</xdr:col>
      <xdr:colOff>246661</xdr:colOff>
      <xdr:row>4</xdr:row>
      <xdr:rowOff>0</xdr:rowOff>
    </xdr:to>
    <xdr:sp macro="" textlink="">
      <xdr:nvSpPr>
        <xdr:cNvPr id="10" name="Rectangle 9">
          <a:extLst>
            <a:ext uri="{FF2B5EF4-FFF2-40B4-BE49-F238E27FC236}">
              <a16:creationId xmlns:a16="http://schemas.microsoft.com/office/drawing/2014/main" id="{7C9913F1-010A-47AE-A547-3D154E0FE750}"/>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294112</xdr:colOff>
      <xdr:row>1</xdr:row>
      <xdr:rowOff>19879</xdr:rowOff>
    </xdr:from>
    <xdr:to>
      <xdr:col>17</xdr:col>
      <xdr:colOff>561521</xdr:colOff>
      <xdr:row>3</xdr:row>
      <xdr:rowOff>10354</xdr:rowOff>
    </xdr:to>
    <xdr:sp macro="" textlink="">
      <xdr:nvSpPr>
        <xdr:cNvPr id="41" name="TextBox 40">
          <a:hlinkClick xmlns:r="http://schemas.openxmlformats.org/officeDocument/2006/relationships" r:id="rId3"/>
          <a:extLst>
            <a:ext uri="{FF2B5EF4-FFF2-40B4-BE49-F238E27FC236}">
              <a16:creationId xmlns:a16="http://schemas.microsoft.com/office/drawing/2014/main" id="{3ABE8BCA-9390-45FA-AE69-5DC04FA493BB}"/>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2" name="Picture 41">
          <a:extLst>
            <a:ext uri="{FF2B5EF4-FFF2-40B4-BE49-F238E27FC236}">
              <a16:creationId xmlns:a16="http://schemas.microsoft.com/office/drawing/2014/main" id="{12BE76A5-CCA6-438D-8F9A-F6B49B40E4C0}"/>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2</xdr:col>
      <xdr:colOff>327933</xdr:colOff>
      <xdr:row>1</xdr:row>
      <xdr:rowOff>28201</xdr:rowOff>
    </xdr:from>
    <xdr:to>
      <xdr:col>2</xdr:col>
      <xdr:colOff>327933</xdr:colOff>
      <xdr:row>2</xdr:row>
      <xdr:rowOff>138545</xdr:rowOff>
    </xdr:to>
    <xdr:cxnSp macro="">
      <xdr:nvCxnSpPr>
        <xdr:cNvPr id="44" name="Straight Connector 43">
          <a:extLst>
            <a:ext uri="{FF2B5EF4-FFF2-40B4-BE49-F238E27FC236}">
              <a16:creationId xmlns:a16="http://schemas.microsoft.com/office/drawing/2014/main" id="{741B9616-ED1E-475E-88F6-07100110BE19}"/>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41666</xdr:colOff>
      <xdr:row>1</xdr:row>
      <xdr:rowOff>19879</xdr:rowOff>
    </xdr:from>
    <xdr:to>
      <xdr:col>6</xdr:col>
      <xdr:colOff>88517</xdr:colOff>
      <xdr:row>3</xdr:row>
      <xdr:rowOff>10354</xdr:rowOff>
    </xdr:to>
    <xdr:sp macro="" textlink="">
      <xdr:nvSpPr>
        <xdr:cNvPr id="45" name="TextBox 44">
          <a:hlinkClick xmlns:r="http://schemas.openxmlformats.org/officeDocument/2006/relationships" r:id="rId5"/>
          <a:extLst>
            <a:ext uri="{FF2B5EF4-FFF2-40B4-BE49-F238E27FC236}">
              <a16:creationId xmlns:a16="http://schemas.microsoft.com/office/drawing/2014/main" id="{78235B36-5E3F-42F1-A0CD-0713AAAB6DD7}"/>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5</xdr:col>
      <xdr:colOff>898919</xdr:colOff>
      <xdr:row>1</xdr:row>
      <xdr:rowOff>19879</xdr:rowOff>
    </xdr:from>
    <xdr:to>
      <xdr:col>7</xdr:col>
      <xdr:colOff>266107</xdr:colOff>
      <xdr:row>3</xdr:row>
      <xdr:rowOff>10354</xdr:rowOff>
    </xdr:to>
    <xdr:sp macro="" textlink="">
      <xdr:nvSpPr>
        <xdr:cNvPr id="46" name="TextBox 45">
          <a:hlinkClick xmlns:r="http://schemas.openxmlformats.org/officeDocument/2006/relationships" r:id="rId6"/>
          <a:extLst>
            <a:ext uri="{FF2B5EF4-FFF2-40B4-BE49-F238E27FC236}">
              <a16:creationId xmlns:a16="http://schemas.microsoft.com/office/drawing/2014/main" id="{2342C6E0-CB2F-4779-8342-8451590C7813}"/>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7</xdr:col>
      <xdr:colOff>168833</xdr:colOff>
      <xdr:row>1</xdr:row>
      <xdr:rowOff>19879</xdr:rowOff>
    </xdr:from>
    <xdr:to>
      <xdr:col>8</xdr:col>
      <xdr:colOff>437638</xdr:colOff>
      <xdr:row>3</xdr:row>
      <xdr:rowOff>10354</xdr:rowOff>
    </xdr:to>
    <xdr:sp macro="" textlink="">
      <xdr:nvSpPr>
        <xdr:cNvPr id="47" name="TextBox 46">
          <a:hlinkClick xmlns:r="http://schemas.openxmlformats.org/officeDocument/2006/relationships" r:id="rId7"/>
          <a:extLst>
            <a:ext uri="{FF2B5EF4-FFF2-40B4-BE49-F238E27FC236}">
              <a16:creationId xmlns:a16="http://schemas.microsoft.com/office/drawing/2014/main" id="{EF70F8E7-67BE-4D39-8D60-B98742817C94}"/>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8</xdr:col>
      <xdr:colOff>340364</xdr:colOff>
      <xdr:row>1</xdr:row>
      <xdr:rowOff>19879</xdr:rowOff>
    </xdr:from>
    <xdr:to>
      <xdr:col>9</xdr:col>
      <xdr:colOff>615200</xdr:colOff>
      <xdr:row>3</xdr:row>
      <xdr:rowOff>10354</xdr:rowOff>
    </xdr:to>
    <xdr:sp macro="" textlink="">
      <xdr:nvSpPr>
        <xdr:cNvPr id="48" name="TextBox 47">
          <a:hlinkClick xmlns:r="http://schemas.openxmlformats.org/officeDocument/2006/relationships" r:id="rId8"/>
          <a:extLst>
            <a:ext uri="{FF2B5EF4-FFF2-40B4-BE49-F238E27FC236}">
              <a16:creationId xmlns:a16="http://schemas.microsoft.com/office/drawing/2014/main" id="{F148E187-7362-4A41-9BE2-625254BB32D9}"/>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9</xdr:col>
      <xdr:colOff>517926</xdr:colOff>
      <xdr:row>1</xdr:row>
      <xdr:rowOff>19879</xdr:rowOff>
    </xdr:from>
    <xdr:to>
      <xdr:col>11</xdr:col>
      <xdr:colOff>1226</xdr:colOff>
      <xdr:row>3</xdr:row>
      <xdr:rowOff>10354</xdr:rowOff>
    </xdr:to>
    <xdr:sp macro="" textlink="">
      <xdr:nvSpPr>
        <xdr:cNvPr id="49" name="TextBox 48">
          <a:hlinkClick xmlns:r="http://schemas.openxmlformats.org/officeDocument/2006/relationships" r:id="rId9"/>
          <a:extLst>
            <a:ext uri="{FF2B5EF4-FFF2-40B4-BE49-F238E27FC236}">
              <a16:creationId xmlns:a16="http://schemas.microsoft.com/office/drawing/2014/main" id="{A9D68951-01A8-4743-92F6-C83DDBB349A0}"/>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10</xdr:col>
      <xdr:colOff>587511</xdr:colOff>
      <xdr:row>1</xdr:row>
      <xdr:rowOff>19879</xdr:rowOff>
    </xdr:from>
    <xdr:to>
      <xdr:col>11</xdr:col>
      <xdr:colOff>859357</xdr:colOff>
      <xdr:row>3</xdr:row>
      <xdr:rowOff>10354</xdr:rowOff>
    </xdr:to>
    <xdr:sp macro="" textlink="">
      <xdr:nvSpPr>
        <xdr:cNvPr id="50" name="TextBox 49">
          <a:hlinkClick xmlns:r="http://schemas.openxmlformats.org/officeDocument/2006/relationships" r:id="rId10"/>
          <a:extLst>
            <a:ext uri="{FF2B5EF4-FFF2-40B4-BE49-F238E27FC236}">
              <a16:creationId xmlns:a16="http://schemas.microsoft.com/office/drawing/2014/main" id="{80750200-4D4E-49EA-97D5-CACB5BE99596}"/>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11</xdr:col>
      <xdr:colOff>763764</xdr:colOff>
      <xdr:row>1</xdr:row>
      <xdr:rowOff>19879</xdr:rowOff>
    </xdr:from>
    <xdr:to>
      <xdr:col>12</xdr:col>
      <xdr:colOff>652930</xdr:colOff>
      <xdr:row>3</xdr:row>
      <xdr:rowOff>10354</xdr:rowOff>
    </xdr:to>
    <xdr:sp macro="" textlink="">
      <xdr:nvSpPr>
        <xdr:cNvPr id="51" name="TextBox 50">
          <a:hlinkClick xmlns:r="http://schemas.openxmlformats.org/officeDocument/2006/relationships" r:id="rId11"/>
          <a:extLst>
            <a:ext uri="{FF2B5EF4-FFF2-40B4-BE49-F238E27FC236}">
              <a16:creationId xmlns:a16="http://schemas.microsoft.com/office/drawing/2014/main" id="{279E679E-FDF9-49A3-A973-53D9C26DB34E}"/>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12</xdr:col>
      <xdr:colOff>557337</xdr:colOff>
      <xdr:row>1</xdr:row>
      <xdr:rowOff>19879</xdr:rowOff>
    </xdr:from>
    <xdr:to>
      <xdr:col>14</xdr:col>
      <xdr:colOff>146402</xdr:colOff>
      <xdr:row>3</xdr:row>
      <xdr:rowOff>10354</xdr:rowOff>
    </xdr:to>
    <xdr:sp macro="" textlink="">
      <xdr:nvSpPr>
        <xdr:cNvPr id="52" name="TextBox 51">
          <a:hlinkClick xmlns:r="http://schemas.openxmlformats.org/officeDocument/2006/relationships" r:id="rId12"/>
          <a:extLst>
            <a:ext uri="{FF2B5EF4-FFF2-40B4-BE49-F238E27FC236}">
              <a16:creationId xmlns:a16="http://schemas.microsoft.com/office/drawing/2014/main" id="{F6C634CE-3BC7-4362-A45D-62F40DCA44F3}"/>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14</xdr:col>
      <xdr:colOff>49128</xdr:colOff>
      <xdr:row>1</xdr:row>
      <xdr:rowOff>19879</xdr:rowOff>
    </xdr:from>
    <xdr:to>
      <xdr:col>15</xdr:col>
      <xdr:colOff>322105</xdr:colOff>
      <xdr:row>3</xdr:row>
      <xdr:rowOff>10354</xdr:rowOff>
    </xdr:to>
    <xdr:sp macro="" textlink="">
      <xdr:nvSpPr>
        <xdr:cNvPr id="53" name="TextBox 52">
          <a:hlinkClick xmlns:r="http://schemas.openxmlformats.org/officeDocument/2006/relationships" r:id="rId13"/>
          <a:extLst>
            <a:ext uri="{FF2B5EF4-FFF2-40B4-BE49-F238E27FC236}">
              <a16:creationId xmlns:a16="http://schemas.microsoft.com/office/drawing/2014/main" id="{0E55AFA2-42E5-4CBD-945B-C3F29D30F656}"/>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15</xdr:col>
      <xdr:colOff>224831</xdr:colOff>
      <xdr:row>1</xdr:row>
      <xdr:rowOff>19879</xdr:rowOff>
    </xdr:from>
    <xdr:to>
      <xdr:col>16</xdr:col>
      <xdr:colOff>391386</xdr:colOff>
      <xdr:row>3</xdr:row>
      <xdr:rowOff>10354</xdr:rowOff>
    </xdr:to>
    <xdr:sp macro="" textlink="">
      <xdr:nvSpPr>
        <xdr:cNvPr id="54" name="TextBox 53">
          <a:hlinkClick xmlns:r="http://schemas.openxmlformats.org/officeDocument/2006/relationships" r:id="rId14"/>
          <a:extLst>
            <a:ext uri="{FF2B5EF4-FFF2-40B4-BE49-F238E27FC236}">
              <a16:creationId xmlns:a16="http://schemas.microsoft.com/office/drawing/2014/main" id="{2AE7C89B-A18E-4FB1-872B-91D333FCF78C}"/>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17</xdr:col>
      <xdr:colOff>464247</xdr:colOff>
      <xdr:row>1</xdr:row>
      <xdr:rowOff>19879</xdr:rowOff>
    </xdr:from>
    <xdr:to>
      <xdr:col>18</xdr:col>
      <xdr:colOff>465888</xdr:colOff>
      <xdr:row>3</xdr:row>
      <xdr:rowOff>10354</xdr:rowOff>
    </xdr:to>
    <xdr:sp macro="" textlink="">
      <xdr:nvSpPr>
        <xdr:cNvPr id="55" name="TextBox 54">
          <a:hlinkClick xmlns:r="http://schemas.openxmlformats.org/officeDocument/2006/relationships" r:id="rId15"/>
          <a:extLst>
            <a:ext uri="{FF2B5EF4-FFF2-40B4-BE49-F238E27FC236}">
              <a16:creationId xmlns:a16="http://schemas.microsoft.com/office/drawing/2014/main" id="{4AAA3A89-5E9B-4F0B-BF2D-1876354A3186}"/>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18</xdr:col>
      <xdr:colOff>368614</xdr:colOff>
      <xdr:row>1</xdr:row>
      <xdr:rowOff>19879</xdr:rowOff>
    </xdr:from>
    <xdr:to>
      <xdr:col>19</xdr:col>
      <xdr:colOff>642208</xdr:colOff>
      <xdr:row>3</xdr:row>
      <xdr:rowOff>10354</xdr:rowOff>
    </xdr:to>
    <xdr:sp macro="" textlink="">
      <xdr:nvSpPr>
        <xdr:cNvPr id="56" name="TextBox 55">
          <a:hlinkClick xmlns:r="http://schemas.openxmlformats.org/officeDocument/2006/relationships" r:id="rId16"/>
          <a:extLst>
            <a:ext uri="{FF2B5EF4-FFF2-40B4-BE49-F238E27FC236}">
              <a16:creationId xmlns:a16="http://schemas.microsoft.com/office/drawing/2014/main" id="{4A24A7BC-59FE-4C84-9C1E-7C00DA098F1B}"/>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19</xdr:col>
      <xdr:colOff>544934</xdr:colOff>
      <xdr:row>1</xdr:row>
      <xdr:rowOff>19879</xdr:rowOff>
    </xdr:from>
    <xdr:to>
      <xdr:col>20</xdr:col>
      <xdr:colOff>816870</xdr:colOff>
      <xdr:row>3</xdr:row>
      <xdr:rowOff>10354</xdr:rowOff>
    </xdr:to>
    <xdr:sp macro="" textlink="">
      <xdr:nvSpPr>
        <xdr:cNvPr id="57" name="TextBox 56">
          <a:hlinkClick xmlns:r="http://schemas.openxmlformats.org/officeDocument/2006/relationships" r:id="rId17"/>
          <a:extLst>
            <a:ext uri="{FF2B5EF4-FFF2-40B4-BE49-F238E27FC236}">
              <a16:creationId xmlns:a16="http://schemas.microsoft.com/office/drawing/2014/main" id="{E93E99D1-224F-4FC2-8CBD-EFBDFFD1F839}"/>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20</xdr:col>
      <xdr:colOff>719596</xdr:colOff>
      <xdr:row>1</xdr:row>
      <xdr:rowOff>19879</xdr:rowOff>
    </xdr:from>
    <xdr:to>
      <xdr:col>22</xdr:col>
      <xdr:colOff>53935</xdr:colOff>
      <xdr:row>3</xdr:row>
      <xdr:rowOff>10354</xdr:rowOff>
    </xdr:to>
    <xdr:sp macro="" textlink="">
      <xdr:nvSpPr>
        <xdr:cNvPr id="58" name="TextBox 57">
          <a:hlinkClick xmlns:r="http://schemas.openxmlformats.org/officeDocument/2006/relationships" r:id="rId18"/>
          <a:extLst>
            <a:ext uri="{FF2B5EF4-FFF2-40B4-BE49-F238E27FC236}">
              <a16:creationId xmlns:a16="http://schemas.microsoft.com/office/drawing/2014/main" id="{9298A526-51FA-4990-930E-8E5C471CDEB1}"/>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640231</xdr:colOff>
      <xdr:row>1</xdr:row>
      <xdr:rowOff>19879</xdr:rowOff>
    </xdr:from>
    <xdr:to>
      <xdr:col>23</xdr:col>
      <xdr:colOff>229878</xdr:colOff>
      <xdr:row>3</xdr:row>
      <xdr:rowOff>10354</xdr:rowOff>
    </xdr:to>
    <xdr:sp macro="" textlink="">
      <xdr:nvSpPr>
        <xdr:cNvPr id="59" name="TextBox 58">
          <a:hlinkClick xmlns:r="http://schemas.openxmlformats.org/officeDocument/2006/relationships" r:id="rId19"/>
          <a:extLst>
            <a:ext uri="{FF2B5EF4-FFF2-40B4-BE49-F238E27FC236}">
              <a16:creationId xmlns:a16="http://schemas.microsoft.com/office/drawing/2014/main" id="{CAD256AA-1D63-48C5-97BB-2FFDE6EAD89E}"/>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Inputs</a:t>
          </a:r>
        </a:p>
      </xdr:txBody>
    </xdr:sp>
    <xdr:clientData/>
  </xdr:twoCellAnchor>
  <xdr:twoCellAnchor>
    <xdr:from>
      <xdr:col>8</xdr:col>
      <xdr:colOff>389001</xdr:colOff>
      <xdr:row>1</xdr:row>
      <xdr:rowOff>103586</xdr:rowOff>
    </xdr:from>
    <xdr:to>
      <xdr:col>8</xdr:col>
      <xdr:colOff>389001</xdr:colOff>
      <xdr:row>2</xdr:row>
      <xdr:rowOff>117146</xdr:rowOff>
    </xdr:to>
    <xdr:cxnSp macro="">
      <xdr:nvCxnSpPr>
        <xdr:cNvPr id="60" name="Straight Connector 59">
          <a:extLst>
            <a:ext uri="{FF2B5EF4-FFF2-40B4-BE49-F238E27FC236}">
              <a16:creationId xmlns:a16="http://schemas.microsoft.com/office/drawing/2014/main" id="{A2C93B85-1579-4F52-B82F-2755E566F33F}"/>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217470</xdr:colOff>
      <xdr:row>1</xdr:row>
      <xdr:rowOff>103586</xdr:rowOff>
    </xdr:from>
    <xdr:to>
      <xdr:col>7</xdr:col>
      <xdr:colOff>217470</xdr:colOff>
      <xdr:row>2</xdr:row>
      <xdr:rowOff>117146</xdr:rowOff>
    </xdr:to>
    <xdr:cxnSp macro="">
      <xdr:nvCxnSpPr>
        <xdr:cNvPr id="61" name="Straight Connector 60">
          <a:extLst>
            <a:ext uri="{FF2B5EF4-FFF2-40B4-BE49-F238E27FC236}">
              <a16:creationId xmlns:a16="http://schemas.microsoft.com/office/drawing/2014/main" id="{C11CFDCC-2679-4DC6-946E-CF05C647D301}"/>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39880</xdr:colOff>
      <xdr:row>1</xdr:row>
      <xdr:rowOff>103586</xdr:rowOff>
    </xdr:from>
    <xdr:to>
      <xdr:col>6</xdr:col>
      <xdr:colOff>39880</xdr:colOff>
      <xdr:row>2</xdr:row>
      <xdr:rowOff>117146</xdr:rowOff>
    </xdr:to>
    <xdr:cxnSp macro="">
      <xdr:nvCxnSpPr>
        <xdr:cNvPr id="62" name="Straight Connector 61">
          <a:extLst>
            <a:ext uri="{FF2B5EF4-FFF2-40B4-BE49-F238E27FC236}">
              <a16:creationId xmlns:a16="http://schemas.microsoft.com/office/drawing/2014/main" id="{1EAC440B-0BD3-456F-A7A0-B58A2025463F}"/>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566563</xdr:colOff>
      <xdr:row>1</xdr:row>
      <xdr:rowOff>103586</xdr:rowOff>
    </xdr:from>
    <xdr:to>
      <xdr:col>9</xdr:col>
      <xdr:colOff>566563</xdr:colOff>
      <xdr:row>2</xdr:row>
      <xdr:rowOff>117146</xdr:rowOff>
    </xdr:to>
    <xdr:cxnSp macro="">
      <xdr:nvCxnSpPr>
        <xdr:cNvPr id="63" name="Straight Connector 62">
          <a:extLst>
            <a:ext uri="{FF2B5EF4-FFF2-40B4-BE49-F238E27FC236}">
              <a16:creationId xmlns:a16="http://schemas.microsoft.com/office/drawing/2014/main" id="{DC1D936E-FA54-4E3E-A312-51AB27E60317}"/>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636148</xdr:colOff>
      <xdr:row>1</xdr:row>
      <xdr:rowOff>103586</xdr:rowOff>
    </xdr:from>
    <xdr:to>
      <xdr:col>10</xdr:col>
      <xdr:colOff>636148</xdr:colOff>
      <xdr:row>2</xdr:row>
      <xdr:rowOff>117146</xdr:rowOff>
    </xdr:to>
    <xdr:cxnSp macro="">
      <xdr:nvCxnSpPr>
        <xdr:cNvPr id="64" name="Straight Connector 63">
          <a:extLst>
            <a:ext uri="{FF2B5EF4-FFF2-40B4-BE49-F238E27FC236}">
              <a16:creationId xmlns:a16="http://schemas.microsoft.com/office/drawing/2014/main" id="{4E653A32-AFD4-404D-AB52-09C0D132AE20}"/>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810720</xdr:colOff>
      <xdr:row>1</xdr:row>
      <xdr:rowOff>103586</xdr:rowOff>
    </xdr:from>
    <xdr:to>
      <xdr:col>11</xdr:col>
      <xdr:colOff>810720</xdr:colOff>
      <xdr:row>2</xdr:row>
      <xdr:rowOff>117146</xdr:rowOff>
    </xdr:to>
    <xdr:cxnSp macro="">
      <xdr:nvCxnSpPr>
        <xdr:cNvPr id="65" name="Straight Connector 64">
          <a:extLst>
            <a:ext uri="{FF2B5EF4-FFF2-40B4-BE49-F238E27FC236}">
              <a16:creationId xmlns:a16="http://schemas.microsoft.com/office/drawing/2014/main" id="{5F6602E7-DD26-41E2-A2E7-0B0D51877219}"/>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605974</xdr:colOff>
      <xdr:row>1</xdr:row>
      <xdr:rowOff>103586</xdr:rowOff>
    </xdr:from>
    <xdr:to>
      <xdr:col>12</xdr:col>
      <xdr:colOff>605974</xdr:colOff>
      <xdr:row>2</xdr:row>
      <xdr:rowOff>117146</xdr:rowOff>
    </xdr:to>
    <xdr:cxnSp macro="">
      <xdr:nvCxnSpPr>
        <xdr:cNvPr id="66" name="Straight Connector 65">
          <a:extLst>
            <a:ext uri="{FF2B5EF4-FFF2-40B4-BE49-F238E27FC236}">
              <a16:creationId xmlns:a16="http://schemas.microsoft.com/office/drawing/2014/main" id="{3A6FA2A3-6F0E-40BA-9D2B-80FDCC50AF55}"/>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97765</xdr:colOff>
      <xdr:row>1</xdr:row>
      <xdr:rowOff>103586</xdr:rowOff>
    </xdr:from>
    <xdr:to>
      <xdr:col>14</xdr:col>
      <xdr:colOff>97765</xdr:colOff>
      <xdr:row>2</xdr:row>
      <xdr:rowOff>117146</xdr:rowOff>
    </xdr:to>
    <xdr:cxnSp macro="">
      <xdr:nvCxnSpPr>
        <xdr:cNvPr id="67" name="Straight Connector 66">
          <a:extLst>
            <a:ext uri="{FF2B5EF4-FFF2-40B4-BE49-F238E27FC236}">
              <a16:creationId xmlns:a16="http://schemas.microsoft.com/office/drawing/2014/main" id="{87D8FC45-0A7F-4833-A444-1769E4FE342B}"/>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273468</xdr:colOff>
      <xdr:row>1</xdr:row>
      <xdr:rowOff>103586</xdr:rowOff>
    </xdr:from>
    <xdr:to>
      <xdr:col>15</xdr:col>
      <xdr:colOff>273468</xdr:colOff>
      <xdr:row>2</xdr:row>
      <xdr:rowOff>117146</xdr:rowOff>
    </xdr:to>
    <xdr:cxnSp macro="">
      <xdr:nvCxnSpPr>
        <xdr:cNvPr id="68" name="Straight Connector 67">
          <a:extLst>
            <a:ext uri="{FF2B5EF4-FFF2-40B4-BE49-F238E27FC236}">
              <a16:creationId xmlns:a16="http://schemas.microsoft.com/office/drawing/2014/main" id="{C6B12D8A-8A33-4BF1-9560-BBE500D435EE}"/>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512884</xdr:colOff>
      <xdr:row>1</xdr:row>
      <xdr:rowOff>103586</xdr:rowOff>
    </xdr:from>
    <xdr:to>
      <xdr:col>17</xdr:col>
      <xdr:colOff>512884</xdr:colOff>
      <xdr:row>2</xdr:row>
      <xdr:rowOff>117146</xdr:rowOff>
    </xdr:to>
    <xdr:cxnSp macro="">
      <xdr:nvCxnSpPr>
        <xdr:cNvPr id="69" name="Straight Connector 68">
          <a:extLst>
            <a:ext uri="{FF2B5EF4-FFF2-40B4-BE49-F238E27FC236}">
              <a16:creationId xmlns:a16="http://schemas.microsoft.com/office/drawing/2014/main" id="{D16331D2-EB67-4D96-BBB5-8D9648AF54E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417251</xdr:colOff>
      <xdr:row>1</xdr:row>
      <xdr:rowOff>103586</xdr:rowOff>
    </xdr:from>
    <xdr:to>
      <xdr:col>18</xdr:col>
      <xdr:colOff>417251</xdr:colOff>
      <xdr:row>2</xdr:row>
      <xdr:rowOff>117146</xdr:rowOff>
    </xdr:to>
    <xdr:cxnSp macro="">
      <xdr:nvCxnSpPr>
        <xdr:cNvPr id="70" name="Straight Connector 69">
          <a:extLst>
            <a:ext uri="{FF2B5EF4-FFF2-40B4-BE49-F238E27FC236}">
              <a16:creationId xmlns:a16="http://schemas.microsoft.com/office/drawing/2014/main" id="{C0215819-9145-42F4-B079-3BAA926EF7BD}"/>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593571</xdr:colOff>
      <xdr:row>1</xdr:row>
      <xdr:rowOff>103586</xdr:rowOff>
    </xdr:from>
    <xdr:to>
      <xdr:col>19</xdr:col>
      <xdr:colOff>593571</xdr:colOff>
      <xdr:row>2</xdr:row>
      <xdr:rowOff>117146</xdr:rowOff>
    </xdr:to>
    <xdr:cxnSp macro="">
      <xdr:nvCxnSpPr>
        <xdr:cNvPr id="71" name="Straight Connector 70">
          <a:extLst>
            <a:ext uri="{FF2B5EF4-FFF2-40B4-BE49-F238E27FC236}">
              <a16:creationId xmlns:a16="http://schemas.microsoft.com/office/drawing/2014/main" id="{4E8FF9D5-7A5F-4BC3-A672-502C891C9279}"/>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768233</xdr:colOff>
      <xdr:row>1</xdr:row>
      <xdr:rowOff>103586</xdr:rowOff>
    </xdr:from>
    <xdr:to>
      <xdr:col>20</xdr:col>
      <xdr:colOff>768233</xdr:colOff>
      <xdr:row>2</xdr:row>
      <xdr:rowOff>117146</xdr:rowOff>
    </xdr:to>
    <xdr:cxnSp macro="">
      <xdr:nvCxnSpPr>
        <xdr:cNvPr id="72" name="Straight Connector 71">
          <a:extLst>
            <a:ext uri="{FF2B5EF4-FFF2-40B4-BE49-F238E27FC236}">
              <a16:creationId xmlns:a16="http://schemas.microsoft.com/office/drawing/2014/main" id="{98E7D1A0-3BFA-468F-ADCB-0DEA461BE8CF}"/>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5298</xdr:colOff>
      <xdr:row>1</xdr:row>
      <xdr:rowOff>103586</xdr:rowOff>
    </xdr:from>
    <xdr:to>
      <xdr:col>22</xdr:col>
      <xdr:colOff>5298</xdr:colOff>
      <xdr:row>2</xdr:row>
      <xdr:rowOff>117146</xdr:rowOff>
    </xdr:to>
    <xdr:cxnSp macro="">
      <xdr:nvCxnSpPr>
        <xdr:cNvPr id="73" name="Straight Connector 72">
          <a:extLst>
            <a:ext uri="{FF2B5EF4-FFF2-40B4-BE49-F238E27FC236}">
              <a16:creationId xmlns:a16="http://schemas.microsoft.com/office/drawing/2014/main" id="{4D188447-2006-4CF3-AD6B-7B614C913581}"/>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342749</xdr:colOff>
      <xdr:row>1</xdr:row>
      <xdr:rowOff>103586</xdr:rowOff>
    </xdr:from>
    <xdr:to>
      <xdr:col>16</xdr:col>
      <xdr:colOff>342749</xdr:colOff>
      <xdr:row>2</xdr:row>
      <xdr:rowOff>117146</xdr:rowOff>
    </xdr:to>
    <xdr:cxnSp macro="">
      <xdr:nvCxnSpPr>
        <xdr:cNvPr id="74" name="Straight Connector 73">
          <a:extLst>
            <a:ext uri="{FF2B5EF4-FFF2-40B4-BE49-F238E27FC236}">
              <a16:creationId xmlns:a16="http://schemas.microsoft.com/office/drawing/2014/main" id="{8E6F14A5-079D-4A9F-826F-1F7AD44A203A}"/>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333374</xdr:colOff>
      <xdr:row>13</xdr:row>
      <xdr:rowOff>38100</xdr:rowOff>
    </xdr:to>
    <xdr:graphicFrame macro="">
      <xdr:nvGraphicFramePr>
        <xdr:cNvPr id="2" name="Chart 1">
          <a:extLst>
            <a:ext uri="{FF2B5EF4-FFF2-40B4-BE49-F238E27FC236}">
              <a16:creationId xmlns:a16="http://schemas.microsoft.com/office/drawing/2014/main" id="{8E707A61-EEB4-F93E-C46C-35B07CC597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13</xdr:row>
      <xdr:rowOff>51433</xdr:rowOff>
    </xdr:from>
    <xdr:to>
      <xdr:col>5</xdr:col>
      <xdr:colOff>647701</xdr:colOff>
      <xdr:row>27</xdr:row>
      <xdr:rowOff>47624</xdr:rowOff>
    </xdr:to>
    <xdr:graphicFrame macro="">
      <xdr:nvGraphicFramePr>
        <xdr:cNvPr id="21" name="Chart 2">
          <a:extLst>
            <a:ext uri="{FF2B5EF4-FFF2-40B4-BE49-F238E27FC236}">
              <a16:creationId xmlns:a16="http://schemas.microsoft.com/office/drawing/2014/main" id="{03A1A203-3551-7EDE-61DC-F8E5C2FAB6F0}"/>
            </a:ext>
            <a:ext uri="{147F2762-F138-4A5C-976F-8EAC2B608ADB}">
              <a16:predDERef xmlns:a16="http://schemas.microsoft.com/office/drawing/2014/main" pred="{8E707A61-EEB4-F93E-C46C-35B07CC597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323850</xdr:colOff>
      <xdr:row>0</xdr:row>
      <xdr:rowOff>0</xdr:rowOff>
    </xdr:from>
    <xdr:to>
      <xdr:col>13</xdr:col>
      <xdr:colOff>228600</xdr:colOff>
      <xdr:row>16</xdr:row>
      <xdr:rowOff>0</xdr:rowOff>
    </xdr:to>
    <xdr:graphicFrame macro="">
      <xdr:nvGraphicFramePr>
        <xdr:cNvPr id="26" name="Chart 6">
          <a:extLst>
            <a:ext uri="{FF2B5EF4-FFF2-40B4-BE49-F238E27FC236}">
              <a16:creationId xmlns:a16="http://schemas.microsoft.com/office/drawing/2014/main" id="{4878378E-7D06-43FD-AD42-4EE963933D8E}"/>
            </a:ext>
            <a:ext uri="{147F2762-F138-4A5C-976F-8EAC2B608ADB}">
              <a16:predDERef xmlns:a16="http://schemas.microsoft.com/office/drawing/2014/main" pred="{03A1A203-3551-7EDE-61DC-F8E5C2FAB6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45</xdr:col>
      <xdr:colOff>11206</xdr:colOff>
      <xdr:row>52</xdr:row>
      <xdr:rowOff>62595</xdr:rowOff>
    </xdr:from>
    <xdr:to>
      <xdr:col>54</xdr:col>
      <xdr:colOff>112059</xdr:colOff>
      <xdr:row>71</xdr:row>
      <xdr:rowOff>1</xdr:rowOff>
    </xdr:to>
    <xdr:graphicFrame macro="">
      <xdr:nvGraphicFramePr>
        <xdr:cNvPr id="3" name="Chart 2">
          <a:extLst>
            <a:ext uri="{FF2B5EF4-FFF2-40B4-BE49-F238E27FC236}">
              <a16:creationId xmlns:a16="http://schemas.microsoft.com/office/drawing/2014/main" id="{14160109-E8B4-48F3-9457-F427D7126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801414"/>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mailto:l63852@aln.iseg.ulisboa.pt" TargetMode="External"/><Relationship Id="rId3" Type="http://schemas.openxmlformats.org/officeDocument/2006/relationships/hyperlink" Target="mailto:raul.vasconcelos@aln.iseg.ulisboa.pt" TargetMode="External"/><Relationship Id="rId7" Type="http://schemas.openxmlformats.org/officeDocument/2006/relationships/hyperlink" Target="mailto:lucas.alves@aln.iseg.ulisboa.pt" TargetMode="External"/><Relationship Id="rId2" Type="http://schemas.openxmlformats.org/officeDocument/2006/relationships/hyperlink" Target="mailto:raul.vasconcelos@aln.iseg.ulisboa.pt" TargetMode="External"/><Relationship Id="rId1" Type="http://schemas.openxmlformats.org/officeDocument/2006/relationships/hyperlink" Target="mailto:lis@iseg.ulisboa.pt" TargetMode="External"/><Relationship Id="rId6" Type="http://schemas.openxmlformats.org/officeDocument/2006/relationships/hyperlink" Target="mailto:ze.ricardo.godinho@aln.iseg.ulisboa.pt" TargetMode="External"/><Relationship Id="rId5" Type="http://schemas.openxmlformats.org/officeDocument/2006/relationships/hyperlink" Target="mailto:raul.vasconcelos@aln.iseg.ulisboa.pt" TargetMode="External"/><Relationship Id="rId10" Type="http://schemas.openxmlformats.org/officeDocument/2006/relationships/drawing" Target="../drawings/drawing2.xml"/><Relationship Id="rId4" Type="http://schemas.openxmlformats.org/officeDocument/2006/relationships/hyperlink" Target="mailto:raul.vasconcelos@aln.iseg.ulisboa.pt" TargetMode="Externa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8.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fusoesaquisicoes.com/acontece-no-setor/avaliacao-e-multiplos-ebitda-para-empresas-de-tecnologia-2024/" TargetMode="External"/><Relationship Id="rId1" Type="http://schemas.openxmlformats.org/officeDocument/2006/relationships/hyperlink" Target="https://pages.stern.nyu.edu/~adamodar/New_Home_Page/datafile/vebitda.html" TargetMode="External"/><Relationship Id="rId6" Type="http://schemas.openxmlformats.org/officeDocument/2006/relationships/comments" Target="../comments5.xml"/><Relationship Id="rId5" Type="http://schemas.openxmlformats.org/officeDocument/2006/relationships/vmlDrawing" Target="../drawings/vmlDrawing5.vm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3.bin"/><Relationship Id="rId4" Type="http://schemas.openxmlformats.org/officeDocument/2006/relationships/comments" Target="../comments6.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79998168889431442"/>
  </sheetPr>
  <dimension ref="B1:L558"/>
  <sheetViews>
    <sheetView showGridLines="0" topLeftCell="A9" zoomScale="57" zoomScaleNormal="40" workbookViewId="0">
      <selection activeCell="AK51" sqref="AK51"/>
    </sheetView>
  </sheetViews>
  <sheetFormatPr defaultColWidth="9" defaultRowHeight="15" customHeight="1"/>
  <cols>
    <col min="1" max="2" width="9" style="467"/>
    <col min="3" max="5" width="10.125" style="467" bestFit="1" customWidth="1"/>
    <col min="6" max="16384" width="9" style="467"/>
  </cols>
  <sheetData>
    <row r="1" s="463" customFormat="1" ht="15" customHeight="1"/>
    <row r="2" s="463" customFormat="1" ht="15" customHeight="1"/>
    <row r="3" s="463" customFormat="1" ht="15" customHeight="1"/>
    <row r="4" s="463" customFormat="1" ht="15" customHeight="1"/>
    <row r="5" ht="4.3499999999999996" customHeight="1"/>
    <row r="101" spans="3:3" ht="15" customHeight="1">
      <c r="C101" s="494"/>
    </row>
    <row r="102" spans="3:3" ht="15" customHeight="1">
      <c r="C102" s="494"/>
    </row>
    <row r="103" spans="3:3" ht="15" customHeight="1">
      <c r="C103" s="494"/>
    </row>
    <row r="104" spans="3:3" ht="15" customHeight="1">
      <c r="C104" s="494"/>
    </row>
    <row r="105" spans="3:3" ht="15" customHeight="1">
      <c r="C105" s="494"/>
    </row>
    <row r="106" spans="3:3" ht="15" customHeight="1">
      <c r="C106" s="494"/>
    </row>
    <row r="107" spans="3:3" ht="15" customHeight="1">
      <c r="C107" s="494"/>
    </row>
    <row r="108" spans="3:3" ht="15" customHeight="1">
      <c r="C108" s="494"/>
    </row>
    <row r="109" spans="3:3" ht="15" customHeight="1">
      <c r="C109" s="494"/>
    </row>
    <row r="110" spans="3:3" ht="15" customHeight="1">
      <c r="C110" s="494"/>
    </row>
    <row r="111" spans="3:3" ht="15" customHeight="1">
      <c r="C111" s="494"/>
    </row>
    <row r="112" spans="3:3" ht="15" customHeight="1">
      <c r="C112" s="494"/>
    </row>
    <row r="113" spans="3:3" ht="15" customHeight="1">
      <c r="C113" s="494"/>
    </row>
    <row r="114" spans="3:3" ht="15" customHeight="1">
      <c r="C114" s="494"/>
    </row>
    <row r="115" spans="3:3" ht="15" customHeight="1">
      <c r="C115" s="494"/>
    </row>
    <row r="116" spans="3:3" ht="15" customHeight="1">
      <c r="C116" s="494"/>
    </row>
    <row r="117" spans="3:3" ht="15" customHeight="1">
      <c r="C117" s="494"/>
    </row>
    <row r="118" spans="3:3" ht="15" customHeight="1">
      <c r="C118" s="494"/>
    </row>
    <row r="119" spans="3:3" ht="15" customHeight="1">
      <c r="C119" s="494"/>
    </row>
    <row r="120" spans="3:3" ht="15" customHeight="1">
      <c r="C120" s="494"/>
    </row>
    <row r="121" spans="3:3" ht="15" customHeight="1">
      <c r="C121" s="494"/>
    </row>
    <row r="122" spans="3:3" ht="15" customHeight="1">
      <c r="C122" s="494"/>
    </row>
    <row r="123" spans="3:3" ht="15" customHeight="1">
      <c r="C123" s="494"/>
    </row>
    <row r="124" spans="3:3" ht="15" customHeight="1">
      <c r="C124" s="494"/>
    </row>
    <row r="125" spans="3:3" ht="15" customHeight="1">
      <c r="C125" s="494"/>
    </row>
    <row r="126" spans="3:3" ht="15" customHeight="1">
      <c r="C126" s="494"/>
    </row>
    <row r="127" spans="3:3" ht="15" customHeight="1">
      <c r="C127" s="494"/>
    </row>
    <row r="128" spans="3:3" ht="15" customHeight="1">
      <c r="C128" s="494"/>
    </row>
    <row r="129" spans="3:3" ht="15" customHeight="1">
      <c r="C129" s="494"/>
    </row>
    <row r="130" spans="3:3" ht="15" customHeight="1">
      <c r="C130" s="494"/>
    </row>
    <row r="131" spans="3:3" ht="15" customHeight="1">
      <c r="C131" s="494"/>
    </row>
    <row r="132" spans="3:3" ht="15" customHeight="1">
      <c r="C132" s="494"/>
    </row>
    <row r="133" spans="3:3" ht="15" customHeight="1">
      <c r="C133" s="494"/>
    </row>
    <row r="134" spans="3:3" ht="15" customHeight="1">
      <c r="C134" s="494"/>
    </row>
    <row r="135" spans="3:3" ht="15" customHeight="1">
      <c r="C135" s="494"/>
    </row>
    <row r="136" spans="3:3" ht="15" customHeight="1">
      <c r="C136" s="494"/>
    </row>
    <row r="137" spans="3:3" ht="15" customHeight="1">
      <c r="C137" s="494"/>
    </row>
    <row r="138" spans="3:3" ht="15" customHeight="1">
      <c r="C138" s="494"/>
    </row>
    <row r="139" spans="3:3" ht="15" customHeight="1">
      <c r="C139" s="494"/>
    </row>
    <row r="140" spans="3:3" ht="15" customHeight="1">
      <c r="C140" s="494"/>
    </row>
    <row r="141" spans="3:3" ht="15" customHeight="1">
      <c r="C141" s="494"/>
    </row>
    <row r="142" spans="3:3" ht="15" customHeight="1">
      <c r="C142" s="494"/>
    </row>
    <row r="143" spans="3:3" ht="15" customHeight="1">
      <c r="C143" s="494"/>
    </row>
    <row r="144" spans="3:3" ht="15" customHeight="1">
      <c r="C144" s="494"/>
    </row>
    <row r="145" spans="3:12" ht="15" customHeight="1">
      <c r="C145" s="494"/>
    </row>
    <row r="146" spans="3:12" ht="15" customHeight="1">
      <c r="C146" s="494"/>
    </row>
    <row r="147" spans="3:12" ht="15" customHeight="1">
      <c r="C147" s="494"/>
    </row>
    <row r="148" spans="3:12" ht="15" customHeight="1">
      <c r="C148" s="494"/>
    </row>
    <row r="149" spans="3:12" ht="15" customHeight="1">
      <c r="C149" s="494"/>
    </row>
    <row r="150" spans="3:12" ht="15" customHeight="1">
      <c r="C150" s="494"/>
    </row>
    <row r="151" spans="3:12" ht="15" customHeight="1">
      <c r="C151" s="494"/>
    </row>
    <row r="152" spans="3:12" ht="15" customHeight="1">
      <c r="C152" s="494"/>
    </row>
    <row r="153" spans="3:12" ht="15" customHeight="1">
      <c r="C153" s="494"/>
    </row>
    <row r="154" spans="3:12" ht="15" customHeight="1">
      <c r="C154" s="494">
        <f t="shared" ref="C154:C164" si="0">+C155+1</f>
        <v>45977</v>
      </c>
    </row>
    <row r="155" spans="3:12" ht="15" customHeight="1">
      <c r="C155" s="494">
        <f t="shared" si="0"/>
        <v>45976</v>
      </c>
    </row>
    <row r="156" spans="3:12" ht="15" customHeight="1">
      <c r="C156" s="494">
        <f t="shared" si="0"/>
        <v>45975</v>
      </c>
    </row>
    <row r="157" spans="3:12" ht="15" customHeight="1">
      <c r="C157" s="494">
        <f t="shared" si="0"/>
        <v>45974</v>
      </c>
    </row>
    <row r="158" spans="3:12" ht="15" customHeight="1">
      <c r="C158" s="494">
        <f t="shared" si="0"/>
        <v>45973</v>
      </c>
    </row>
    <row r="159" spans="3:12" ht="15" customHeight="1">
      <c r="C159" s="494">
        <f t="shared" si="0"/>
        <v>45972</v>
      </c>
    </row>
    <row r="160" spans="3:12" ht="15" customHeight="1">
      <c r="C160" s="494">
        <f t="shared" si="0"/>
        <v>45971</v>
      </c>
      <c r="L160" s="467">
        <f ca="1">IF(FCFF!$R$199="Revenue Exit",FCFF!$AF$211,IF(FCFF!$R$199="EBITDA Exit",FCFF!Z211,FCFF!AL211))</f>
        <v>271.50078215565844</v>
      </c>
    </row>
    <row r="161" spans="3:5" ht="15" customHeight="1">
      <c r="C161" s="494">
        <f t="shared" si="0"/>
        <v>45970</v>
      </c>
    </row>
    <row r="162" spans="3:5" ht="15" customHeight="1">
      <c r="C162" s="494">
        <f t="shared" si="0"/>
        <v>45969</v>
      </c>
      <c r="E162" s="467">
        <f ca="1">IF(FCFF!$R$199="Revenue Exit",FCFF!$AF$211,IF(FCFF!$R$199="EBITDA Exit",FCFF!Z211,FCFF!AL211))</f>
        <v>271.50078215565844</v>
      </c>
    </row>
    <row r="163" spans="3:5" ht="15" customHeight="1">
      <c r="C163" s="494">
        <f t="shared" si="0"/>
        <v>45968</v>
      </c>
      <c r="E163" s="467">
        <f t="shared" ref="E163:E192" ca="1" si="1">E164+($E$162-$E$193)/COUNTA($C$162:$C$192)</f>
        <v>270.00075692483108</v>
      </c>
    </row>
    <row r="164" spans="3:5" ht="15" customHeight="1">
      <c r="C164" s="494">
        <f t="shared" si="0"/>
        <v>45967</v>
      </c>
      <c r="E164" s="467">
        <f t="shared" ca="1" si="1"/>
        <v>268.50073169400338</v>
      </c>
    </row>
    <row r="165" spans="3:5" ht="15" customHeight="1">
      <c r="C165" s="494">
        <f t="shared" ref="C165:C191" si="2">+C166+1</f>
        <v>45966</v>
      </c>
      <c r="E165" s="467">
        <f t="shared" ca="1" si="1"/>
        <v>267.00070646317567</v>
      </c>
    </row>
    <row r="166" spans="3:5" ht="15" customHeight="1">
      <c r="C166" s="494">
        <f t="shared" si="2"/>
        <v>45965</v>
      </c>
      <c r="E166" s="467">
        <f t="shared" ca="1" si="1"/>
        <v>265.50068123234797</v>
      </c>
    </row>
    <row r="167" spans="3:5" ht="15" customHeight="1">
      <c r="C167" s="494">
        <f t="shared" si="2"/>
        <v>45964</v>
      </c>
      <c r="E167" s="467">
        <f t="shared" ca="1" si="1"/>
        <v>264.00065600152027</v>
      </c>
    </row>
    <row r="168" spans="3:5" ht="15" customHeight="1">
      <c r="C168" s="494">
        <f t="shared" si="2"/>
        <v>45963</v>
      </c>
      <c r="E168" s="467">
        <f t="shared" ca="1" si="1"/>
        <v>262.50063077069257</v>
      </c>
    </row>
    <row r="169" spans="3:5" ht="15" customHeight="1">
      <c r="C169" s="494">
        <f t="shared" si="2"/>
        <v>45962</v>
      </c>
      <c r="E169" s="467">
        <f t="shared" ca="1" si="1"/>
        <v>261.00060553986486</v>
      </c>
    </row>
    <row r="170" spans="3:5" ht="15" customHeight="1">
      <c r="C170" s="494">
        <f t="shared" si="2"/>
        <v>45961</v>
      </c>
      <c r="E170" s="467">
        <f t="shared" ca="1" si="1"/>
        <v>259.50058030903716</v>
      </c>
    </row>
    <row r="171" spans="3:5" ht="15" customHeight="1">
      <c r="C171" s="494">
        <f t="shared" si="2"/>
        <v>45960</v>
      </c>
      <c r="E171" s="467">
        <f t="shared" ca="1" si="1"/>
        <v>258.00055507820946</v>
      </c>
    </row>
    <row r="172" spans="3:5" ht="15" customHeight="1">
      <c r="C172" s="494">
        <f t="shared" si="2"/>
        <v>45959</v>
      </c>
      <c r="E172" s="467">
        <f t="shared" ca="1" si="1"/>
        <v>256.50052984738176</v>
      </c>
    </row>
    <row r="173" spans="3:5" ht="15" customHeight="1">
      <c r="C173" s="494">
        <f t="shared" si="2"/>
        <v>45958</v>
      </c>
      <c r="E173" s="467">
        <f t="shared" ca="1" si="1"/>
        <v>255.00050461655405</v>
      </c>
    </row>
    <row r="174" spans="3:5" ht="15" customHeight="1">
      <c r="C174" s="494">
        <f t="shared" si="2"/>
        <v>45957</v>
      </c>
      <c r="E174" s="467">
        <f t="shared" ca="1" si="1"/>
        <v>253.50047938572635</v>
      </c>
    </row>
    <row r="175" spans="3:5" ht="15" customHeight="1">
      <c r="C175" s="494">
        <f t="shared" si="2"/>
        <v>45956</v>
      </c>
      <c r="E175" s="467">
        <f t="shared" ca="1" si="1"/>
        <v>252.00045415489865</v>
      </c>
    </row>
    <row r="176" spans="3:5" ht="15" customHeight="1">
      <c r="C176" s="494">
        <f t="shared" si="2"/>
        <v>45955</v>
      </c>
      <c r="E176" s="467">
        <f t="shared" ca="1" si="1"/>
        <v>250.50042892407095</v>
      </c>
    </row>
    <row r="177" spans="3:5" ht="15" customHeight="1">
      <c r="C177" s="494">
        <f t="shared" si="2"/>
        <v>45954</v>
      </c>
      <c r="E177" s="467">
        <f t="shared" ca="1" si="1"/>
        <v>249.00040369324324</v>
      </c>
    </row>
    <row r="178" spans="3:5" ht="15" customHeight="1">
      <c r="C178" s="494">
        <f t="shared" si="2"/>
        <v>45953</v>
      </c>
      <c r="E178" s="467">
        <f t="shared" ca="1" si="1"/>
        <v>247.50037846241554</v>
      </c>
    </row>
    <row r="179" spans="3:5" ht="15" customHeight="1">
      <c r="C179" s="494">
        <f t="shared" si="2"/>
        <v>45952</v>
      </c>
      <c r="E179" s="467">
        <f t="shared" ca="1" si="1"/>
        <v>246.00035323158784</v>
      </c>
    </row>
    <row r="180" spans="3:5" ht="15" customHeight="1">
      <c r="C180" s="494">
        <f t="shared" si="2"/>
        <v>45951</v>
      </c>
      <c r="E180" s="467">
        <f t="shared" ca="1" si="1"/>
        <v>244.50032800076013</v>
      </c>
    </row>
    <row r="181" spans="3:5" ht="15" customHeight="1">
      <c r="C181" s="494">
        <f t="shared" si="2"/>
        <v>45950</v>
      </c>
      <c r="E181" s="467">
        <f t="shared" ca="1" si="1"/>
        <v>243.00030276993243</v>
      </c>
    </row>
    <row r="182" spans="3:5" ht="15" customHeight="1">
      <c r="C182" s="494">
        <f t="shared" si="2"/>
        <v>45949</v>
      </c>
      <c r="E182" s="467">
        <f t="shared" ca="1" si="1"/>
        <v>241.50027753910473</v>
      </c>
    </row>
    <row r="183" spans="3:5" ht="15" customHeight="1">
      <c r="C183" s="494">
        <f t="shared" si="2"/>
        <v>45948</v>
      </c>
      <c r="E183" s="467">
        <f t="shared" ca="1" si="1"/>
        <v>240.00025230827703</v>
      </c>
    </row>
    <row r="184" spans="3:5" ht="15" customHeight="1">
      <c r="C184" s="494">
        <f t="shared" si="2"/>
        <v>45947</v>
      </c>
      <c r="E184" s="467">
        <f t="shared" ca="1" si="1"/>
        <v>238.50022707744932</v>
      </c>
    </row>
    <row r="185" spans="3:5" ht="15" customHeight="1">
      <c r="C185" s="494">
        <f t="shared" si="2"/>
        <v>45946</v>
      </c>
      <c r="E185" s="467">
        <f t="shared" ca="1" si="1"/>
        <v>237.00020184662162</v>
      </c>
    </row>
    <row r="186" spans="3:5" ht="15" customHeight="1">
      <c r="C186" s="494">
        <f t="shared" si="2"/>
        <v>45945</v>
      </c>
      <c r="E186" s="467">
        <f t="shared" ca="1" si="1"/>
        <v>235.50017661579392</v>
      </c>
    </row>
    <row r="187" spans="3:5" ht="15" customHeight="1">
      <c r="C187" s="494">
        <f t="shared" si="2"/>
        <v>45944</v>
      </c>
      <c r="E187" s="467">
        <f t="shared" ca="1" si="1"/>
        <v>234.00015138496622</v>
      </c>
    </row>
    <row r="188" spans="3:5" ht="15" customHeight="1">
      <c r="C188" s="494">
        <f t="shared" si="2"/>
        <v>45943</v>
      </c>
      <c r="E188" s="467">
        <f t="shared" ca="1" si="1"/>
        <v>232.50012615413851</v>
      </c>
    </row>
    <row r="189" spans="3:5" ht="15" customHeight="1">
      <c r="C189" s="494">
        <f t="shared" si="2"/>
        <v>45942</v>
      </c>
      <c r="E189" s="467">
        <f t="shared" ca="1" si="1"/>
        <v>231.00010092331081</v>
      </c>
    </row>
    <row r="190" spans="3:5" ht="15" customHeight="1">
      <c r="C190" s="494">
        <f t="shared" si="2"/>
        <v>45941</v>
      </c>
      <c r="E190" s="467">
        <f t="shared" ca="1" si="1"/>
        <v>229.50007569248311</v>
      </c>
    </row>
    <row r="191" spans="3:5" ht="15" customHeight="1">
      <c r="C191" s="494">
        <f t="shared" si="2"/>
        <v>45940</v>
      </c>
      <c r="E191" s="467">
        <f t="shared" ca="1" si="1"/>
        <v>228.00005046165541</v>
      </c>
    </row>
    <row r="192" spans="3:5" ht="15" customHeight="1">
      <c r="C192" s="494">
        <f>+C193+1</f>
        <v>45939</v>
      </c>
      <c r="E192" s="467">
        <f t="shared" ca="1" si="1"/>
        <v>226.5000252308277</v>
      </c>
    </row>
    <row r="193" spans="2:5" ht="15" customHeight="1">
      <c r="B193" s="467" t="s">
        <v>0</v>
      </c>
      <c r="C193" s="493">
        <f>+'Stock Data'!AM4</f>
        <v>45938</v>
      </c>
      <c r="D193" s="467">
        <f>_xlfn.XLOOKUP(C193,'Stock Data'!$AM$4:$AM$1051,'Stock Data'!$AN$4:$AN$1051)</f>
        <v>225</v>
      </c>
      <c r="E193" s="467">
        <f>D193</f>
        <v>225</v>
      </c>
    </row>
    <row r="194" spans="2:5" ht="15" customHeight="1">
      <c r="C194" s="493">
        <f>+'Stock Data'!AM5</f>
        <v>45937</v>
      </c>
      <c r="D194" s="467">
        <f>_xlfn.XLOOKUP(C194,'Stock Data'!$AM$4:$AM$1051,'Stock Data'!$AN$4:$AN$1051)</f>
        <v>225</v>
      </c>
    </row>
    <row r="195" spans="2:5" ht="15" customHeight="1">
      <c r="C195" s="493">
        <f>+'Stock Data'!AM6</f>
        <v>45936</v>
      </c>
      <c r="D195" s="467">
        <f>_xlfn.XLOOKUP(C195,'Stock Data'!$AM$4:$AM$1051,'Stock Data'!$AN$4:$AN$1051)</f>
        <v>227.72</v>
      </c>
    </row>
    <row r="196" spans="2:5" ht="15" customHeight="1">
      <c r="C196" s="493">
        <f>+'Stock Data'!AM7</f>
        <v>45935</v>
      </c>
      <c r="D196" s="467">
        <f>_xlfn.XLOOKUP(C196,'Stock Data'!$AM$4:$AM$1051,'Stock Data'!$AN$4:$AN$1051)</f>
        <v>227.72</v>
      </c>
    </row>
    <row r="197" spans="2:5" ht="15" customHeight="1">
      <c r="C197" s="493">
        <f>+'Stock Data'!AM8</f>
        <v>45934</v>
      </c>
      <c r="D197" s="467">
        <f>_xlfn.XLOOKUP(C197,'Stock Data'!$AM$4:$AM$1051,'Stock Data'!$AN$4:$AN$1051)</f>
        <v>227.72</v>
      </c>
    </row>
    <row r="198" spans="2:5" ht="15" customHeight="1">
      <c r="C198" s="493">
        <f>+'Stock Data'!AM9</f>
        <v>45933</v>
      </c>
      <c r="D198" s="467">
        <f>_xlfn.XLOOKUP(C198,'Stock Data'!$AM$4:$AM$1051,'Stock Data'!$AN$4:$AN$1051)</f>
        <v>225.28</v>
      </c>
    </row>
    <row r="199" spans="2:5" ht="15" customHeight="1">
      <c r="C199" s="493">
        <f>+'Stock Data'!AM10</f>
        <v>45932</v>
      </c>
      <c r="D199" s="467">
        <f>_xlfn.XLOOKUP(C199,'Stock Data'!$AM$4:$AM$1051,'Stock Data'!$AN$4:$AN$1051)</f>
        <v>225.34</v>
      </c>
    </row>
    <row r="200" spans="2:5" ht="15" customHeight="1">
      <c r="C200" s="493">
        <f>+'Stock Data'!AM11</f>
        <v>45931</v>
      </c>
      <c r="D200" s="467">
        <f>_xlfn.XLOOKUP(C200,'Stock Data'!$AM$4:$AM$1051,'Stock Data'!$AN$4:$AN$1051)</f>
        <v>224.18</v>
      </c>
    </row>
    <row r="201" spans="2:5" ht="15" customHeight="1">
      <c r="C201" s="493">
        <f>+'Stock Data'!AM12</f>
        <v>45930</v>
      </c>
      <c r="D201" s="467">
        <f>_xlfn.XLOOKUP(C201,'Stock Data'!$AM$4:$AM$1051,'Stock Data'!$AN$4:$AN$1051)</f>
        <v>231.07</v>
      </c>
    </row>
    <row r="202" spans="2:5" ht="15" customHeight="1">
      <c r="C202" s="493">
        <f>+'Stock Data'!AM13</f>
        <v>45929</v>
      </c>
      <c r="D202" s="467">
        <f>_xlfn.XLOOKUP(C202,'Stock Data'!$AM$4:$AM$1051,'Stock Data'!$AN$4:$AN$1051)</f>
        <v>231.07</v>
      </c>
    </row>
    <row r="203" spans="2:5" ht="15" customHeight="1">
      <c r="C203" s="493">
        <f>+'Stock Data'!AM14</f>
        <v>45928</v>
      </c>
      <c r="D203" s="467">
        <f>_xlfn.XLOOKUP(C203,'Stock Data'!$AM$4:$AM$1051,'Stock Data'!$AN$4:$AN$1051)</f>
        <v>231.07</v>
      </c>
    </row>
    <row r="204" spans="2:5" ht="15" customHeight="1">
      <c r="C204" s="493">
        <f>+'Stock Data'!AM15</f>
        <v>45927</v>
      </c>
      <c r="D204" s="467">
        <f>_xlfn.XLOOKUP(C204,'Stock Data'!$AM$4:$AM$1051,'Stock Data'!$AN$4:$AN$1051)</f>
        <v>231.07</v>
      </c>
    </row>
    <row r="205" spans="2:5" ht="15" customHeight="1">
      <c r="C205" s="493">
        <f>+'Stock Data'!AM16</f>
        <v>45926</v>
      </c>
      <c r="D205" s="467">
        <f>_xlfn.XLOOKUP(C205,'Stock Data'!$AM$4:$AM$1051,'Stock Data'!$AN$4:$AN$1051)</f>
        <v>231.27</v>
      </c>
    </row>
    <row r="206" spans="2:5" ht="15" customHeight="1">
      <c r="C206" s="493">
        <f>+'Stock Data'!AM17</f>
        <v>45925</v>
      </c>
      <c r="D206" s="467">
        <f>_xlfn.XLOOKUP(C206,'Stock Data'!$AM$4:$AM$1051,'Stock Data'!$AN$4:$AN$1051)</f>
        <v>232.21</v>
      </c>
    </row>
    <row r="207" spans="2:5" ht="15" customHeight="1">
      <c r="C207" s="493">
        <f>+'Stock Data'!AM18</f>
        <v>45924</v>
      </c>
      <c r="D207" s="467">
        <f>_xlfn.XLOOKUP(C207,'Stock Data'!$AM$4:$AM$1051,'Stock Data'!$AN$4:$AN$1051)</f>
        <v>231.1</v>
      </c>
    </row>
    <row r="208" spans="2:5" ht="15" customHeight="1">
      <c r="C208" s="493">
        <f>+'Stock Data'!AM19</f>
        <v>45923</v>
      </c>
      <c r="D208" s="467">
        <f>_xlfn.XLOOKUP(C208,'Stock Data'!$AM$4:$AM$1051,'Stock Data'!$AN$4:$AN$1051)</f>
        <v>233</v>
      </c>
    </row>
    <row r="209" spans="3:4" ht="15" customHeight="1">
      <c r="C209" s="493">
        <f>+'Stock Data'!AM20</f>
        <v>45922</v>
      </c>
      <c r="D209" s="467">
        <f>_xlfn.XLOOKUP(C209,'Stock Data'!$AM$4:$AM$1051,'Stock Data'!$AN$4:$AN$1051)</f>
        <v>236.8</v>
      </c>
    </row>
    <row r="210" spans="3:4" ht="15" customHeight="1">
      <c r="C210" s="493">
        <f>+'Stock Data'!AM21</f>
        <v>45921</v>
      </c>
      <c r="D210" s="467">
        <f>_xlfn.XLOOKUP(C210,'Stock Data'!$AM$4:$AM$1051,'Stock Data'!$AN$4:$AN$1051)</f>
        <v>236.8</v>
      </c>
    </row>
    <row r="211" spans="3:4" ht="15" customHeight="1">
      <c r="C211" s="493">
        <f>+'Stock Data'!AM22</f>
        <v>45920</v>
      </c>
      <c r="D211" s="467">
        <f>_xlfn.XLOOKUP(C211,'Stock Data'!$AM$4:$AM$1051,'Stock Data'!$AN$4:$AN$1051)</f>
        <v>236.8</v>
      </c>
    </row>
    <row r="212" spans="3:4" ht="15" customHeight="1">
      <c r="C212" s="493">
        <f>+'Stock Data'!AM23</f>
        <v>45919</v>
      </c>
      <c r="D212" s="467">
        <f>_xlfn.XLOOKUP(C212,'Stock Data'!$AM$4:$AM$1051,'Stock Data'!$AN$4:$AN$1051)</f>
        <v>225.28</v>
      </c>
    </row>
    <row r="213" spans="3:4" ht="15" customHeight="1">
      <c r="C213" s="493">
        <f>+'Stock Data'!AM24</f>
        <v>45918</v>
      </c>
      <c r="D213" s="467">
        <f>_xlfn.XLOOKUP(C213,'Stock Data'!$AM$4:$AM$1051,'Stock Data'!$AN$4:$AN$1051)</f>
        <v>227.21</v>
      </c>
    </row>
    <row r="214" spans="3:4" ht="15" customHeight="1">
      <c r="C214" s="493">
        <f>+'Stock Data'!AM25</f>
        <v>45917</v>
      </c>
      <c r="D214" s="467">
        <f>_xlfn.XLOOKUP(C214,'Stock Data'!$AM$4:$AM$1051,'Stock Data'!$AN$4:$AN$1051)</f>
        <v>233.13</v>
      </c>
    </row>
    <row r="215" spans="3:4" ht="15" customHeight="1">
      <c r="C215" s="493">
        <f>+'Stock Data'!AM26</f>
        <v>45916</v>
      </c>
      <c r="D215" s="467">
        <f>_xlfn.XLOOKUP(C215,'Stock Data'!$AM$4:$AM$1051,'Stock Data'!$AN$4:$AN$1051)</f>
        <v>227.72</v>
      </c>
    </row>
    <row r="216" spans="3:4" ht="15" customHeight="1">
      <c r="C216" s="493">
        <f>+'Stock Data'!AM27</f>
        <v>45915</v>
      </c>
      <c r="D216" s="467">
        <f>_xlfn.XLOOKUP(C216,'Stock Data'!$AM$4:$AM$1051,'Stock Data'!$AN$4:$AN$1051)</f>
        <v>227.26</v>
      </c>
    </row>
    <row r="217" spans="3:4" ht="15" customHeight="1">
      <c r="C217" s="493">
        <f>+'Stock Data'!AM28</f>
        <v>45914</v>
      </c>
      <c r="D217" s="467">
        <f>_xlfn.XLOOKUP(C217,'Stock Data'!$AM$4:$AM$1051,'Stock Data'!$AN$4:$AN$1051)</f>
        <v>227.26</v>
      </c>
    </row>
    <row r="218" spans="3:4" ht="15" customHeight="1">
      <c r="C218" s="493">
        <f>+'Stock Data'!AM29</f>
        <v>45913</v>
      </c>
      <c r="D218" s="467">
        <f>_xlfn.XLOOKUP(C218,'Stock Data'!$AM$4:$AM$1051,'Stock Data'!$AN$4:$AN$1051)</f>
        <v>227.26</v>
      </c>
    </row>
    <row r="219" spans="3:4" ht="15" customHeight="1">
      <c r="C219" s="493">
        <f>+'Stock Data'!AM30</f>
        <v>45912</v>
      </c>
      <c r="D219" s="467">
        <f>_xlfn.XLOOKUP(C219,'Stock Data'!$AM$4:$AM$1051,'Stock Data'!$AN$4:$AN$1051)</f>
        <v>231.07</v>
      </c>
    </row>
    <row r="220" spans="3:4" ht="15" customHeight="1">
      <c r="C220" s="493">
        <f>+'Stock Data'!AM31</f>
        <v>45911</v>
      </c>
      <c r="D220" s="467">
        <f>_xlfn.XLOOKUP(C220,'Stock Data'!$AM$4:$AM$1051,'Stock Data'!$AN$4:$AN$1051)</f>
        <v>230.5</v>
      </c>
    </row>
    <row r="221" spans="3:4" ht="15" customHeight="1">
      <c r="C221" s="493">
        <f>+'Stock Data'!AM32</f>
        <v>45910</v>
      </c>
      <c r="D221" s="467">
        <f>_xlfn.XLOOKUP(C221,'Stock Data'!$AM$4:$AM$1051,'Stock Data'!$AN$4:$AN$1051)</f>
        <v>230.42</v>
      </c>
    </row>
    <row r="222" spans="3:4" ht="15" customHeight="1">
      <c r="C222" s="493">
        <f>+'Stock Data'!AM33</f>
        <v>45909</v>
      </c>
      <c r="D222" s="467">
        <f>_xlfn.XLOOKUP(C222,'Stock Data'!$AM$4:$AM$1051,'Stock Data'!$AN$4:$AN$1051)</f>
        <v>224.61</v>
      </c>
    </row>
    <row r="223" spans="3:4" ht="15" customHeight="1">
      <c r="C223" s="493">
        <f>+'Stock Data'!AM34</f>
        <v>45908</v>
      </c>
      <c r="D223" s="467">
        <f>_xlfn.XLOOKUP(C223,'Stock Data'!$AM$4:$AM$1051,'Stock Data'!$AN$4:$AN$1051)</f>
        <v>228.05</v>
      </c>
    </row>
    <row r="224" spans="3:4" ht="15" customHeight="1">
      <c r="C224" s="493">
        <f>+'Stock Data'!AM35</f>
        <v>45907</v>
      </c>
      <c r="D224" s="467">
        <f>_xlfn.XLOOKUP(C224,'Stock Data'!$AM$4:$AM$1051,'Stock Data'!$AN$4:$AN$1051)</f>
        <v>228.05</v>
      </c>
    </row>
    <row r="225" spans="3:4" ht="15" customHeight="1">
      <c r="C225" s="493">
        <f>+'Stock Data'!AM36</f>
        <v>45906</v>
      </c>
      <c r="D225" s="467">
        <f>_xlfn.XLOOKUP(C225,'Stock Data'!$AM$4:$AM$1051,'Stock Data'!$AN$4:$AN$1051)</f>
        <v>228.05</v>
      </c>
    </row>
    <row r="226" spans="3:4" ht="15" customHeight="1">
      <c r="C226" s="493">
        <f>+'Stock Data'!AM37</f>
        <v>45905</v>
      </c>
      <c r="D226" s="467">
        <f>_xlfn.XLOOKUP(C226,'Stock Data'!$AM$4:$AM$1051,'Stock Data'!$AN$4:$AN$1051)</f>
        <v>224.66</v>
      </c>
    </row>
    <row r="227" spans="3:4" ht="15" customHeight="1">
      <c r="C227" s="493">
        <f>+'Stock Data'!AM38</f>
        <v>45904</v>
      </c>
      <c r="D227" s="467">
        <f>_xlfn.XLOOKUP(C227,'Stock Data'!$AM$4:$AM$1051,'Stock Data'!$AN$4:$AN$1051)</f>
        <v>226.45</v>
      </c>
    </row>
    <row r="228" spans="3:4" ht="15" customHeight="1">
      <c r="C228" s="493">
        <f>+'Stock Data'!AM39</f>
        <v>45903</v>
      </c>
      <c r="D228" s="467">
        <f>_xlfn.XLOOKUP(C228,'Stock Data'!$AM$4:$AM$1051,'Stock Data'!$AN$4:$AN$1051)</f>
        <v>222.41</v>
      </c>
    </row>
    <row r="229" spans="3:4" ht="15" customHeight="1">
      <c r="C229" s="493">
        <f>+'Stock Data'!AM40</f>
        <v>45902</v>
      </c>
      <c r="D229" s="467">
        <f>_xlfn.XLOOKUP(C229,'Stock Data'!$AM$4:$AM$1051,'Stock Data'!$AN$4:$AN$1051)</f>
        <v>217.49</v>
      </c>
    </row>
    <row r="230" spans="3:4" ht="15" customHeight="1">
      <c r="C230" s="493">
        <f>+'Stock Data'!AM41</f>
        <v>45901</v>
      </c>
      <c r="D230" s="467">
        <f>_xlfn.XLOOKUP(C230,'Stock Data'!$AM$4:$AM$1051,'Stock Data'!$AN$4:$AN$1051)</f>
        <v>217.1</v>
      </c>
    </row>
    <row r="231" spans="3:4" ht="15" customHeight="1">
      <c r="C231" s="493">
        <f>+'Stock Data'!AM42</f>
        <v>45900</v>
      </c>
      <c r="D231" s="467">
        <f>_xlfn.XLOOKUP(C231,'Stock Data'!$AM$4:$AM$1051,'Stock Data'!$AN$4:$AN$1051)</f>
        <v>217.1</v>
      </c>
    </row>
    <row r="232" spans="3:4" ht="15" customHeight="1">
      <c r="C232" s="493">
        <f>+'Stock Data'!AM43</f>
        <v>45899</v>
      </c>
      <c r="D232" s="467">
        <f>_xlfn.XLOOKUP(C232,'Stock Data'!$AM$4:$AM$1051,'Stock Data'!$AN$4:$AN$1051)</f>
        <v>217.1</v>
      </c>
    </row>
    <row r="233" spans="3:4" ht="15" customHeight="1">
      <c r="C233" s="493">
        <f>+'Stock Data'!AM44</f>
        <v>45898</v>
      </c>
      <c r="D233" s="467">
        <f>_xlfn.XLOOKUP(C233,'Stock Data'!$AM$4:$AM$1051,'Stock Data'!$AN$4:$AN$1051)</f>
        <v>223.49</v>
      </c>
    </row>
    <row r="234" spans="3:4" ht="15" customHeight="1">
      <c r="C234" s="493">
        <f>+'Stock Data'!AM45</f>
        <v>45897</v>
      </c>
      <c r="D234" s="467">
        <f>_xlfn.XLOOKUP(C234,'Stock Data'!$AM$4:$AM$1051,'Stock Data'!$AN$4:$AN$1051)</f>
        <v>223.86</v>
      </c>
    </row>
    <row r="235" spans="3:4" ht="15" customHeight="1">
      <c r="C235" s="493">
        <f>+'Stock Data'!AM46</f>
        <v>45896</v>
      </c>
      <c r="D235" s="467">
        <f>_xlfn.XLOOKUP(C235,'Stock Data'!$AM$4:$AM$1051,'Stock Data'!$AN$4:$AN$1051)</f>
        <v>234.54</v>
      </c>
    </row>
    <row r="236" spans="3:4" ht="15" customHeight="1">
      <c r="C236" s="493">
        <f>+'Stock Data'!AM47</f>
        <v>45895</v>
      </c>
      <c r="D236" s="467">
        <f>_xlfn.XLOOKUP(C236,'Stock Data'!$AM$4:$AM$1051,'Stock Data'!$AN$4:$AN$1051)</f>
        <v>242.41</v>
      </c>
    </row>
    <row r="237" spans="3:4" ht="15" customHeight="1">
      <c r="C237" s="493">
        <f>+'Stock Data'!AM48</f>
        <v>45894</v>
      </c>
      <c r="D237" s="467">
        <f>_xlfn.XLOOKUP(C237,'Stock Data'!$AM$4:$AM$1051,'Stock Data'!$AN$4:$AN$1051)</f>
        <v>243.2</v>
      </c>
    </row>
    <row r="238" spans="3:4" ht="15" customHeight="1">
      <c r="C238" s="493">
        <f>+'Stock Data'!AM49</f>
        <v>45893</v>
      </c>
      <c r="D238" s="467">
        <f>_xlfn.XLOOKUP(C238,'Stock Data'!$AM$4:$AM$1051,'Stock Data'!$AN$4:$AN$1051)</f>
        <v>243.2</v>
      </c>
    </row>
    <row r="239" spans="3:4" ht="15" customHeight="1">
      <c r="C239" s="493">
        <f>+'Stock Data'!AM50</f>
        <v>45892</v>
      </c>
      <c r="D239" s="467">
        <f>_xlfn.XLOOKUP(C239,'Stock Data'!$AM$4:$AM$1051,'Stock Data'!$AN$4:$AN$1051)</f>
        <v>243.2</v>
      </c>
    </row>
    <row r="240" spans="3:4" ht="15" customHeight="1">
      <c r="C240" s="493">
        <f>+'Stock Data'!AM51</f>
        <v>45891</v>
      </c>
      <c r="D240" s="467">
        <f>_xlfn.XLOOKUP(C240,'Stock Data'!$AM$4:$AM$1051,'Stock Data'!$AN$4:$AN$1051)</f>
        <v>236.51</v>
      </c>
    </row>
    <row r="241" spans="3:4" ht="15" customHeight="1">
      <c r="C241" s="493">
        <f>+'Stock Data'!AM52</f>
        <v>45890</v>
      </c>
      <c r="D241" s="467">
        <f>_xlfn.XLOOKUP(C241,'Stock Data'!$AM$4:$AM$1051,'Stock Data'!$AN$4:$AN$1051)</f>
        <v>237.9</v>
      </c>
    </row>
    <row r="242" spans="3:4" ht="15" customHeight="1">
      <c r="C242" s="493">
        <f>+'Stock Data'!AM53</f>
        <v>45889</v>
      </c>
      <c r="D242" s="467">
        <f>_xlfn.XLOOKUP(C242,'Stock Data'!$AM$4:$AM$1051,'Stock Data'!$AN$4:$AN$1051)</f>
        <v>231.7</v>
      </c>
    </row>
    <row r="243" spans="3:4" ht="15" customHeight="1">
      <c r="C243" s="493">
        <f>+'Stock Data'!AM54</f>
        <v>45888</v>
      </c>
      <c r="D243" s="467">
        <f>_xlfn.XLOOKUP(C243,'Stock Data'!$AM$4:$AM$1051,'Stock Data'!$AN$4:$AN$1051)</f>
        <v>225.73</v>
      </c>
    </row>
    <row r="244" spans="3:4" ht="15" customHeight="1">
      <c r="C244" s="493">
        <f>+'Stock Data'!AM55</f>
        <v>45887</v>
      </c>
      <c r="D244" s="467">
        <f>_xlfn.XLOOKUP(C244,'Stock Data'!$AM$4:$AM$1051,'Stock Data'!$AN$4:$AN$1051)</f>
        <v>226.62</v>
      </c>
    </row>
    <row r="245" spans="3:4" ht="15" customHeight="1">
      <c r="C245" s="493">
        <f>+'Stock Data'!AM56</f>
        <v>45886</v>
      </c>
      <c r="D245" s="467">
        <f>_xlfn.XLOOKUP(C245,'Stock Data'!$AM$4:$AM$1051,'Stock Data'!$AN$4:$AN$1051)</f>
        <v>226.62</v>
      </c>
    </row>
    <row r="246" spans="3:4" ht="15" customHeight="1">
      <c r="C246" s="493">
        <f>+'Stock Data'!AM57</f>
        <v>45885</v>
      </c>
      <c r="D246" s="467">
        <f>_xlfn.XLOOKUP(C246,'Stock Data'!$AM$4:$AM$1051,'Stock Data'!$AN$4:$AN$1051)</f>
        <v>226.62</v>
      </c>
    </row>
    <row r="247" spans="3:4" ht="15" customHeight="1">
      <c r="C247" s="493">
        <f>+'Stock Data'!AM58</f>
        <v>45884</v>
      </c>
      <c r="D247" s="467">
        <f>_xlfn.XLOOKUP(C247,'Stock Data'!$AM$4:$AM$1051,'Stock Data'!$AN$4:$AN$1051)</f>
        <v>228.37</v>
      </c>
    </row>
    <row r="248" spans="3:4" ht="15" customHeight="1">
      <c r="C248" s="493">
        <f>+'Stock Data'!AM59</f>
        <v>45883</v>
      </c>
      <c r="D248" s="467">
        <f>_xlfn.XLOOKUP(C248,'Stock Data'!$AM$4:$AM$1051,'Stock Data'!$AN$4:$AN$1051)</f>
        <v>228.75</v>
      </c>
    </row>
    <row r="249" spans="3:4" ht="15" customHeight="1">
      <c r="C249" s="493">
        <f>+'Stock Data'!AM60</f>
        <v>45882</v>
      </c>
      <c r="D249" s="467">
        <f>_xlfn.XLOOKUP(C249,'Stock Data'!$AM$4:$AM$1051,'Stock Data'!$AN$4:$AN$1051)</f>
        <v>230.66</v>
      </c>
    </row>
    <row r="250" spans="3:4" ht="15" customHeight="1">
      <c r="C250" s="493">
        <f>+'Stock Data'!AM61</f>
        <v>45881</v>
      </c>
      <c r="D250" s="467">
        <f>_xlfn.XLOOKUP(C250,'Stock Data'!$AM$4:$AM$1051,'Stock Data'!$AN$4:$AN$1051)</f>
        <v>233.98</v>
      </c>
    </row>
    <row r="251" spans="3:4" ht="15" customHeight="1">
      <c r="C251" s="493">
        <f>+'Stock Data'!AM62</f>
        <v>45880</v>
      </c>
      <c r="D251" s="467">
        <f>_xlfn.XLOOKUP(C251,'Stock Data'!$AM$4:$AM$1051,'Stock Data'!$AN$4:$AN$1051)</f>
        <v>236.06</v>
      </c>
    </row>
    <row r="252" spans="3:4" ht="15" customHeight="1">
      <c r="C252" s="493">
        <f>+'Stock Data'!AM63</f>
        <v>45879</v>
      </c>
      <c r="D252" s="467">
        <f>_xlfn.XLOOKUP(C252,'Stock Data'!$AM$4:$AM$1051,'Stock Data'!$AN$4:$AN$1051)</f>
        <v>236.06</v>
      </c>
    </row>
    <row r="253" spans="3:4" ht="15" customHeight="1">
      <c r="C253" s="493">
        <f>+'Stock Data'!AM64</f>
        <v>45878</v>
      </c>
      <c r="D253" s="467">
        <f>_xlfn.XLOOKUP(C253,'Stock Data'!$AM$4:$AM$1051,'Stock Data'!$AN$4:$AN$1051)</f>
        <v>236.06</v>
      </c>
    </row>
    <row r="254" spans="3:4" ht="15" customHeight="1">
      <c r="C254" s="493">
        <f>+'Stock Data'!AM65</f>
        <v>45877</v>
      </c>
      <c r="D254" s="467">
        <f>_xlfn.XLOOKUP(C254,'Stock Data'!$AM$4:$AM$1051,'Stock Data'!$AN$4:$AN$1051)</f>
        <v>238.73</v>
      </c>
    </row>
    <row r="255" spans="3:4" ht="15" customHeight="1">
      <c r="C255" s="493">
        <f>+'Stock Data'!AM66</f>
        <v>45876</v>
      </c>
      <c r="D255" s="467">
        <f>_xlfn.XLOOKUP(C255,'Stock Data'!$AM$4:$AM$1051,'Stock Data'!$AN$4:$AN$1051)</f>
        <v>236.51</v>
      </c>
    </row>
    <row r="256" spans="3:4" ht="15" customHeight="1">
      <c r="C256" s="493">
        <f>+'Stock Data'!AM67</f>
        <v>45875</v>
      </c>
      <c r="D256" s="467">
        <f>_xlfn.XLOOKUP(C256,'Stock Data'!$AM$4:$AM$1051,'Stock Data'!$AN$4:$AN$1051)</f>
        <v>238.71</v>
      </c>
    </row>
    <row r="257" spans="3:4" ht="15" customHeight="1">
      <c r="C257" s="493">
        <f>+'Stock Data'!AM68</f>
        <v>45874</v>
      </c>
      <c r="D257" s="467">
        <f>_xlfn.XLOOKUP(C257,'Stock Data'!$AM$4:$AM$1051,'Stock Data'!$AN$4:$AN$1051)</f>
        <v>235.09</v>
      </c>
    </row>
    <row r="258" spans="3:4" ht="15" customHeight="1">
      <c r="C258" s="493">
        <f>+'Stock Data'!AM69</f>
        <v>45873</v>
      </c>
      <c r="D258" s="467">
        <f>_xlfn.XLOOKUP(C258,'Stock Data'!$AM$4:$AM$1051,'Stock Data'!$AN$4:$AN$1051)</f>
        <v>241.23</v>
      </c>
    </row>
    <row r="259" spans="3:4" ht="15" customHeight="1">
      <c r="C259" s="493">
        <f>+'Stock Data'!AM70</f>
        <v>45872</v>
      </c>
      <c r="D259" s="467">
        <f>_xlfn.XLOOKUP(C259,'Stock Data'!$AM$4:$AM$1051,'Stock Data'!$AN$4:$AN$1051)</f>
        <v>241.23</v>
      </c>
    </row>
    <row r="260" spans="3:4" ht="15" customHeight="1">
      <c r="C260" s="493">
        <f>+'Stock Data'!AM71</f>
        <v>45871</v>
      </c>
      <c r="D260" s="467">
        <f>_xlfn.XLOOKUP(C260,'Stock Data'!$AM$4:$AM$1051,'Stock Data'!$AN$4:$AN$1051)</f>
        <v>241.23</v>
      </c>
    </row>
    <row r="261" spans="3:4" ht="15" customHeight="1">
      <c r="C261" s="493">
        <f>+'Stock Data'!AM72</f>
        <v>45870</v>
      </c>
      <c r="D261" s="467">
        <f>_xlfn.XLOOKUP(C261,'Stock Data'!$AM$4:$AM$1051,'Stock Data'!$AN$4:$AN$1051)</f>
        <v>241.23</v>
      </c>
    </row>
    <row r="262" spans="3:4" ht="15" customHeight="1">
      <c r="C262" s="493">
        <f>+'Stock Data'!AM73</f>
        <v>45869</v>
      </c>
      <c r="D262" s="467">
        <f>_xlfn.XLOOKUP(C262,'Stock Data'!$AM$4:$AM$1051,'Stock Data'!$AN$4:$AN$1051)</f>
        <v>239.14</v>
      </c>
    </row>
    <row r="263" spans="3:4" ht="15" customHeight="1">
      <c r="C263" s="493">
        <f>+'Stock Data'!AM74</f>
        <v>45868</v>
      </c>
      <c r="D263" s="467">
        <f>_xlfn.XLOOKUP(C263,'Stock Data'!$AM$4:$AM$1051,'Stock Data'!$AN$4:$AN$1051)</f>
        <v>234.33</v>
      </c>
    </row>
    <row r="264" spans="3:4" ht="15" customHeight="1">
      <c r="C264" s="493">
        <f>+'Stock Data'!AM75</f>
        <v>45867</v>
      </c>
      <c r="D264" s="467">
        <f>_xlfn.XLOOKUP(C264,'Stock Data'!$AM$4:$AM$1051,'Stock Data'!$AN$4:$AN$1051)</f>
        <v>227.31</v>
      </c>
    </row>
    <row r="265" spans="3:4" ht="15" customHeight="1">
      <c r="C265" s="493">
        <f>+'Stock Data'!AM76</f>
        <v>45866</v>
      </c>
      <c r="D265" s="467">
        <f>_xlfn.XLOOKUP(C265,'Stock Data'!$AM$4:$AM$1051,'Stock Data'!$AN$4:$AN$1051)</f>
        <v>228.91</v>
      </c>
    </row>
    <row r="266" spans="3:4" ht="15" customHeight="1">
      <c r="C266" s="493">
        <f>+'Stock Data'!AM77</f>
        <v>45865</v>
      </c>
      <c r="D266" s="467">
        <f>_xlfn.XLOOKUP(C266,'Stock Data'!$AM$4:$AM$1051,'Stock Data'!$AN$4:$AN$1051)</f>
        <v>228.91</v>
      </c>
    </row>
    <row r="267" spans="3:4" ht="15" customHeight="1">
      <c r="C267" s="493">
        <f>+'Stock Data'!AM78</f>
        <v>45864</v>
      </c>
      <c r="D267" s="467">
        <f>_xlfn.XLOOKUP(C267,'Stock Data'!$AM$4:$AM$1051,'Stock Data'!$AN$4:$AN$1051)</f>
        <v>228.91</v>
      </c>
    </row>
    <row r="268" spans="3:4" ht="15" customHeight="1">
      <c r="C268" s="493">
        <f>+'Stock Data'!AM79</f>
        <v>45863</v>
      </c>
      <c r="D268" s="467">
        <f>_xlfn.XLOOKUP(C268,'Stock Data'!$AM$4:$AM$1051,'Stock Data'!$AN$4:$AN$1051)</f>
        <v>221.07</v>
      </c>
    </row>
    <row r="269" spans="3:4" ht="15" customHeight="1">
      <c r="C269" s="493">
        <f>+'Stock Data'!AM80</f>
        <v>45862</v>
      </c>
      <c r="D269" s="467">
        <f>_xlfn.XLOOKUP(C269,'Stock Data'!$AM$4:$AM$1051,'Stock Data'!$AN$4:$AN$1051)</f>
        <v>222</v>
      </c>
    </row>
    <row r="270" spans="3:4" ht="15" customHeight="1">
      <c r="C270" s="493">
        <f>+'Stock Data'!AM81</f>
        <v>45861</v>
      </c>
      <c r="D270" s="467">
        <f>_xlfn.XLOOKUP(C270,'Stock Data'!$AM$4:$AM$1051,'Stock Data'!$AN$4:$AN$1051)</f>
        <v>229.51</v>
      </c>
    </row>
    <row r="271" spans="3:4" ht="15" customHeight="1">
      <c r="C271" s="493">
        <f>+'Stock Data'!AM82</f>
        <v>45860</v>
      </c>
      <c r="D271" s="467">
        <f>_xlfn.XLOOKUP(C271,'Stock Data'!$AM$4:$AM$1051,'Stock Data'!$AN$4:$AN$1051)</f>
        <v>229.23</v>
      </c>
    </row>
    <row r="272" spans="3:4" ht="15" customHeight="1">
      <c r="C272" s="493">
        <f>+'Stock Data'!AM83</f>
        <v>45859</v>
      </c>
      <c r="D272" s="467">
        <f>_xlfn.XLOOKUP(C272,'Stock Data'!$AM$4:$AM$1051,'Stock Data'!$AN$4:$AN$1051)</f>
        <v>226.04</v>
      </c>
    </row>
    <row r="273" spans="3:4" ht="15" customHeight="1">
      <c r="C273" s="493">
        <f>+'Stock Data'!AM84</f>
        <v>45858</v>
      </c>
      <c r="D273" s="467">
        <f>_xlfn.XLOOKUP(C273,'Stock Data'!$AM$4:$AM$1051,'Stock Data'!$AN$4:$AN$1051)</f>
        <v>226.04</v>
      </c>
    </row>
    <row r="274" spans="3:4" ht="15" customHeight="1">
      <c r="C274" s="493">
        <f>+'Stock Data'!AM85</f>
        <v>45857</v>
      </c>
      <c r="D274" s="467">
        <f>_xlfn.XLOOKUP(C274,'Stock Data'!$AM$4:$AM$1051,'Stock Data'!$AN$4:$AN$1051)</f>
        <v>226.04</v>
      </c>
    </row>
    <row r="275" spans="3:4" ht="15" customHeight="1">
      <c r="C275" s="493">
        <f>+'Stock Data'!AM86</f>
        <v>45856</v>
      </c>
      <c r="D275" s="467">
        <f>_xlfn.XLOOKUP(C275,'Stock Data'!$AM$4:$AM$1051,'Stock Data'!$AN$4:$AN$1051)</f>
        <v>223.3</v>
      </c>
    </row>
    <row r="276" spans="3:4" ht="15" customHeight="1">
      <c r="C276" s="493">
        <f>+'Stock Data'!AM87</f>
        <v>45855</v>
      </c>
      <c r="D276" s="467">
        <f>_xlfn.XLOOKUP(C276,'Stock Data'!$AM$4:$AM$1051,'Stock Data'!$AN$4:$AN$1051)</f>
        <v>223.3</v>
      </c>
    </row>
    <row r="277" spans="3:4" ht="15" customHeight="1">
      <c r="C277" s="493">
        <f>+'Stock Data'!AM88</f>
        <v>45854</v>
      </c>
      <c r="D277" s="467">
        <f>_xlfn.XLOOKUP(C277,'Stock Data'!$AM$4:$AM$1051,'Stock Data'!$AN$4:$AN$1051)</f>
        <v>222.53</v>
      </c>
    </row>
    <row r="278" spans="3:4" ht="15" customHeight="1">
      <c r="C278" s="493">
        <f>+'Stock Data'!AM89</f>
        <v>45853</v>
      </c>
      <c r="D278" s="467">
        <f>_xlfn.XLOOKUP(C278,'Stock Data'!$AM$4:$AM$1051,'Stock Data'!$AN$4:$AN$1051)</f>
        <v>226.77</v>
      </c>
    </row>
    <row r="279" spans="3:4" ht="15" customHeight="1">
      <c r="C279" s="493">
        <f>+'Stock Data'!AM90</f>
        <v>45852</v>
      </c>
      <c r="D279" s="467">
        <f>_xlfn.XLOOKUP(C279,'Stock Data'!$AM$4:$AM$1051,'Stock Data'!$AN$4:$AN$1051)</f>
        <v>224.38</v>
      </c>
    </row>
    <row r="280" spans="3:4" ht="15" customHeight="1">
      <c r="C280" s="493">
        <f>+'Stock Data'!AM91</f>
        <v>45851</v>
      </c>
      <c r="D280" s="467">
        <f>_xlfn.XLOOKUP(C280,'Stock Data'!$AM$4:$AM$1051,'Stock Data'!$AN$4:$AN$1051)</f>
        <v>224.38</v>
      </c>
    </row>
    <row r="281" spans="3:4" ht="15" customHeight="1">
      <c r="C281" s="493">
        <f>+'Stock Data'!AM92</f>
        <v>45850</v>
      </c>
      <c r="D281" s="467">
        <f>_xlfn.XLOOKUP(C281,'Stock Data'!$AM$4:$AM$1051,'Stock Data'!$AN$4:$AN$1051)</f>
        <v>224.38</v>
      </c>
    </row>
    <row r="282" spans="3:4" ht="15" customHeight="1">
      <c r="C282" s="493">
        <f>+'Stock Data'!AM93</f>
        <v>45849</v>
      </c>
      <c r="D282" s="467">
        <f>_xlfn.XLOOKUP(C282,'Stock Data'!$AM$4:$AM$1051,'Stock Data'!$AN$4:$AN$1051)</f>
        <v>225</v>
      </c>
    </row>
    <row r="283" spans="3:4" ht="15" customHeight="1">
      <c r="C283" s="493">
        <f>+'Stock Data'!AM94</f>
        <v>45848</v>
      </c>
      <c r="D283" s="467">
        <f>_xlfn.XLOOKUP(C283,'Stock Data'!$AM$4:$AM$1051,'Stock Data'!$AN$4:$AN$1051)</f>
        <v>224</v>
      </c>
    </row>
    <row r="284" spans="3:4" ht="15" customHeight="1">
      <c r="C284" s="493">
        <f>+'Stock Data'!AM95</f>
        <v>45847</v>
      </c>
      <c r="D284" s="467">
        <f>_xlfn.XLOOKUP(C284,'Stock Data'!$AM$4:$AM$1051,'Stock Data'!$AN$4:$AN$1051)</f>
        <v>227.96</v>
      </c>
    </row>
    <row r="285" spans="3:4" ht="15" customHeight="1">
      <c r="C285" s="493">
        <f>+'Stock Data'!AM96</f>
        <v>45846</v>
      </c>
      <c r="D285" s="467">
        <f>_xlfn.XLOOKUP(C285,'Stock Data'!$AM$4:$AM$1051,'Stock Data'!$AN$4:$AN$1051)</f>
        <v>222.18</v>
      </c>
    </row>
    <row r="286" spans="3:4" ht="15" customHeight="1">
      <c r="C286" s="493">
        <f>+'Stock Data'!AM97</f>
        <v>45845</v>
      </c>
      <c r="D286" s="467">
        <f>_xlfn.XLOOKUP(C286,'Stock Data'!$AM$4:$AM$1051,'Stock Data'!$AN$4:$AN$1051)</f>
        <v>219.61</v>
      </c>
    </row>
    <row r="287" spans="3:4" ht="15" customHeight="1">
      <c r="C287" s="493">
        <f>+'Stock Data'!AM98</f>
        <v>45844</v>
      </c>
      <c r="D287" s="467">
        <f>_xlfn.XLOOKUP(C287,'Stock Data'!$AM$4:$AM$1051,'Stock Data'!$AN$4:$AN$1051)</f>
        <v>219.61</v>
      </c>
    </row>
    <row r="288" spans="3:4" ht="15" customHeight="1">
      <c r="C288" s="493">
        <f>+'Stock Data'!AM99</f>
        <v>45843</v>
      </c>
      <c r="D288" s="467">
        <f>_xlfn.XLOOKUP(C288,'Stock Data'!$AM$4:$AM$1051,'Stock Data'!$AN$4:$AN$1051)</f>
        <v>219.61</v>
      </c>
    </row>
    <row r="289" spans="3:4" ht="15" customHeight="1">
      <c r="C289" s="493">
        <f>+'Stock Data'!AM100</f>
        <v>45842</v>
      </c>
      <c r="D289" s="467">
        <f>_xlfn.XLOOKUP(C289,'Stock Data'!$AM$4:$AM$1051,'Stock Data'!$AN$4:$AN$1051)</f>
        <v>216.73</v>
      </c>
    </row>
    <row r="290" spans="3:4" ht="15" customHeight="1">
      <c r="C290" s="493">
        <f>+'Stock Data'!AM101</f>
        <v>45841</v>
      </c>
      <c r="D290" s="467">
        <f>_xlfn.XLOOKUP(C290,'Stock Data'!$AM$4:$AM$1051,'Stock Data'!$AN$4:$AN$1051)</f>
        <v>218.89</v>
      </c>
    </row>
    <row r="291" spans="3:4" ht="15" customHeight="1">
      <c r="C291" s="493">
        <f>+'Stock Data'!AM102</f>
        <v>45840</v>
      </c>
      <c r="D291" s="467">
        <f>_xlfn.XLOOKUP(C291,'Stock Data'!$AM$4:$AM$1051,'Stock Data'!$AN$4:$AN$1051)</f>
        <v>219.78</v>
      </c>
    </row>
    <row r="292" spans="3:4" ht="15" customHeight="1">
      <c r="C292" s="493">
        <f>+'Stock Data'!AM103</f>
        <v>45839</v>
      </c>
      <c r="D292" s="467">
        <f>_xlfn.XLOOKUP(C292,'Stock Data'!$AM$4:$AM$1051,'Stock Data'!$AN$4:$AN$1051)</f>
        <v>217.89</v>
      </c>
    </row>
    <row r="293" spans="3:4" ht="15" customHeight="1">
      <c r="C293" s="493">
        <f>+'Stock Data'!AM104</f>
        <v>45838</v>
      </c>
      <c r="D293" s="467">
        <f>_xlfn.XLOOKUP(C293,'Stock Data'!$AM$4:$AM$1051,'Stock Data'!$AN$4:$AN$1051)</f>
        <v>218.1</v>
      </c>
    </row>
    <row r="294" spans="3:4" ht="15" customHeight="1">
      <c r="C294" s="493">
        <f>+'Stock Data'!AM105</f>
        <v>45837</v>
      </c>
      <c r="D294" s="467">
        <f>_xlfn.XLOOKUP(C294,'Stock Data'!$AM$4:$AM$1051,'Stock Data'!$AN$4:$AN$1051)</f>
        <v>218.1</v>
      </c>
    </row>
    <row r="295" spans="3:4" ht="15" customHeight="1">
      <c r="C295" s="493">
        <f>+'Stock Data'!AM106</f>
        <v>45836</v>
      </c>
      <c r="D295" s="467">
        <f>_xlfn.XLOOKUP(C295,'Stock Data'!$AM$4:$AM$1051,'Stock Data'!$AN$4:$AN$1051)</f>
        <v>218.1</v>
      </c>
    </row>
    <row r="296" spans="3:4" ht="15" customHeight="1">
      <c r="C296" s="493">
        <f>+'Stock Data'!AM107</f>
        <v>45835</v>
      </c>
      <c r="D296" s="467">
        <f>_xlfn.XLOOKUP(C296,'Stock Data'!$AM$4:$AM$1051,'Stock Data'!$AN$4:$AN$1051)</f>
        <v>220.26</v>
      </c>
    </row>
    <row r="297" spans="3:4" ht="15" customHeight="1">
      <c r="C297" s="493">
        <f>+'Stock Data'!AM108</f>
        <v>45834</v>
      </c>
      <c r="D297" s="467">
        <f>_xlfn.XLOOKUP(C297,'Stock Data'!$AM$4:$AM$1051,'Stock Data'!$AN$4:$AN$1051)</f>
        <v>217.15</v>
      </c>
    </row>
    <row r="298" spans="3:4" ht="15" customHeight="1">
      <c r="C298" s="493">
        <f>+'Stock Data'!AM109</f>
        <v>45833</v>
      </c>
      <c r="D298" s="467">
        <f>_xlfn.XLOOKUP(C298,'Stock Data'!$AM$4:$AM$1051,'Stock Data'!$AN$4:$AN$1051)</f>
        <v>219.76</v>
      </c>
    </row>
    <row r="299" spans="3:4" ht="15" customHeight="1">
      <c r="C299" s="493">
        <f>+'Stock Data'!AM110</f>
        <v>45832</v>
      </c>
      <c r="D299" s="467">
        <f>_xlfn.XLOOKUP(C299,'Stock Data'!$AM$4:$AM$1051,'Stock Data'!$AN$4:$AN$1051)</f>
        <v>216.61</v>
      </c>
    </row>
    <row r="300" spans="3:4" ht="15" customHeight="1">
      <c r="C300" s="493">
        <f>+'Stock Data'!AM111</f>
        <v>45831</v>
      </c>
      <c r="D300" s="467">
        <f>_xlfn.XLOOKUP(C300,'Stock Data'!$AM$4:$AM$1051,'Stock Data'!$AN$4:$AN$1051)</f>
        <v>216.61</v>
      </c>
    </row>
    <row r="301" spans="3:4" ht="15" customHeight="1">
      <c r="C301" s="493">
        <f>+'Stock Data'!AM112</f>
        <v>45830</v>
      </c>
      <c r="D301" s="467">
        <f>_xlfn.XLOOKUP(C301,'Stock Data'!$AM$4:$AM$1051,'Stock Data'!$AN$4:$AN$1051)</f>
        <v>216.61</v>
      </c>
    </row>
    <row r="302" spans="3:4" ht="15" customHeight="1">
      <c r="C302" s="493">
        <f>+'Stock Data'!AM113</f>
        <v>45829</v>
      </c>
      <c r="D302" s="467">
        <f>_xlfn.XLOOKUP(C302,'Stock Data'!$AM$4:$AM$1051,'Stock Data'!$AN$4:$AN$1051)</f>
        <v>216.61</v>
      </c>
    </row>
    <row r="303" spans="3:4" ht="15" customHeight="1">
      <c r="C303" s="493">
        <f>+'Stock Data'!AM114</f>
        <v>45828</v>
      </c>
      <c r="D303" s="467">
        <f>_xlfn.XLOOKUP(C303,'Stock Data'!$AM$4:$AM$1051,'Stock Data'!$AN$4:$AN$1051)</f>
        <v>218.81</v>
      </c>
    </row>
    <row r="304" spans="3:4" ht="15" customHeight="1">
      <c r="C304" s="493">
        <f>+'Stock Data'!AM115</f>
        <v>45827</v>
      </c>
      <c r="D304" s="467">
        <f>_xlfn.XLOOKUP(C304,'Stock Data'!$AM$4:$AM$1051,'Stock Data'!$AN$4:$AN$1051)</f>
        <v>216.81</v>
      </c>
    </row>
    <row r="305" spans="3:4" ht="15" customHeight="1">
      <c r="C305" s="493">
        <f>+'Stock Data'!AM116</f>
        <v>45826</v>
      </c>
      <c r="D305" s="467">
        <f>_xlfn.XLOOKUP(C305,'Stock Data'!$AM$4:$AM$1051,'Stock Data'!$AN$4:$AN$1051)</f>
        <v>221.14</v>
      </c>
    </row>
    <row r="306" spans="3:4" ht="15" customHeight="1">
      <c r="C306" s="493">
        <f>+'Stock Data'!AM117</f>
        <v>45825</v>
      </c>
      <c r="D306" s="467">
        <f>_xlfn.XLOOKUP(C306,'Stock Data'!$AM$4:$AM$1051,'Stock Data'!$AN$4:$AN$1051)</f>
        <v>226.12</v>
      </c>
    </row>
    <row r="307" spans="3:4" ht="15" customHeight="1">
      <c r="C307" s="493">
        <f>+'Stock Data'!AM118</f>
        <v>45824</v>
      </c>
      <c r="D307" s="467">
        <f>_xlfn.XLOOKUP(C307,'Stock Data'!$AM$4:$AM$1051,'Stock Data'!$AN$4:$AN$1051)</f>
        <v>229.51</v>
      </c>
    </row>
    <row r="308" spans="3:4" ht="15" customHeight="1">
      <c r="C308" s="493">
        <f>+'Stock Data'!AM119</f>
        <v>45823</v>
      </c>
      <c r="D308" s="467">
        <f>_xlfn.XLOOKUP(C308,'Stock Data'!$AM$4:$AM$1051,'Stock Data'!$AN$4:$AN$1051)</f>
        <v>229.51</v>
      </c>
    </row>
    <row r="309" spans="3:4" ht="15" customHeight="1">
      <c r="C309" s="493">
        <f>+'Stock Data'!AM120</f>
        <v>45822</v>
      </c>
      <c r="D309" s="467">
        <f>_xlfn.XLOOKUP(C309,'Stock Data'!$AM$4:$AM$1051,'Stock Data'!$AN$4:$AN$1051)</f>
        <v>229.51</v>
      </c>
    </row>
    <row r="310" spans="3:4" ht="15" customHeight="1">
      <c r="C310" s="493">
        <f>+'Stock Data'!AM121</f>
        <v>45821</v>
      </c>
      <c r="D310" s="467">
        <f>_xlfn.XLOOKUP(C310,'Stock Data'!$AM$4:$AM$1051,'Stock Data'!$AN$4:$AN$1051)</f>
        <v>231.11</v>
      </c>
    </row>
    <row r="311" spans="3:4" ht="15" customHeight="1">
      <c r="C311" s="493">
        <f>+'Stock Data'!AM122</f>
        <v>45820</v>
      </c>
      <c r="D311" s="467">
        <f>_xlfn.XLOOKUP(C311,'Stock Data'!$AM$4:$AM$1051,'Stock Data'!$AN$4:$AN$1051)</f>
        <v>231.8</v>
      </c>
    </row>
    <row r="312" spans="3:4" ht="15" customHeight="1">
      <c r="C312" s="493">
        <f>+'Stock Data'!AM123</f>
        <v>45819</v>
      </c>
      <c r="D312" s="467">
        <f>_xlfn.XLOOKUP(C312,'Stock Data'!$AM$4:$AM$1051,'Stock Data'!$AN$4:$AN$1051)</f>
        <v>231.15</v>
      </c>
    </row>
    <row r="313" spans="3:4" ht="15" customHeight="1">
      <c r="C313" s="493">
        <f>+'Stock Data'!AM124</f>
        <v>45818</v>
      </c>
      <c r="D313" s="467">
        <f>_xlfn.XLOOKUP(C313,'Stock Data'!$AM$4:$AM$1051,'Stock Data'!$AN$4:$AN$1051)</f>
        <v>232.95</v>
      </c>
    </row>
    <row r="314" spans="3:4" ht="15" customHeight="1">
      <c r="C314" s="493">
        <f>+'Stock Data'!AM125</f>
        <v>45817</v>
      </c>
      <c r="D314" s="467">
        <f>_xlfn.XLOOKUP(C314,'Stock Data'!$AM$4:$AM$1051,'Stock Data'!$AN$4:$AN$1051)</f>
        <v>217.83</v>
      </c>
    </row>
    <row r="315" spans="3:4" ht="15" customHeight="1">
      <c r="C315" s="493">
        <f>+'Stock Data'!AM126</f>
        <v>45816</v>
      </c>
      <c r="D315" s="467">
        <f>_xlfn.XLOOKUP(C315,'Stock Data'!$AM$4:$AM$1051,'Stock Data'!$AN$4:$AN$1051)</f>
        <v>217.83</v>
      </c>
    </row>
    <row r="316" spans="3:4" ht="15" customHeight="1">
      <c r="C316" s="493">
        <f>+'Stock Data'!AM127</f>
        <v>45815</v>
      </c>
      <c r="D316" s="467">
        <f>_xlfn.XLOOKUP(C316,'Stock Data'!$AM$4:$AM$1051,'Stock Data'!$AN$4:$AN$1051)</f>
        <v>217.83</v>
      </c>
    </row>
    <row r="317" spans="3:4" ht="15" customHeight="1">
      <c r="C317" s="493">
        <f>+'Stock Data'!AM128</f>
        <v>45814</v>
      </c>
      <c r="D317" s="467">
        <f>_xlfn.XLOOKUP(C317,'Stock Data'!$AM$4:$AM$1051,'Stock Data'!$AN$4:$AN$1051)</f>
        <v>219.21</v>
      </c>
    </row>
    <row r="318" spans="3:4" ht="15" customHeight="1">
      <c r="C318" s="493">
        <f>+'Stock Data'!AM129</f>
        <v>45813</v>
      </c>
      <c r="D318" s="467">
        <f>_xlfn.XLOOKUP(C318,'Stock Data'!$AM$4:$AM$1051,'Stock Data'!$AN$4:$AN$1051)</f>
        <v>215.56</v>
      </c>
    </row>
    <row r="319" spans="3:4" ht="15" customHeight="1">
      <c r="C319" s="493">
        <f>+'Stock Data'!AM130</f>
        <v>45812</v>
      </c>
      <c r="D319" s="467">
        <f>_xlfn.XLOOKUP(C319,'Stock Data'!$AM$4:$AM$1051,'Stock Data'!$AN$4:$AN$1051)</f>
        <v>213.41</v>
      </c>
    </row>
    <row r="320" spans="3:4" ht="15" customHeight="1">
      <c r="C320" s="493">
        <f>+'Stock Data'!AM131</f>
        <v>45811</v>
      </c>
      <c r="D320" s="467">
        <f>_xlfn.XLOOKUP(C320,'Stock Data'!$AM$4:$AM$1051,'Stock Data'!$AN$4:$AN$1051)</f>
        <v>216.99</v>
      </c>
    </row>
    <row r="321" spans="3:4" ht="15" customHeight="1">
      <c r="C321" s="493">
        <f>+'Stock Data'!AM132</f>
        <v>45810</v>
      </c>
      <c r="D321" s="467">
        <f>_xlfn.XLOOKUP(C321,'Stock Data'!$AM$4:$AM$1051,'Stock Data'!$AN$4:$AN$1051)</f>
        <v>219.72</v>
      </c>
    </row>
    <row r="322" spans="3:4" ht="15" customHeight="1">
      <c r="C322" s="493">
        <f>+'Stock Data'!AM133</f>
        <v>45809</v>
      </c>
      <c r="D322" s="467">
        <f>_xlfn.XLOOKUP(C322,'Stock Data'!$AM$4:$AM$1051,'Stock Data'!$AN$4:$AN$1051)</f>
        <v>219.72</v>
      </c>
    </row>
    <row r="323" spans="3:4" ht="15" customHeight="1">
      <c r="C323" s="493">
        <f>+'Stock Data'!AM134</f>
        <v>45808</v>
      </c>
      <c r="D323" s="467">
        <f>_xlfn.XLOOKUP(C323,'Stock Data'!$AM$4:$AM$1051,'Stock Data'!$AN$4:$AN$1051)</f>
        <v>219.72</v>
      </c>
    </row>
    <row r="324" spans="3:4" ht="15" customHeight="1">
      <c r="C324" s="493">
        <f>+'Stock Data'!AM135</f>
        <v>45807</v>
      </c>
      <c r="D324" s="467">
        <f>_xlfn.XLOOKUP(C324,'Stock Data'!$AM$4:$AM$1051,'Stock Data'!$AN$4:$AN$1051)</f>
        <v>210.06</v>
      </c>
    </row>
    <row r="325" spans="3:4" ht="15" customHeight="1">
      <c r="C325" s="493">
        <f>+'Stock Data'!AM136</f>
        <v>45806</v>
      </c>
      <c r="D325" s="467">
        <f>_xlfn.XLOOKUP(C325,'Stock Data'!$AM$4:$AM$1051,'Stock Data'!$AN$4:$AN$1051)</f>
        <v>210.33</v>
      </c>
    </row>
    <row r="326" spans="3:4" ht="15" customHeight="1">
      <c r="C326" s="493">
        <f>+'Stock Data'!AM137</f>
        <v>45805</v>
      </c>
      <c r="D326" s="467">
        <f>_xlfn.XLOOKUP(C326,'Stock Data'!$AM$4:$AM$1051,'Stock Data'!$AN$4:$AN$1051)</f>
        <v>209.85</v>
      </c>
    </row>
    <row r="327" spans="3:4" ht="15" customHeight="1">
      <c r="C327" s="493">
        <f>+'Stock Data'!AM138</f>
        <v>45804</v>
      </c>
      <c r="D327" s="467">
        <f>_xlfn.XLOOKUP(C327,'Stock Data'!$AM$4:$AM$1051,'Stock Data'!$AN$4:$AN$1051)</f>
        <v>211.5</v>
      </c>
    </row>
    <row r="328" spans="3:4" ht="15" customHeight="1">
      <c r="C328" s="493">
        <f>+'Stock Data'!AM139</f>
        <v>45803</v>
      </c>
      <c r="D328" s="467">
        <f>_xlfn.XLOOKUP(C328,'Stock Data'!$AM$4:$AM$1051,'Stock Data'!$AN$4:$AN$1051)</f>
        <v>211.56</v>
      </c>
    </row>
    <row r="329" spans="3:4" ht="15" customHeight="1">
      <c r="C329" s="493">
        <f>+'Stock Data'!AM140</f>
        <v>45802</v>
      </c>
      <c r="D329" s="467">
        <f>_xlfn.XLOOKUP(C329,'Stock Data'!$AM$4:$AM$1051,'Stock Data'!$AN$4:$AN$1051)</f>
        <v>211.56</v>
      </c>
    </row>
    <row r="330" spans="3:4" ht="15" customHeight="1">
      <c r="C330" s="493">
        <f>+'Stock Data'!AM141</f>
        <v>45801</v>
      </c>
      <c r="D330" s="467">
        <f>_xlfn.XLOOKUP(C330,'Stock Data'!$AM$4:$AM$1051,'Stock Data'!$AN$4:$AN$1051)</f>
        <v>211.56</v>
      </c>
    </row>
    <row r="331" spans="3:4" ht="15" customHeight="1">
      <c r="C331" s="493">
        <f>+'Stock Data'!AM142</f>
        <v>45800</v>
      </c>
      <c r="D331" s="467">
        <f>_xlfn.XLOOKUP(C331,'Stock Data'!$AM$4:$AM$1051,'Stock Data'!$AN$4:$AN$1051)</f>
        <v>215.69</v>
      </c>
    </row>
    <row r="332" spans="3:4" ht="15" customHeight="1">
      <c r="C332" s="493">
        <f>+'Stock Data'!AM143</f>
        <v>45799</v>
      </c>
      <c r="D332" s="467">
        <f>_xlfn.XLOOKUP(C332,'Stock Data'!$AM$4:$AM$1051,'Stock Data'!$AN$4:$AN$1051)</f>
        <v>211.04</v>
      </c>
    </row>
    <row r="333" spans="3:4" ht="15" customHeight="1">
      <c r="C333" s="493">
        <f>+'Stock Data'!AM144</f>
        <v>45798</v>
      </c>
      <c r="D333" s="467">
        <f>_xlfn.XLOOKUP(C333,'Stock Data'!$AM$4:$AM$1051,'Stock Data'!$AN$4:$AN$1051)</f>
        <v>206.57</v>
      </c>
    </row>
    <row r="334" spans="3:4" ht="15" customHeight="1">
      <c r="C334" s="493">
        <f>+'Stock Data'!AM145</f>
        <v>45797</v>
      </c>
      <c r="D334" s="467">
        <f>_xlfn.XLOOKUP(C334,'Stock Data'!$AM$4:$AM$1051,'Stock Data'!$AN$4:$AN$1051)</f>
        <v>205.12</v>
      </c>
    </row>
    <row r="335" spans="3:4" ht="15" customHeight="1">
      <c r="C335" s="493">
        <f>+'Stock Data'!AM146</f>
        <v>45796</v>
      </c>
      <c r="D335" s="467">
        <f>_xlfn.XLOOKUP(C335,'Stock Data'!$AM$4:$AM$1051,'Stock Data'!$AN$4:$AN$1051)</f>
        <v>207.55</v>
      </c>
    </row>
    <row r="336" spans="3:4" ht="15" customHeight="1">
      <c r="C336" s="493">
        <f>+'Stock Data'!AM147</f>
        <v>45795</v>
      </c>
      <c r="D336" s="467">
        <f>_xlfn.XLOOKUP(C336,'Stock Data'!$AM$4:$AM$1051,'Stock Data'!$AN$4:$AN$1051)</f>
        <v>207.55</v>
      </c>
    </row>
    <row r="337" spans="3:4" ht="15" customHeight="1">
      <c r="C337" s="493">
        <f>+'Stock Data'!AM148</f>
        <v>45794</v>
      </c>
      <c r="D337" s="467">
        <f>_xlfn.XLOOKUP(C337,'Stock Data'!$AM$4:$AM$1051,'Stock Data'!$AN$4:$AN$1051)</f>
        <v>207.55</v>
      </c>
    </row>
    <row r="338" spans="3:4" ht="15" customHeight="1">
      <c r="C338" s="493">
        <f>+'Stock Data'!AM149</f>
        <v>45793</v>
      </c>
      <c r="D338" s="467">
        <f>_xlfn.XLOOKUP(C338,'Stock Data'!$AM$4:$AM$1051,'Stock Data'!$AN$4:$AN$1051)</f>
        <v>207.55</v>
      </c>
    </row>
    <row r="339" spans="3:4" ht="15" customHeight="1">
      <c r="C339" s="493">
        <f>+'Stock Data'!AM150</f>
        <v>45792</v>
      </c>
      <c r="D339" s="467">
        <f>_xlfn.XLOOKUP(C339,'Stock Data'!$AM$4:$AM$1051,'Stock Data'!$AN$4:$AN$1051)</f>
        <v>203.56</v>
      </c>
    </row>
    <row r="340" spans="3:4" ht="15" customHeight="1">
      <c r="C340" s="493">
        <f>+'Stock Data'!AM151</f>
        <v>45791</v>
      </c>
      <c r="D340" s="467">
        <f>_xlfn.XLOOKUP(C340,'Stock Data'!$AM$4:$AM$1051,'Stock Data'!$AN$4:$AN$1051)</f>
        <v>207.35</v>
      </c>
    </row>
    <row r="341" spans="3:4" ht="15" customHeight="1">
      <c r="C341" s="493">
        <f>+'Stock Data'!AM152</f>
        <v>45790</v>
      </c>
      <c r="D341" s="467">
        <f>_xlfn.XLOOKUP(C341,'Stock Data'!$AM$4:$AM$1051,'Stock Data'!$AN$4:$AN$1051)</f>
        <v>210.45</v>
      </c>
    </row>
    <row r="342" spans="3:4" ht="15" customHeight="1">
      <c r="C342" s="493">
        <f>+'Stock Data'!AM153</f>
        <v>45789</v>
      </c>
      <c r="D342" s="467">
        <f>_xlfn.XLOOKUP(C342,'Stock Data'!$AM$4:$AM$1051,'Stock Data'!$AN$4:$AN$1051)</f>
        <v>207.77</v>
      </c>
    </row>
    <row r="343" spans="3:4" ht="15" customHeight="1">
      <c r="C343" s="493">
        <f>+'Stock Data'!AM154</f>
        <v>45788</v>
      </c>
      <c r="D343" s="467">
        <f>_xlfn.XLOOKUP(C343,'Stock Data'!$AM$4:$AM$1051,'Stock Data'!$AN$4:$AN$1051)</f>
        <v>207.77</v>
      </c>
    </row>
    <row r="344" spans="3:4" ht="15" customHeight="1">
      <c r="C344" s="493">
        <f>+'Stock Data'!AM155</f>
        <v>45787</v>
      </c>
      <c r="D344" s="467">
        <f>_xlfn.XLOOKUP(C344,'Stock Data'!$AM$4:$AM$1051,'Stock Data'!$AN$4:$AN$1051)</f>
        <v>207.77</v>
      </c>
    </row>
    <row r="345" spans="3:4" ht="15" customHeight="1">
      <c r="C345" s="493">
        <f>+'Stock Data'!AM156</f>
        <v>45786</v>
      </c>
      <c r="D345" s="467">
        <f>_xlfn.XLOOKUP(C345,'Stock Data'!$AM$4:$AM$1051,'Stock Data'!$AN$4:$AN$1051)</f>
        <v>206.4</v>
      </c>
    </row>
    <row r="346" spans="3:4" ht="15" customHeight="1">
      <c r="C346" s="493">
        <f>+'Stock Data'!AM157</f>
        <v>45785</v>
      </c>
      <c r="D346" s="467">
        <f>_xlfn.XLOOKUP(C346,'Stock Data'!$AM$4:$AM$1051,'Stock Data'!$AN$4:$AN$1051)</f>
        <v>217.94</v>
      </c>
    </row>
    <row r="347" spans="3:4" ht="15" customHeight="1">
      <c r="C347" s="493">
        <f>+'Stock Data'!AM158</f>
        <v>45784</v>
      </c>
      <c r="D347" s="467">
        <f>_xlfn.XLOOKUP(C347,'Stock Data'!$AM$4:$AM$1051,'Stock Data'!$AN$4:$AN$1051)</f>
        <v>198.07</v>
      </c>
    </row>
    <row r="348" spans="3:4" ht="15" customHeight="1">
      <c r="C348" s="493">
        <f>+'Stock Data'!AM159</f>
        <v>45783</v>
      </c>
      <c r="D348" s="467">
        <f>_xlfn.XLOOKUP(C348,'Stock Data'!$AM$4:$AM$1051,'Stock Data'!$AN$4:$AN$1051)</f>
        <v>205.23</v>
      </c>
    </row>
    <row r="349" spans="3:4" ht="15" customHeight="1">
      <c r="C349" s="493">
        <f>+'Stock Data'!AM160</f>
        <v>45782</v>
      </c>
      <c r="D349" s="467">
        <f>_xlfn.XLOOKUP(C349,'Stock Data'!$AM$4:$AM$1051,'Stock Data'!$AN$4:$AN$1051)</f>
        <v>210.12</v>
      </c>
    </row>
    <row r="350" spans="3:4" ht="15" customHeight="1">
      <c r="C350" s="493">
        <f>+'Stock Data'!AM161</f>
        <v>45781</v>
      </c>
      <c r="D350" s="467">
        <f>_xlfn.XLOOKUP(C350,'Stock Data'!$AM$4:$AM$1051,'Stock Data'!$AN$4:$AN$1051)</f>
        <v>210.12</v>
      </c>
    </row>
    <row r="351" spans="3:4" ht="15" customHeight="1">
      <c r="C351" s="493">
        <f>+'Stock Data'!AM162</f>
        <v>45780</v>
      </c>
      <c r="D351" s="467">
        <f>_xlfn.XLOOKUP(C351,'Stock Data'!$AM$4:$AM$1051,'Stock Data'!$AN$4:$AN$1051)</f>
        <v>210.12</v>
      </c>
    </row>
    <row r="352" spans="3:4" ht="15" customHeight="1">
      <c r="C352" s="493">
        <f>+'Stock Data'!AM163</f>
        <v>45779</v>
      </c>
      <c r="D352" s="467">
        <f>_xlfn.XLOOKUP(C352,'Stock Data'!$AM$4:$AM$1051,'Stock Data'!$AN$4:$AN$1051)</f>
        <v>215.86</v>
      </c>
    </row>
    <row r="353" spans="3:4" ht="15" customHeight="1">
      <c r="C353" s="493">
        <f>+'Stock Data'!AM164</f>
        <v>45778</v>
      </c>
      <c r="D353" s="467">
        <f>_xlfn.XLOOKUP(C353,'Stock Data'!$AM$4:$AM$1051,'Stock Data'!$AN$4:$AN$1051)</f>
        <v>245.17</v>
      </c>
    </row>
    <row r="354" spans="3:4" ht="15" customHeight="1">
      <c r="C354" s="493">
        <f>+'Stock Data'!AM165</f>
        <v>45777</v>
      </c>
      <c r="D354" s="467">
        <f>_xlfn.XLOOKUP(C354,'Stock Data'!$AM$4:$AM$1051,'Stock Data'!$AN$4:$AN$1051)</f>
        <v>241.98</v>
      </c>
    </row>
    <row r="355" spans="3:4" ht="15" customHeight="1">
      <c r="C355" s="493">
        <f>+'Stock Data'!AM166</f>
        <v>45776</v>
      </c>
      <c r="D355" s="467">
        <f>_xlfn.XLOOKUP(C355,'Stock Data'!$AM$4:$AM$1051,'Stock Data'!$AN$4:$AN$1051)</f>
        <v>243.78</v>
      </c>
    </row>
    <row r="356" spans="3:4" ht="15" customHeight="1">
      <c r="C356" s="493">
        <f>+'Stock Data'!AM167</f>
        <v>45775</v>
      </c>
      <c r="D356" s="467">
        <f>_xlfn.XLOOKUP(C356,'Stock Data'!$AM$4:$AM$1051,'Stock Data'!$AN$4:$AN$1051)</f>
        <v>241.71</v>
      </c>
    </row>
    <row r="357" spans="3:4" ht="15" customHeight="1">
      <c r="C357" s="493">
        <f>+'Stock Data'!AM168</f>
        <v>45774</v>
      </c>
      <c r="D357" s="467">
        <f>_xlfn.XLOOKUP(C357,'Stock Data'!$AM$4:$AM$1051,'Stock Data'!$AN$4:$AN$1051)</f>
        <v>241.71</v>
      </c>
    </row>
    <row r="358" spans="3:4" ht="15" customHeight="1">
      <c r="C358" s="493">
        <f>+'Stock Data'!AM169</f>
        <v>45773</v>
      </c>
      <c r="D358" s="467">
        <f>_xlfn.XLOOKUP(C358,'Stock Data'!$AM$4:$AM$1051,'Stock Data'!$AN$4:$AN$1051)</f>
        <v>241.71</v>
      </c>
    </row>
    <row r="359" spans="3:4" ht="15" customHeight="1">
      <c r="C359" s="493">
        <f>+'Stock Data'!AM170</f>
        <v>45772</v>
      </c>
      <c r="D359" s="467">
        <f>_xlfn.XLOOKUP(C359,'Stock Data'!$AM$4:$AM$1051,'Stock Data'!$AN$4:$AN$1051)</f>
        <v>243.92</v>
      </c>
    </row>
    <row r="360" spans="3:4" ht="15" customHeight="1">
      <c r="C360" s="493">
        <f>+'Stock Data'!AM171</f>
        <v>45771</v>
      </c>
      <c r="D360" s="467">
        <f>_xlfn.XLOOKUP(C360,'Stock Data'!$AM$4:$AM$1051,'Stock Data'!$AN$4:$AN$1051)</f>
        <v>243.67</v>
      </c>
    </row>
    <row r="361" spans="3:4" ht="15" customHeight="1">
      <c r="C361" s="493">
        <f>+'Stock Data'!AM172</f>
        <v>45770</v>
      </c>
      <c r="D361" s="467">
        <f>_xlfn.XLOOKUP(C361,'Stock Data'!$AM$4:$AM$1051,'Stock Data'!$AN$4:$AN$1051)</f>
        <v>241.07</v>
      </c>
    </row>
    <row r="362" spans="3:4" ht="15" customHeight="1">
      <c r="C362" s="493">
        <f>+'Stock Data'!AM173</f>
        <v>45769</v>
      </c>
      <c r="D362" s="467">
        <f>_xlfn.XLOOKUP(C362,'Stock Data'!$AM$4:$AM$1051,'Stock Data'!$AN$4:$AN$1051)</f>
        <v>242.32</v>
      </c>
    </row>
    <row r="363" spans="3:4" ht="15" customHeight="1">
      <c r="C363" s="493">
        <f>+'Stock Data'!AM174</f>
        <v>45768</v>
      </c>
      <c r="D363" s="467">
        <f>_xlfn.XLOOKUP(C363,'Stock Data'!$AM$4:$AM$1051,'Stock Data'!$AN$4:$AN$1051)</f>
        <v>230.33</v>
      </c>
    </row>
    <row r="364" spans="3:4" ht="15" customHeight="1">
      <c r="C364" s="493">
        <f>+'Stock Data'!AM175</f>
        <v>45767</v>
      </c>
      <c r="D364" s="467">
        <f>_xlfn.XLOOKUP(C364,'Stock Data'!$AM$4:$AM$1051,'Stock Data'!$AN$4:$AN$1051)</f>
        <v>230.33</v>
      </c>
    </row>
    <row r="365" spans="3:4" ht="15" customHeight="1">
      <c r="C365" s="493">
        <f>+'Stock Data'!AM176</f>
        <v>45766</v>
      </c>
      <c r="D365" s="467">
        <f>_xlfn.XLOOKUP(C365,'Stock Data'!$AM$4:$AM$1051,'Stock Data'!$AN$4:$AN$1051)</f>
        <v>230.33</v>
      </c>
    </row>
    <row r="366" spans="3:4" ht="15" customHeight="1">
      <c r="C366" s="493">
        <f>+'Stock Data'!AM177</f>
        <v>45765</v>
      </c>
      <c r="D366" s="467">
        <f>_xlfn.XLOOKUP(C366,'Stock Data'!$AM$4:$AM$1051,'Stock Data'!$AN$4:$AN$1051)</f>
        <v>246.21</v>
      </c>
    </row>
    <row r="367" spans="3:4" ht="15" customHeight="1">
      <c r="C367" s="493">
        <f>+'Stock Data'!AM178</f>
        <v>45764</v>
      </c>
      <c r="D367" s="467">
        <f>_xlfn.XLOOKUP(C367,'Stock Data'!$AM$4:$AM$1051,'Stock Data'!$AN$4:$AN$1051)</f>
        <v>247.12</v>
      </c>
    </row>
    <row r="368" spans="3:4" ht="15" customHeight="1">
      <c r="C368" s="493">
        <f>+'Stock Data'!AM179</f>
        <v>45763</v>
      </c>
      <c r="D368" s="467">
        <f>_xlfn.XLOOKUP(C368,'Stock Data'!$AM$4:$AM$1051,'Stock Data'!$AN$4:$AN$1051)</f>
        <v>245.8</v>
      </c>
    </row>
    <row r="369" spans="3:4" ht="15" customHeight="1">
      <c r="C369" s="493">
        <f>+'Stock Data'!AM180</f>
        <v>45762</v>
      </c>
      <c r="D369" s="467">
        <f>_xlfn.XLOOKUP(C369,'Stock Data'!$AM$4:$AM$1051,'Stock Data'!$AN$4:$AN$1051)</f>
        <v>245.3</v>
      </c>
    </row>
    <row r="370" spans="3:4" ht="15" customHeight="1">
      <c r="C370" s="493">
        <f>+'Stock Data'!AM181</f>
        <v>45761</v>
      </c>
      <c r="D370" s="467">
        <f>_xlfn.XLOOKUP(C370,'Stock Data'!$AM$4:$AM$1051,'Stock Data'!$AN$4:$AN$1051)</f>
        <v>242.2</v>
      </c>
    </row>
    <row r="371" spans="3:4" ht="15" customHeight="1">
      <c r="C371" s="493">
        <f>+'Stock Data'!AM182</f>
        <v>45760</v>
      </c>
      <c r="D371" s="467">
        <f>_xlfn.XLOOKUP(C371,'Stock Data'!$AM$4:$AM$1051,'Stock Data'!$AN$4:$AN$1051)</f>
        <v>242.2</v>
      </c>
    </row>
    <row r="372" spans="3:4" ht="15" customHeight="1">
      <c r="C372" s="493">
        <f>+'Stock Data'!AM183</f>
        <v>45759</v>
      </c>
      <c r="D372" s="467">
        <f>_xlfn.XLOOKUP(C372,'Stock Data'!$AM$4:$AM$1051,'Stock Data'!$AN$4:$AN$1051)</f>
        <v>242.2</v>
      </c>
    </row>
    <row r="373" spans="3:4" ht="15" customHeight="1">
      <c r="C373" s="493">
        <f>+'Stock Data'!AM184</f>
        <v>45758</v>
      </c>
      <c r="D373" s="467">
        <f>_xlfn.XLOOKUP(C373,'Stock Data'!$AM$4:$AM$1051,'Stock Data'!$AN$4:$AN$1051)</f>
        <v>240.98</v>
      </c>
    </row>
    <row r="374" spans="3:4" ht="15" customHeight="1">
      <c r="C374" s="493">
        <f>+'Stock Data'!AM185</f>
        <v>45757</v>
      </c>
      <c r="D374" s="467">
        <f>_xlfn.XLOOKUP(C374,'Stock Data'!$AM$4:$AM$1051,'Stock Data'!$AN$4:$AN$1051)</f>
        <v>243.51</v>
      </c>
    </row>
    <row r="375" spans="3:4" ht="15" customHeight="1">
      <c r="C375" s="493">
        <f>+'Stock Data'!AM186</f>
        <v>45756</v>
      </c>
      <c r="D375" s="467">
        <f>_xlfn.XLOOKUP(C375,'Stock Data'!$AM$4:$AM$1051,'Stock Data'!$AN$4:$AN$1051)</f>
        <v>242.96</v>
      </c>
    </row>
    <row r="376" spans="3:4" ht="15" customHeight="1">
      <c r="C376" s="493">
        <f>+'Stock Data'!AM187</f>
        <v>45755</v>
      </c>
      <c r="D376" s="467">
        <f>_xlfn.XLOOKUP(C376,'Stock Data'!$AM$4:$AM$1051,'Stock Data'!$AN$4:$AN$1051)</f>
        <v>246.51</v>
      </c>
    </row>
    <row r="377" spans="3:4" ht="15" customHeight="1">
      <c r="C377" s="493">
        <f>+'Stock Data'!AM188</f>
        <v>45754</v>
      </c>
      <c r="D377" s="467">
        <f>_xlfn.XLOOKUP(C377,'Stock Data'!$AM$4:$AM$1051,'Stock Data'!$AN$4:$AN$1051)</f>
        <v>253.92</v>
      </c>
    </row>
    <row r="378" spans="3:4" ht="15" customHeight="1">
      <c r="C378" s="493">
        <f>+'Stock Data'!AM189</f>
        <v>45753</v>
      </c>
      <c r="D378" s="467">
        <f>_xlfn.XLOOKUP(C378,'Stock Data'!$AM$4:$AM$1051,'Stock Data'!$AN$4:$AN$1051)</f>
        <v>253.92</v>
      </c>
    </row>
    <row r="379" spans="3:4" ht="15" customHeight="1">
      <c r="C379" s="493">
        <f>+'Stock Data'!AM190</f>
        <v>45752</v>
      </c>
      <c r="D379" s="467">
        <f>_xlfn.XLOOKUP(C379,'Stock Data'!$AM$4:$AM$1051,'Stock Data'!$AN$4:$AN$1051)</f>
        <v>253.92</v>
      </c>
    </row>
    <row r="380" spans="3:4" ht="15" customHeight="1">
      <c r="C380" s="493">
        <f>+'Stock Data'!AM191</f>
        <v>45751</v>
      </c>
      <c r="D380" s="467">
        <f>_xlfn.XLOOKUP(C380,'Stock Data'!$AM$4:$AM$1051,'Stock Data'!$AN$4:$AN$1051)</f>
        <v>249.79</v>
      </c>
    </row>
    <row r="381" spans="3:4" ht="15" customHeight="1">
      <c r="C381" s="493">
        <f>+'Stock Data'!AM192</f>
        <v>45750</v>
      </c>
      <c r="D381" s="467">
        <f>_xlfn.XLOOKUP(C381,'Stock Data'!$AM$4:$AM$1051,'Stock Data'!$AN$4:$AN$1051)</f>
        <v>250.41</v>
      </c>
    </row>
    <row r="382" spans="3:4" ht="15" customHeight="1">
      <c r="C382" s="493">
        <f>+'Stock Data'!AM193</f>
        <v>45749</v>
      </c>
      <c r="D382" s="467">
        <f>_xlfn.XLOOKUP(C382,'Stock Data'!$AM$4:$AM$1051,'Stock Data'!$AN$4:$AN$1051)</f>
        <v>247.74</v>
      </c>
    </row>
    <row r="383" spans="3:4" ht="15" customHeight="1">
      <c r="C383" s="493">
        <f>+'Stock Data'!AM194</f>
        <v>45748</v>
      </c>
      <c r="D383" s="467">
        <f>_xlfn.XLOOKUP(C383,'Stock Data'!$AM$4:$AM$1051,'Stock Data'!$AN$4:$AN$1051)</f>
        <v>258.77</v>
      </c>
    </row>
    <row r="384" spans="3:4" ht="15" customHeight="1">
      <c r="C384" s="493">
        <f>+'Stock Data'!AM195</f>
        <v>45747</v>
      </c>
      <c r="D384" s="467">
        <f>_xlfn.XLOOKUP(C384,'Stock Data'!$AM$4:$AM$1051,'Stock Data'!$AN$4:$AN$1051)</f>
        <v>262.89999999999998</v>
      </c>
    </row>
    <row r="385" spans="3:4" ht="15" customHeight="1">
      <c r="C385" s="493">
        <f>+'Stock Data'!AM196</f>
        <v>45746</v>
      </c>
      <c r="D385" s="467">
        <f>_xlfn.XLOOKUP(C385,'Stock Data'!$AM$4:$AM$1051,'Stock Data'!$AN$4:$AN$1051)</f>
        <v>262.89999999999998</v>
      </c>
    </row>
    <row r="386" spans="3:4" ht="15" customHeight="1">
      <c r="C386" s="493">
        <f>+'Stock Data'!AM197</f>
        <v>45745</v>
      </c>
      <c r="D386" s="467">
        <f>_xlfn.XLOOKUP(C386,'Stock Data'!$AM$4:$AM$1051,'Stock Data'!$AN$4:$AN$1051)</f>
        <v>262.89999999999998</v>
      </c>
    </row>
    <row r="387" spans="3:4" ht="15" customHeight="1">
      <c r="C387" s="493">
        <f>+'Stock Data'!AM198</f>
        <v>45744</v>
      </c>
      <c r="D387" s="467">
        <f>_xlfn.XLOOKUP(C387,'Stock Data'!$AM$4:$AM$1051,'Stock Data'!$AN$4:$AN$1051)</f>
        <v>258.54000000000002</v>
      </c>
    </row>
    <row r="388" spans="3:4" ht="15" customHeight="1">
      <c r="C388" s="493">
        <f>+'Stock Data'!AM199</f>
        <v>45743</v>
      </c>
      <c r="D388" s="467">
        <f>_xlfn.XLOOKUP(C388,'Stock Data'!$AM$4:$AM$1051,'Stock Data'!$AN$4:$AN$1051)</f>
        <v>256.12</v>
      </c>
    </row>
    <row r="389" spans="3:4" ht="15" customHeight="1">
      <c r="C389" s="493">
        <f>+'Stock Data'!AM200</f>
        <v>45742</v>
      </c>
      <c r="D389" s="467">
        <f>_xlfn.XLOOKUP(C389,'Stock Data'!$AM$4:$AM$1051,'Stock Data'!$AN$4:$AN$1051)</f>
        <v>256.48</v>
      </c>
    </row>
    <row r="390" spans="3:4" ht="15" customHeight="1">
      <c r="C390" s="493">
        <f>+'Stock Data'!AM201</f>
        <v>45741</v>
      </c>
      <c r="D390" s="467">
        <f>_xlfn.XLOOKUP(C390,'Stock Data'!$AM$4:$AM$1051,'Stock Data'!$AN$4:$AN$1051)</f>
        <v>253.54</v>
      </c>
    </row>
    <row r="391" spans="3:4" ht="15" customHeight="1">
      <c r="C391" s="493">
        <f>+'Stock Data'!AM202</f>
        <v>45740</v>
      </c>
      <c r="D391" s="467">
        <f>_xlfn.XLOOKUP(C391,'Stock Data'!$AM$4:$AM$1051,'Stock Data'!$AN$4:$AN$1051)</f>
        <v>254.19</v>
      </c>
    </row>
    <row r="392" spans="3:4" ht="15" customHeight="1">
      <c r="C392" s="493">
        <f>+'Stock Data'!AM203</f>
        <v>45739</v>
      </c>
      <c r="D392" s="467">
        <f>_xlfn.XLOOKUP(C392,'Stock Data'!$AM$4:$AM$1051,'Stock Data'!$AN$4:$AN$1051)</f>
        <v>254.19</v>
      </c>
    </row>
    <row r="393" spans="3:4" ht="15" customHeight="1">
      <c r="C393" s="493">
        <f>+'Stock Data'!AM204</f>
        <v>45738</v>
      </c>
      <c r="D393" s="467">
        <f>_xlfn.XLOOKUP(C393,'Stock Data'!$AM$4:$AM$1051,'Stock Data'!$AN$4:$AN$1051)</f>
        <v>254.19</v>
      </c>
    </row>
    <row r="394" spans="3:4" ht="15" customHeight="1">
      <c r="C394" s="493">
        <f>+'Stock Data'!AM205</f>
        <v>45737</v>
      </c>
      <c r="D394" s="467">
        <f>_xlfn.XLOOKUP(C394,'Stock Data'!$AM$4:$AM$1051,'Stock Data'!$AN$4:$AN$1051)</f>
        <v>268.45999999999998</v>
      </c>
    </row>
    <row r="395" spans="3:4" ht="15" customHeight="1">
      <c r="C395" s="493">
        <f>+'Stock Data'!AM206</f>
        <v>45736</v>
      </c>
      <c r="D395" s="467">
        <f>_xlfn.XLOOKUP(C395,'Stock Data'!$AM$4:$AM$1051,'Stock Data'!$AN$4:$AN$1051)</f>
        <v>266.87</v>
      </c>
    </row>
    <row r="396" spans="3:4" ht="15" customHeight="1">
      <c r="C396" s="493">
        <f>+'Stock Data'!AM207</f>
        <v>45735</v>
      </c>
      <c r="D396" s="467">
        <f>_xlfn.XLOOKUP(C396,'Stock Data'!$AM$4:$AM$1051,'Stock Data'!$AN$4:$AN$1051)</f>
        <v>267.45</v>
      </c>
    </row>
    <row r="397" spans="3:4" ht="15" customHeight="1">
      <c r="C397" s="493">
        <f>+'Stock Data'!AM208</f>
        <v>45734</v>
      </c>
      <c r="D397" s="467">
        <f>_xlfn.XLOOKUP(C397,'Stock Data'!$AM$4:$AM$1051,'Stock Data'!$AN$4:$AN$1051)</f>
        <v>267.77</v>
      </c>
    </row>
    <row r="398" spans="3:4" ht="15" customHeight="1">
      <c r="C398" s="493">
        <f>+'Stock Data'!AM209</f>
        <v>45733</v>
      </c>
      <c r="D398" s="467">
        <f>_xlfn.XLOOKUP(C398,'Stock Data'!$AM$4:$AM$1051,'Stock Data'!$AN$4:$AN$1051)</f>
        <v>267.77</v>
      </c>
    </row>
    <row r="399" spans="3:4" ht="15" customHeight="1">
      <c r="C399" s="493">
        <f>+'Stock Data'!AM210</f>
        <v>45732</v>
      </c>
      <c r="D399" s="467">
        <f>_xlfn.XLOOKUP(C399,'Stock Data'!$AM$4:$AM$1051,'Stock Data'!$AN$4:$AN$1051)</f>
        <v>267.77</v>
      </c>
    </row>
    <row r="400" spans="3:4" ht="15" customHeight="1">
      <c r="C400" s="493">
        <f>+'Stock Data'!AM211</f>
        <v>45731</v>
      </c>
      <c r="D400" s="467">
        <f>_xlfn.XLOOKUP(C400,'Stock Data'!$AM$4:$AM$1051,'Stock Data'!$AN$4:$AN$1051)</f>
        <v>267.77</v>
      </c>
    </row>
    <row r="401" spans="3:4" ht="15" customHeight="1">
      <c r="C401" s="493">
        <f>+'Stock Data'!AM212</f>
        <v>45730</v>
      </c>
      <c r="D401" s="467">
        <f>_xlfn.XLOOKUP(C401,'Stock Data'!$AM$4:$AM$1051,'Stock Data'!$AN$4:$AN$1051)</f>
        <v>263.12</v>
      </c>
    </row>
    <row r="402" spans="3:4" ht="15" customHeight="1">
      <c r="C402" s="493">
        <f>+'Stock Data'!AM213</f>
        <v>45729</v>
      </c>
      <c r="D402" s="467">
        <f>_xlfn.XLOOKUP(C402,'Stock Data'!$AM$4:$AM$1051,'Stock Data'!$AN$4:$AN$1051)</f>
        <v>262.64999999999998</v>
      </c>
    </row>
    <row r="403" spans="3:4" ht="15" customHeight="1">
      <c r="C403" s="493">
        <f>+'Stock Data'!AM214</f>
        <v>45728</v>
      </c>
      <c r="D403" s="467">
        <f>_xlfn.XLOOKUP(C403,'Stock Data'!$AM$4:$AM$1051,'Stock Data'!$AN$4:$AN$1051)</f>
        <v>261.26</v>
      </c>
    </row>
    <row r="404" spans="3:4" ht="15" customHeight="1">
      <c r="C404" s="493">
        <f>+'Stock Data'!AM215</f>
        <v>45727</v>
      </c>
      <c r="D404" s="467">
        <f>_xlfn.XLOOKUP(C404,'Stock Data'!$AM$4:$AM$1051,'Stock Data'!$AN$4:$AN$1051)</f>
        <v>258.23</v>
      </c>
    </row>
    <row r="405" spans="3:4" ht="15" customHeight="1">
      <c r="C405" s="493">
        <f>+'Stock Data'!AM216</f>
        <v>45726</v>
      </c>
      <c r="D405" s="467">
        <f>_xlfn.XLOOKUP(C405,'Stock Data'!$AM$4:$AM$1051,'Stock Data'!$AN$4:$AN$1051)</f>
        <v>256.08</v>
      </c>
    </row>
    <row r="406" spans="3:4" ht="15" customHeight="1">
      <c r="C406" s="493">
        <f>+'Stock Data'!AM217</f>
        <v>45725</v>
      </c>
      <c r="D406" s="467">
        <f>_xlfn.XLOOKUP(C406,'Stock Data'!$AM$4:$AM$1051,'Stock Data'!$AN$4:$AN$1051)</f>
        <v>256.08</v>
      </c>
    </row>
    <row r="407" spans="3:4" ht="15" customHeight="1">
      <c r="C407" s="493">
        <f>+'Stock Data'!AM218</f>
        <v>45724</v>
      </c>
      <c r="D407" s="467">
        <f>_xlfn.XLOOKUP(C407,'Stock Data'!$AM$4:$AM$1051,'Stock Data'!$AN$4:$AN$1051)</f>
        <v>256.08</v>
      </c>
    </row>
    <row r="408" spans="3:4" ht="15" customHeight="1">
      <c r="C408" s="493">
        <f>+'Stock Data'!AM219</f>
        <v>45723</v>
      </c>
      <c r="D408" s="467">
        <f>_xlfn.XLOOKUP(C408,'Stock Data'!$AM$4:$AM$1051,'Stock Data'!$AN$4:$AN$1051)</f>
        <v>258.77</v>
      </c>
    </row>
    <row r="409" spans="3:4" ht="15" customHeight="1">
      <c r="C409" s="493">
        <f>+'Stock Data'!AM220</f>
        <v>45722</v>
      </c>
      <c r="D409" s="467">
        <f>_xlfn.XLOOKUP(C409,'Stock Data'!$AM$4:$AM$1051,'Stock Data'!$AN$4:$AN$1051)</f>
        <v>252.41</v>
      </c>
    </row>
    <row r="410" spans="3:4" ht="15" customHeight="1">
      <c r="C410" s="493">
        <f>+'Stock Data'!AM221</f>
        <v>45721</v>
      </c>
      <c r="D410" s="467">
        <f>_xlfn.XLOOKUP(C410,'Stock Data'!$AM$4:$AM$1051,'Stock Data'!$AN$4:$AN$1051)</f>
        <v>250.95</v>
      </c>
    </row>
    <row r="411" spans="3:4" ht="15" customHeight="1">
      <c r="C411" s="493">
        <f>+'Stock Data'!AM222</f>
        <v>45720</v>
      </c>
      <c r="D411" s="467">
        <f>_xlfn.XLOOKUP(C411,'Stock Data'!$AM$4:$AM$1051,'Stock Data'!$AN$4:$AN$1051)</f>
        <v>247.34</v>
      </c>
    </row>
    <row r="412" spans="3:4" ht="15" customHeight="1">
      <c r="C412" s="493">
        <f>+'Stock Data'!AM223</f>
        <v>45719</v>
      </c>
      <c r="D412" s="467">
        <f>_xlfn.XLOOKUP(C412,'Stock Data'!$AM$4:$AM$1051,'Stock Data'!$AN$4:$AN$1051)</f>
        <v>264.87</v>
      </c>
    </row>
    <row r="413" spans="3:4" ht="15" customHeight="1">
      <c r="C413" s="493">
        <f>+'Stock Data'!AM224</f>
        <v>45718</v>
      </c>
      <c r="D413" s="467">
        <f>_xlfn.XLOOKUP(C413,'Stock Data'!$AM$4:$AM$1051,'Stock Data'!$AN$4:$AN$1051)</f>
        <v>264.87</v>
      </c>
    </row>
    <row r="414" spans="3:4" ht="15" customHeight="1">
      <c r="C414" s="493">
        <f>+'Stock Data'!AM225</f>
        <v>45717</v>
      </c>
      <c r="D414" s="467">
        <f>_xlfn.XLOOKUP(C414,'Stock Data'!$AM$4:$AM$1051,'Stock Data'!$AN$4:$AN$1051)</f>
        <v>264.87</v>
      </c>
    </row>
    <row r="415" spans="3:4" ht="15" customHeight="1">
      <c r="C415" s="493">
        <f>+'Stock Data'!AM226</f>
        <v>45716</v>
      </c>
      <c r="D415" s="467">
        <f>_xlfn.XLOOKUP(C415,'Stock Data'!$AM$4:$AM$1051,'Stock Data'!$AN$4:$AN$1051)</f>
        <v>269.24</v>
      </c>
    </row>
    <row r="416" spans="3:4" ht="15" customHeight="1">
      <c r="C416" s="493">
        <f>+'Stock Data'!AM227</f>
        <v>45715</v>
      </c>
      <c r="D416" s="467">
        <f>_xlfn.XLOOKUP(C416,'Stock Data'!$AM$4:$AM$1051,'Stock Data'!$AN$4:$AN$1051)</f>
        <v>275.06</v>
      </c>
    </row>
    <row r="417" spans="3:4" ht="15" customHeight="1">
      <c r="C417" s="493">
        <f>+'Stock Data'!AM228</f>
        <v>45714</v>
      </c>
      <c r="D417" s="467">
        <f>_xlfn.XLOOKUP(C417,'Stock Data'!$AM$4:$AM$1051,'Stock Data'!$AN$4:$AN$1051)</f>
        <v>278.64999999999998</v>
      </c>
    </row>
    <row r="418" spans="3:4" ht="15" customHeight="1">
      <c r="C418" s="493">
        <f>+'Stock Data'!AM229</f>
        <v>45713</v>
      </c>
      <c r="D418" s="467">
        <f>_xlfn.XLOOKUP(C418,'Stock Data'!$AM$4:$AM$1051,'Stock Data'!$AN$4:$AN$1051)</f>
        <v>281.52999999999997</v>
      </c>
    </row>
    <row r="419" spans="3:4" ht="15" customHeight="1">
      <c r="C419" s="493">
        <f>+'Stock Data'!AM230</f>
        <v>45712</v>
      </c>
      <c r="D419" s="467">
        <f>_xlfn.XLOOKUP(C419,'Stock Data'!$AM$4:$AM$1051,'Stock Data'!$AN$4:$AN$1051)</f>
        <v>273.29000000000002</v>
      </c>
    </row>
    <row r="420" spans="3:4" ht="15" customHeight="1">
      <c r="C420" s="493">
        <f>+'Stock Data'!AM231</f>
        <v>45711</v>
      </c>
      <c r="D420" s="467">
        <f>_xlfn.XLOOKUP(C420,'Stock Data'!$AM$4:$AM$1051,'Stock Data'!$AN$4:$AN$1051)</f>
        <v>273.29000000000002</v>
      </c>
    </row>
    <row r="421" spans="3:4" ht="15" customHeight="1">
      <c r="C421" s="493">
        <f>+'Stock Data'!AM232</f>
        <v>45710</v>
      </c>
      <c r="D421" s="467">
        <f>_xlfn.XLOOKUP(C421,'Stock Data'!$AM$4:$AM$1051,'Stock Data'!$AN$4:$AN$1051)</f>
        <v>273.29000000000002</v>
      </c>
    </row>
    <row r="422" spans="3:4" ht="15" customHeight="1">
      <c r="C422" s="493">
        <f>+'Stock Data'!AM233</f>
        <v>45709</v>
      </c>
      <c r="D422" s="467">
        <f>_xlfn.XLOOKUP(C422,'Stock Data'!$AM$4:$AM$1051,'Stock Data'!$AN$4:$AN$1051)</f>
        <v>270.02999999999997</v>
      </c>
    </row>
    <row r="423" spans="3:4" ht="15" customHeight="1">
      <c r="C423" s="493">
        <f>+'Stock Data'!AM234</f>
        <v>45708</v>
      </c>
      <c r="D423" s="467">
        <f>_xlfn.XLOOKUP(C423,'Stock Data'!$AM$4:$AM$1051,'Stock Data'!$AN$4:$AN$1051)</f>
        <v>270.43</v>
      </c>
    </row>
    <row r="424" spans="3:4" ht="15" customHeight="1">
      <c r="C424" s="493">
        <f>+'Stock Data'!AM235</f>
        <v>45707</v>
      </c>
      <c r="D424" s="467">
        <f>_xlfn.XLOOKUP(C424,'Stock Data'!$AM$4:$AM$1051,'Stock Data'!$AN$4:$AN$1051)</f>
        <v>275.57</v>
      </c>
    </row>
    <row r="425" spans="3:4" ht="15" customHeight="1">
      <c r="C425" s="493">
        <f>+'Stock Data'!AM236</f>
        <v>45706</v>
      </c>
      <c r="D425" s="467">
        <f>_xlfn.XLOOKUP(C425,'Stock Data'!$AM$4:$AM$1051,'Stock Data'!$AN$4:$AN$1051)</f>
        <v>275.10000000000002</v>
      </c>
    </row>
    <row r="426" spans="3:4" ht="15" customHeight="1">
      <c r="C426" s="493">
        <f>+'Stock Data'!AM237</f>
        <v>45705</v>
      </c>
      <c r="D426" s="467">
        <f>_xlfn.XLOOKUP(C426,'Stock Data'!$AM$4:$AM$1051,'Stock Data'!$AN$4:$AN$1051)</f>
        <v>275.10000000000002</v>
      </c>
    </row>
    <row r="427" spans="3:4" ht="15" customHeight="1">
      <c r="C427" s="493">
        <f>+'Stock Data'!AM238</f>
        <v>45704</v>
      </c>
      <c r="D427" s="467">
        <f>_xlfn.XLOOKUP(C427,'Stock Data'!$AM$4:$AM$1051,'Stock Data'!$AN$4:$AN$1051)</f>
        <v>275.10000000000002</v>
      </c>
    </row>
    <row r="428" spans="3:4" ht="15" customHeight="1">
      <c r="C428" s="493">
        <f>+'Stock Data'!AM239</f>
        <v>45703</v>
      </c>
      <c r="D428" s="467">
        <f>_xlfn.XLOOKUP(C428,'Stock Data'!$AM$4:$AM$1051,'Stock Data'!$AN$4:$AN$1051)</f>
        <v>275.10000000000002</v>
      </c>
    </row>
    <row r="429" spans="3:4" ht="15" customHeight="1">
      <c r="C429" s="493">
        <f>+'Stock Data'!AM240</f>
        <v>45702</v>
      </c>
      <c r="D429" s="467">
        <f>_xlfn.XLOOKUP(C429,'Stock Data'!$AM$4:$AM$1051,'Stock Data'!$AN$4:$AN$1051)</f>
        <v>277.37</v>
      </c>
    </row>
    <row r="430" spans="3:4" ht="15" customHeight="1">
      <c r="C430" s="493">
        <f>+'Stock Data'!AM241</f>
        <v>45701</v>
      </c>
      <c r="D430" s="467">
        <f>_xlfn.XLOOKUP(C430,'Stock Data'!$AM$4:$AM$1051,'Stock Data'!$AN$4:$AN$1051)</f>
        <v>276.58999999999997</v>
      </c>
    </row>
    <row r="431" spans="3:4" ht="15" customHeight="1">
      <c r="C431" s="493">
        <f>+'Stock Data'!AM242</f>
        <v>45700</v>
      </c>
      <c r="D431" s="467">
        <f>_xlfn.XLOOKUP(C431,'Stock Data'!$AM$4:$AM$1051,'Stock Data'!$AN$4:$AN$1051)</f>
        <v>277.62</v>
      </c>
    </row>
    <row r="432" spans="3:4" ht="15" customHeight="1">
      <c r="C432" s="493">
        <f>+'Stock Data'!AM243</f>
        <v>45699</v>
      </c>
      <c r="D432" s="467">
        <f>_xlfn.XLOOKUP(C432,'Stock Data'!$AM$4:$AM$1051,'Stock Data'!$AN$4:$AN$1051)</f>
        <v>274.58999999999997</v>
      </c>
    </row>
    <row r="433" spans="3:4" ht="15" customHeight="1">
      <c r="C433" s="493">
        <f>+'Stock Data'!AM244</f>
        <v>45698</v>
      </c>
      <c r="D433" s="467">
        <f>_xlfn.XLOOKUP(C433,'Stock Data'!$AM$4:$AM$1051,'Stock Data'!$AN$4:$AN$1051)</f>
        <v>270.73</v>
      </c>
    </row>
    <row r="434" spans="3:4" ht="15" customHeight="1">
      <c r="C434" s="493">
        <f>+'Stock Data'!AM245</f>
        <v>45697</v>
      </c>
      <c r="D434" s="467">
        <f>_xlfn.XLOOKUP(C434,'Stock Data'!$AM$4:$AM$1051,'Stock Data'!$AN$4:$AN$1051)</f>
        <v>270.73</v>
      </c>
    </row>
    <row r="435" spans="3:4" ht="15" customHeight="1">
      <c r="C435" s="493">
        <f>+'Stock Data'!AM246</f>
        <v>45696</v>
      </c>
      <c r="D435" s="467">
        <f>_xlfn.XLOOKUP(C435,'Stock Data'!$AM$4:$AM$1051,'Stock Data'!$AN$4:$AN$1051)</f>
        <v>270.73</v>
      </c>
    </row>
    <row r="436" spans="3:4" ht="15" customHeight="1">
      <c r="C436" s="493">
        <f>+'Stock Data'!AM247</f>
        <v>45695</v>
      </c>
      <c r="D436" s="467">
        <f>_xlfn.XLOOKUP(C436,'Stock Data'!$AM$4:$AM$1051,'Stock Data'!$AN$4:$AN$1051)</f>
        <v>274.89999999999998</v>
      </c>
    </row>
    <row r="437" spans="3:4" ht="15" customHeight="1">
      <c r="C437" s="493">
        <f>+'Stock Data'!AM248</f>
        <v>45694</v>
      </c>
      <c r="D437" s="467">
        <f>_xlfn.XLOOKUP(C437,'Stock Data'!$AM$4:$AM$1051,'Stock Data'!$AN$4:$AN$1051)</f>
        <v>274.89999999999998</v>
      </c>
    </row>
    <row r="438" spans="3:4" ht="15" customHeight="1">
      <c r="C438" s="493">
        <f>+'Stock Data'!AM249</f>
        <v>45693</v>
      </c>
      <c r="D438" s="467">
        <f>_xlfn.XLOOKUP(C438,'Stock Data'!$AM$4:$AM$1051,'Stock Data'!$AN$4:$AN$1051)</f>
        <v>275</v>
      </c>
    </row>
    <row r="439" spans="3:4" ht="15" customHeight="1">
      <c r="C439" s="493">
        <f>+'Stock Data'!AM250</f>
        <v>45692</v>
      </c>
      <c r="D439" s="467">
        <f>_xlfn.XLOOKUP(C439,'Stock Data'!$AM$4:$AM$1051,'Stock Data'!$AN$4:$AN$1051)</f>
        <v>273.97000000000003</v>
      </c>
    </row>
    <row r="440" spans="3:4" ht="15" customHeight="1">
      <c r="C440" s="493">
        <f>+'Stock Data'!AM251</f>
        <v>45691</v>
      </c>
      <c r="D440" s="467">
        <f>_xlfn.XLOOKUP(C440,'Stock Data'!$AM$4:$AM$1051,'Stock Data'!$AN$4:$AN$1051)</f>
        <v>274.41000000000003</v>
      </c>
    </row>
    <row r="441" spans="3:4" ht="15" customHeight="1">
      <c r="C441" s="493">
        <f>+'Stock Data'!AM252</f>
        <v>45690</v>
      </c>
      <c r="D441" s="467">
        <f>_xlfn.XLOOKUP(C441,'Stock Data'!$AM$4:$AM$1051,'Stock Data'!$AN$4:$AN$1051)</f>
        <v>274.41000000000003</v>
      </c>
    </row>
    <row r="442" spans="3:4" ht="15" customHeight="1">
      <c r="C442" s="493">
        <f>+'Stock Data'!AM253</f>
        <v>45689</v>
      </c>
      <c r="D442" s="467">
        <f>_xlfn.XLOOKUP(C442,'Stock Data'!$AM$4:$AM$1051,'Stock Data'!$AN$4:$AN$1051)</f>
        <v>274.41000000000003</v>
      </c>
    </row>
    <row r="443" spans="3:4" ht="15" customHeight="1">
      <c r="C443" s="493">
        <f>+'Stock Data'!AM254</f>
        <v>45688</v>
      </c>
      <c r="D443" s="467">
        <f>_xlfn.XLOOKUP(C443,'Stock Data'!$AM$4:$AM$1051,'Stock Data'!$AN$4:$AN$1051)</f>
        <v>274.27999999999997</v>
      </c>
    </row>
    <row r="444" spans="3:4" ht="15" customHeight="1">
      <c r="C444" s="493">
        <f>+'Stock Data'!AM255</f>
        <v>45687</v>
      </c>
      <c r="D444" s="467">
        <f>_xlfn.XLOOKUP(C444,'Stock Data'!$AM$4:$AM$1051,'Stock Data'!$AN$4:$AN$1051)</f>
        <v>281.33</v>
      </c>
    </row>
    <row r="445" spans="3:4" ht="15" customHeight="1">
      <c r="C445" s="493">
        <f>+'Stock Data'!AM256</f>
        <v>45686</v>
      </c>
      <c r="D445" s="467">
        <f>_xlfn.XLOOKUP(C445,'Stock Data'!$AM$4:$AM$1051,'Stock Data'!$AN$4:$AN$1051)</f>
        <v>281.33</v>
      </c>
    </row>
    <row r="446" spans="3:4" ht="15" customHeight="1">
      <c r="C446" s="493">
        <f>+'Stock Data'!AM257</f>
        <v>45685</v>
      </c>
      <c r="D446" s="467">
        <f>_xlfn.XLOOKUP(C446,'Stock Data'!$AM$4:$AM$1051,'Stock Data'!$AN$4:$AN$1051)</f>
        <v>280.55</v>
      </c>
    </row>
    <row r="447" spans="3:4" ht="15" customHeight="1">
      <c r="C447" s="493">
        <f>+'Stock Data'!AM258</f>
        <v>45684</v>
      </c>
      <c r="D447" s="467">
        <f>_xlfn.XLOOKUP(C447,'Stock Data'!$AM$4:$AM$1051,'Stock Data'!$AN$4:$AN$1051)</f>
        <v>280.36</v>
      </c>
    </row>
    <row r="448" spans="3:4" ht="15" customHeight="1">
      <c r="C448" s="493">
        <f>+'Stock Data'!AM259</f>
        <v>45683</v>
      </c>
      <c r="D448" s="467">
        <f>_xlfn.XLOOKUP(C448,'Stock Data'!$AM$4:$AM$1051,'Stock Data'!$AN$4:$AN$1051)</f>
        <v>280.36</v>
      </c>
    </row>
    <row r="449" spans="3:4" ht="15" customHeight="1">
      <c r="C449" s="493">
        <f>+'Stock Data'!AM260</f>
        <v>45682</v>
      </c>
      <c r="D449" s="467">
        <f>_xlfn.XLOOKUP(C449,'Stock Data'!$AM$4:$AM$1051,'Stock Data'!$AN$4:$AN$1051)</f>
        <v>280.36</v>
      </c>
    </row>
    <row r="450" spans="3:4" ht="15" customHeight="1">
      <c r="C450" s="493">
        <f>+'Stock Data'!AM261</f>
        <v>45681</v>
      </c>
      <c r="D450" s="467">
        <f>_xlfn.XLOOKUP(C450,'Stock Data'!$AM$4:$AM$1051,'Stock Data'!$AN$4:$AN$1051)</f>
        <v>278.66000000000003</v>
      </c>
    </row>
    <row r="451" spans="3:4" ht="15" customHeight="1">
      <c r="C451" s="493">
        <f>+'Stock Data'!AM262</f>
        <v>45680</v>
      </c>
      <c r="D451" s="467">
        <f>_xlfn.XLOOKUP(C451,'Stock Data'!$AM$4:$AM$1051,'Stock Data'!$AN$4:$AN$1051)</f>
        <v>271.83999999999997</v>
      </c>
    </row>
    <row r="452" spans="3:4" ht="15" customHeight="1">
      <c r="C452" s="493">
        <f>+'Stock Data'!AM263</f>
        <v>45679</v>
      </c>
      <c r="D452" s="467">
        <f>_xlfn.XLOOKUP(C452,'Stock Data'!$AM$4:$AM$1051,'Stock Data'!$AN$4:$AN$1051)</f>
        <v>271.83999999999997</v>
      </c>
    </row>
    <row r="453" spans="3:4" ht="15" customHeight="1">
      <c r="C453" s="493">
        <f>+'Stock Data'!AM264</f>
        <v>45678</v>
      </c>
      <c r="D453" s="467">
        <f>_xlfn.XLOOKUP(C453,'Stock Data'!$AM$4:$AM$1051,'Stock Data'!$AN$4:$AN$1051)</f>
        <v>269.01</v>
      </c>
    </row>
    <row r="454" spans="3:4" ht="15" customHeight="1">
      <c r="C454" s="493">
        <f>+'Stock Data'!AM265</f>
        <v>45677</v>
      </c>
      <c r="D454" s="467">
        <f>_xlfn.XLOOKUP(C454,'Stock Data'!$AM$4:$AM$1051,'Stock Data'!$AN$4:$AN$1051)</f>
        <v>275.73</v>
      </c>
    </row>
    <row r="455" spans="3:4" ht="15" customHeight="1">
      <c r="C455" s="493">
        <f>+'Stock Data'!AM266</f>
        <v>45676</v>
      </c>
      <c r="D455" s="467">
        <f>_xlfn.XLOOKUP(C455,'Stock Data'!$AM$4:$AM$1051,'Stock Data'!$AN$4:$AN$1051)</f>
        <v>275.73</v>
      </c>
    </row>
    <row r="456" spans="3:4" ht="15" customHeight="1">
      <c r="C456" s="493">
        <f>+'Stock Data'!AM267</f>
        <v>45675</v>
      </c>
      <c r="D456" s="467">
        <f>_xlfn.XLOOKUP(C456,'Stock Data'!$AM$4:$AM$1051,'Stock Data'!$AN$4:$AN$1051)</f>
        <v>275.73</v>
      </c>
    </row>
    <row r="457" spans="3:4" ht="15" customHeight="1">
      <c r="C457" s="493">
        <f>+'Stock Data'!AM268</f>
        <v>45674</v>
      </c>
      <c r="D457" s="467">
        <f>_xlfn.XLOOKUP(C457,'Stock Data'!$AM$4:$AM$1051,'Stock Data'!$AN$4:$AN$1051)</f>
        <v>275.88</v>
      </c>
    </row>
    <row r="458" spans="3:4" ht="15" customHeight="1">
      <c r="C458" s="493">
        <f>+'Stock Data'!AM269</f>
        <v>45673</v>
      </c>
      <c r="D458" s="467">
        <f>_xlfn.XLOOKUP(C458,'Stock Data'!$AM$4:$AM$1051,'Stock Data'!$AN$4:$AN$1051)</f>
        <v>273.16000000000003</v>
      </c>
    </row>
    <row r="459" spans="3:4" ht="15" customHeight="1">
      <c r="C459" s="493">
        <f>+'Stock Data'!AM270</f>
        <v>45672</v>
      </c>
      <c r="D459" s="467">
        <f>_xlfn.XLOOKUP(C459,'Stock Data'!$AM$4:$AM$1051,'Stock Data'!$AN$4:$AN$1051)</f>
        <v>277.43</v>
      </c>
    </row>
    <row r="460" spans="3:4" ht="15" customHeight="1">
      <c r="C460" s="493">
        <f>+'Stock Data'!AM271</f>
        <v>45671</v>
      </c>
      <c r="D460" s="467">
        <f>_xlfn.XLOOKUP(C460,'Stock Data'!$AM$4:$AM$1051,'Stock Data'!$AN$4:$AN$1051)</f>
        <v>283.44</v>
      </c>
    </row>
    <row r="461" spans="3:4" ht="15" customHeight="1">
      <c r="C461" s="493">
        <f>+'Stock Data'!AM272</f>
        <v>45670</v>
      </c>
      <c r="D461" s="467">
        <f>_xlfn.XLOOKUP(C461,'Stock Data'!$AM$4:$AM$1051,'Stock Data'!$AN$4:$AN$1051)</f>
        <v>283.42</v>
      </c>
    </row>
    <row r="462" spans="3:4" ht="15" customHeight="1">
      <c r="C462" s="493">
        <f>+'Stock Data'!AM273</f>
        <v>45669</v>
      </c>
      <c r="D462" s="467">
        <f>_xlfn.XLOOKUP(C462,'Stock Data'!$AM$4:$AM$1051,'Stock Data'!$AN$4:$AN$1051)</f>
        <v>283.42</v>
      </c>
    </row>
    <row r="463" spans="3:4" ht="15" customHeight="1">
      <c r="C463" s="493">
        <f>+'Stock Data'!AM274</f>
        <v>45668</v>
      </c>
      <c r="D463" s="467">
        <f>_xlfn.XLOOKUP(C463,'Stock Data'!$AM$4:$AM$1051,'Stock Data'!$AN$4:$AN$1051)</f>
        <v>283.42</v>
      </c>
    </row>
    <row r="464" spans="3:4" ht="15" customHeight="1">
      <c r="C464" s="493">
        <f>+'Stock Data'!AM275</f>
        <v>45667</v>
      </c>
      <c r="D464" s="467">
        <f>_xlfn.XLOOKUP(C464,'Stock Data'!$AM$4:$AM$1051,'Stock Data'!$AN$4:$AN$1051)</f>
        <v>283.69</v>
      </c>
    </row>
    <row r="465" spans="3:4" ht="15" customHeight="1">
      <c r="C465" s="493">
        <f>+'Stock Data'!AM276</f>
        <v>45666</v>
      </c>
      <c r="D465" s="467">
        <f>_xlfn.XLOOKUP(C465,'Stock Data'!$AM$4:$AM$1051,'Stock Data'!$AN$4:$AN$1051)</f>
        <v>281.16000000000003</v>
      </c>
    </row>
    <row r="466" spans="3:4" ht="15" customHeight="1">
      <c r="C466" s="493">
        <f>+'Stock Data'!AM277</f>
        <v>45665</v>
      </c>
      <c r="D466" s="467">
        <f>_xlfn.XLOOKUP(C466,'Stock Data'!$AM$4:$AM$1051,'Stock Data'!$AN$4:$AN$1051)</f>
        <v>279.32</v>
      </c>
    </row>
    <row r="467" spans="3:4" ht="15" customHeight="1">
      <c r="C467" s="493">
        <f>+'Stock Data'!AM278</f>
        <v>45664</v>
      </c>
      <c r="D467" s="467">
        <f>_xlfn.XLOOKUP(C467,'Stock Data'!$AM$4:$AM$1051,'Stock Data'!$AN$4:$AN$1051)</f>
        <v>279.52999999999997</v>
      </c>
    </row>
    <row r="468" spans="3:4" ht="15" customHeight="1">
      <c r="C468" s="493">
        <f>+'Stock Data'!AM279</f>
        <v>45663</v>
      </c>
      <c r="D468" s="467">
        <f>_xlfn.XLOOKUP(C468,'Stock Data'!$AM$4:$AM$1051,'Stock Data'!$AN$4:$AN$1051)</f>
        <v>280.68</v>
      </c>
    </row>
    <row r="469" spans="3:4" ht="15" customHeight="1">
      <c r="C469" s="493">
        <f>+'Stock Data'!AM280</f>
        <v>45662</v>
      </c>
      <c r="D469" s="467">
        <f>_xlfn.XLOOKUP(C469,'Stock Data'!$AM$4:$AM$1051,'Stock Data'!$AN$4:$AN$1051)</f>
        <v>280.68</v>
      </c>
    </row>
    <row r="470" spans="3:4" ht="15" customHeight="1">
      <c r="C470" s="493">
        <f>+'Stock Data'!AM281</f>
        <v>45661</v>
      </c>
      <c r="D470" s="467">
        <f>_xlfn.XLOOKUP(C470,'Stock Data'!$AM$4:$AM$1051,'Stock Data'!$AN$4:$AN$1051)</f>
        <v>280.68</v>
      </c>
    </row>
    <row r="471" spans="3:4" ht="15" customHeight="1">
      <c r="C471" s="493">
        <f>+'Stock Data'!AM282</f>
        <v>45660</v>
      </c>
      <c r="D471" s="467">
        <f>_xlfn.XLOOKUP(C471,'Stock Data'!$AM$4:$AM$1051,'Stock Data'!$AN$4:$AN$1051)</f>
        <v>279.42</v>
      </c>
    </row>
    <row r="472" spans="3:4" ht="15" customHeight="1">
      <c r="C472" s="493">
        <f>+'Stock Data'!AM283</f>
        <v>45659</v>
      </c>
      <c r="D472" s="467">
        <f>_xlfn.XLOOKUP(C472,'Stock Data'!$AM$4:$AM$1051,'Stock Data'!$AN$4:$AN$1051)</f>
        <v>283.43</v>
      </c>
    </row>
    <row r="473" spans="3:4" ht="15" customHeight="1">
      <c r="C473" s="493">
        <f>+'Stock Data'!AM284</f>
        <v>45658</v>
      </c>
      <c r="D473" s="467">
        <f>_xlfn.XLOOKUP(C473,'Stock Data'!$AM$4:$AM$1051,'Stock Data'!$AN$4:$AN$1051)</f>
        <v>282.85000000000002</v>
      </c>
    </row>
    <row r="474" spans="3:4" ht="15" customHeight="1">
      <c r="C474" s="493">
        <f>+'Stock Data'!AM285</f>
        <v>45657</v>
      </c>
      <c r="D474" s="467">
        <f>_xlfn.XLOOKUP(C474,'Stock Data'!$AM$4:$AM$1051,'Stock Data'!$AN$4:$AN$1051)</f>
        <v>296.69</v>
      </c>
    </row>
    <row r="475" spans="3:4" ht="15" customHeight="1">
      <c r="C475" s="493">
        <f>+'Stock Data'!AM286</f>
        <v>45656</v>
      </c>
      <c r="D475" s="467">
        <f>_xlfn.XLOOKUP(C475,'Stock Data'!$AM$4:$AM$1051,'Stock Data'!$AN$4:$AN$1051)</f>
        <v>302.67</v>
      </c>
    </row>
    <row r="476" spans="3:4" ht="15" customHeight="1">
      <c r="C476" s="493">
        <f>+'Stock Data'!AM287</f>
        <v>45655</v>
      </c>
      <c r="D476" s="467">
        <f>_xlfn.XLOOKUP(C476,'Stock Data'!$AM$4:$AM$1051,'Stock Data'!$AN$4:$AN$1051)</f>
        <v>302.67</v>
      </c>
    </row>
    <row r="477" spans="3:4" ht="15" customHeight="1">
      <c r="C477" s="493">
        <f>+'Stock Data'!AM288</f>
        <v>45654</v>
      </c>
      <c r="D477" s="467">
        <f>_xlfn.XLOOKUP(C477,'Stock Data'!$AM$4:$AM$1051,'Stock Data'!$AN$4:$AN$1051)</f>
        <v>302.67</v>
      </c>
    </row>
    <row r="478" spans="3:4" ht="15" customHeight="1">
      <c r="C478" s="493">
        <f>+'Stock Data'!AM289</f>
        <v>45653</v>
      </c>
      <c r="D478" s="467">
        <f>_xlfn.XLOOKUP(C478,'Stock Data'!$AM$4:$AM$1051,'Stock Data'!$AN$4:$AN$1051)</f>
        <v>303.39</v>
      </c>
    </row>
    <row r="479" spans="3:4" ht="15" customHeight="1">
      <c r="C479" s="493">
        <f>+'Stock Data'!AM290</f>
        <v>45652</v>
      </c>
      <c r="D479" s="467">
        <f>_xlfn.XLOOKUP(C479,'Stock Data'!$AM$4:$AM$1051,'Stock Data'!$AN$4:$AN$1051)</f>
        <v>303.39</v>
      </c>
    </row>
    <row r="480" spans="3:4" ht="15" customHeight="1">
      <c r="C480" s="493">
        <f>+'Stock Data'!AM291</f>
        <v>45651</v>
      </c>
      <c r="D480" s="467">
        <f>_xlfn.XLOOKUP(C480,'Stock Data'!$AM$4:$AM$1051,'Stock Data'!$AN$4:$AN$1051)</f>
        <v>302.98</v>
      </c>
    </row>
    <row r="481" spans="3:4" ht="15" customHeight="1">
      <c r="C481" s="493">
        <f>+'Stock Data'!AM292</f>
        <v>45650</v>
      </c>
      <c r="D481" s="467">
        <f>_xlfn.XLOOKUP(C481,'Stock Data'!$AM$4:$AM$1051,'Stock Data'!$AN$4:$AN$1051)</f>
        <v>305.14999999999998</v>
      </c>
    </row>
    <row r="482" spans="3:4" ht="15" customHeight="1">
      <c r="C482" s="493">
        <f>+'Stock Data'!AM293</f>
        <v>45649</v>
      </c>
      <c r="D482" s="467">
        <f>_xlfn.XLOOKUP(C482,'Stock Data'!$AM$4:$AM$1051,'Stock Data'!$AN$4:$AN$1051)</f>
        <v>299.97000000000003</v>
      </c>
    </row>
    <row r="483" spans="3:4" ht="15" customHeight="1">
      <c r="C483" s="493">
        <f>+'Stock Data'!AM294</f>
        <v>45648</v>
      </c>
      <c r="D483" s="467">
        <f>_xlfn.XLOOKUP(C483,'Stock Data'!$AM$4:$AM$1051,'Stock Data'!$AN$4:$AN$1051)</f>
        <v>299.97000000000003</v>
      </c>
    </row>
    <row r="484" spans="3:4" ht="15" customHeight="1">
      <c r="C484" s="493">
        <f>+'Stock Data'!AM295</f>
        <v>45647</v>
      </c>
      <c r="D484" s="467">
        <f>_xlfn.XLOOKUP(C484,'Stock Data'!$AM$4:$AM$1051,'Stock Data'!$AN$4:$AN$1051)</f>
        <v>299.97000000000003</v>
      </c>
    </row>
    <row r="485" spans="3:4" ht="15" customHeight="1">
      <c r="C485" s="493">
        <f>+'Stock Data'!AM296</f>
        <v>45646</v>
      </c>
      <c r="D485" s="467">
        <f>_xlfn.XLOOKUP(C485,'Stock Data'!$AM$4:$AM$1051,'Stock Data'!$AN$4:$AN$1051)</f>
        <v>295.16000000000003</v>
      </c>
    </row>
    <row r="486" spans="3:4" ht="15" customHeight="1">
      <c r="C486" s="493">
        <f>+'Stock Data'!AM297</f>
        <v>45645</v>
      </c>
      <c r="D486" s="467">
        <f>_xlfn.XLOOKUP(C486,'Stock Data'!$AM$4:$AM$1051,'Stock Data'!$AN$4:$AN$1051)</f>
        <v>288.02999999999997</v>
      </c>
    </row>
    <row r="487" spans="3:4" ht="15" customHeight="1">
      <c r="C487" s="493">
        <f>+'Stock Data'!AM298</f>
        <v>45644</v>
      </c>
      <c r="D487" s="467">
        <f>_xlfn.XLOOKUP(C487,'Stock Data'!$AM$4:$AM$1051,'Stock Data'!$AN$4:$AN$1051)</f>
        <v>293.06</v>
      </c>
    </row>
    <row r="488" spans="3:4" ht="15" customHeight="1">
      <c r="C488" s="493">
        <f>+'Stock Data'!AM299</f>
        <v>45643</v>
      </c>
      <c r="D488" s="467">
        <f>_xlfn.XLOOKUP(C488,'Stock Data'!$AM$4:$AM$1051,'Stock Data'!$AN$4:$AN$1051)</f>
        <v>295.20999999999998</v>
      </c>
    </row>
    <row r="489" spans="3:4" ht="15" customHeight="1">
      <c r="C489" s="493">
        <f>+'Stock Data'!AM300</f>
        <v>45642</v>
      </c>
      <c r="D489" s="467">
        <f>_xlfn.XLOOKUP(C489,'Stock Data'!$AM$4:$AM$1051,'Stock Data'!$AN$4:$AN$1051)</f>
        <v>294.45999999999998</v>
      </c>
    </row>
    <row r="490" spans="3:4" ht="15" customHeight="1">
      <c r="C490" s="493">
        <f>+'Stock Data'!AM301</f>
        <v>45641</v>
      </c>
      <c r="D490" s="467">
        <f>_xlfn.XLOOKUP(C490,'Stock Data'!$AM$4:$AM$1051,'Stock Data'!$AN$4:$AN$1051)</f>
        <v>294.45999999999998</v>
      </c>
    </row>
    <row r="491" spans="3:4" ht="15" customHeight="1">
      <c r="C491" s="493">
        <f>+'Stock Data'!AM302</f>
        <v>45640</v>
      </c>
      <c r="D491" s="467">
        <f>_xlfn.XLOOKUP(C491,'Stock Data'!$AM$4:$AM$1051,'Stock Data'!$AN$4:$AN$1051)</f>
        <v>294.45999999999998</v>
      </c>
    </row>
    <row r="492" spans="3:4" ht="15" customHeight="1">
      <c r="C492" s="493">
        <f>+'Stock Data'!AM303</f>
        <v>45639</v>
      </c>
      <c r="D492" s="467">
        <f>_xlfn.XLOOKUP(C492,'Stock Data'!$AM$4:$AM$1051,'Stock Data'!$AN$4:$AN$1051)</f>
        <v>292.29000000000002</v>
      </c>
    </row>
    <row r="493" spans="3:4" ht="15" customHeight="1">
      <c r="C493" s="493">
        <f>+'Stock Data'!AM304</f>
        <v>45638</v>
      </c>
      <c r="D493" s="467">
        <f>_xlfn.XLOOKUP(C493,'Stock Data'!$AM$4:$AM$1051,'Stock Data'!$AN$4:$AN$1051)</f>
        <v>291.89</v>
      </c>
    </row>
    <row r="494" spans="3:4" ht="15" customHeight="1">
      <c r="C494" s="493">
        <f>+'Stock Data'!AM305</f>
        <v>45637</v>
      </c>
      <c r="D494" s="467">
        <f>_xlfn.XLOOKUP(C494,'Stock Data'!$AM$4:$AM$1051,'Stock Data'!$AN$4:$AN$1051)</f>
        <v>287.27</v>
      </c>
    </row>
    <row r="495" spans="3:4" ht="15" customHeight="1">
      <c r="C495" s="493">
        <f>+'Stock Data'!AM306</f>
        <v>45636</v>
      </c>
      <c r="D495" s="467">
        <f>_xlfn.XLOOKUP(C495,'Stock Data'!$AM$4:$AM$1051,'Stock Data'!$AN$4:$AN$1051)</f>
        <v>289.79000000000002</v>
      </c>
    </row>
    <row r="496" spans="3:4" ht="15" customHeight="1">
      <c r="C496" s="493">
        <f>+'Stock Data'!AM307</f>
        <v>45635</v>
      </c>
      <c r="D496" s="467">
        <f>_xlfn.XLOOKUP(C496,'Stock Data'!$AM$4:$AM$1051,'Stock Data'!$AN$4:$AN$1051)</f>
        <v>286.27999999999997</v>
      </c>
    </row>
    <row r="497" spans="3:4" ht="15" customHeight="1">
      <c r="C497" s="493">
        <f>+'Stock Data'!AM308</f>
        <v>45634</v>
      </c>
      <c r="D497" s="467">
        <f>_xlfn.XLOOKUP(C497,'Stock Data'!$AM$4:$AM$1051,'Stock Data'!$AN$4:$AN$1051)</f>
        <v>286.27999999999997</v>
      </c>
    </row>
    <row r="498" spans="3:4" ht="15" customHeight="1">
      <c r="C498" s="493">
        <f>+'Stock Data'!AM309</f>
        <v>45633</v>
      </c>
      <c r="D498" s="467">
        <f>_xlfn.XLOOKUP(C498,'Stock Data'!$AM$4:$AM$1051,'Stock Data'!$AN$4:$AN$1051)</f>
        <v>286.27999999999997</v>
      </c>
    </row>
    <row r="499" spans="3:4" ht="15" customHeight="1">
      <c r="C499" s="493">
        <f>+'Stock Data'!AM310</f>
        <v>45632</v>
      </c>
      <c r="D499" s="467">
        <f>_xlfn.XLOOKUP(C499,'Stock Data'!$AM$4:$AM$1051,'Stock Data'!$AN$4:$AN$1051)</f>
        <v>283.20999999999998</v>
      </c>
    </row>
    <row r="500" spans="3:4" ht="15" customHeight="1">
      <c r="C500" s="493">
        <f>+'Stock Data'!AM311</f>
        <v>45631</v>
      </c>
      <c r="D500" s="467">
        <f>_xlfn.XLOOKUP(C500,'Stock Data'!$AM$4:$AM$1051,'Stock Data'!$AN$4:$AN$1051)</f>
        <v>280.06</v>
      </c>
    </row>
    <row r="501" spans="3:4" ht="15" customHeight="1">
      <c r="C501" s="493">
        <f>+'Stock Data'!AM312</f>
        <v>45630</v>
      </c>
      <c r="D501" s="467">
        <f>_xlfn.XLOOKUP(C501,'Stock Data'!$AM$4:$AM$1051,'Stock Data'!$AN$4:$AN$1051)</f>
        <v>275.42</v>
      </c>
    </row>
    <row r="502" spans="3:4" ht="15" customHeight="1">
      <c r="C502" s="493">
        <f>+'Stock Data'!AM313</f>
        <v>45629</v>
      </c>
      <c r="D502" s="467">
        <f>_xlfn.XLOOKUP(C502,'Stock Data'!$AM$4:$AM$1051,'Stock Data'!$AN$4:$AN$1051)</f>
        <v>271.18</v>
      </c>
    </row>
    <row r="503" spans="3:4" ht="15" customHeight="1">
      <c r="C503" s="493">
        <f>+'Stock Data'!AM314</f>
        <v>45628</v>
      </c>
      <c r="D503" s="467">
        <f>_xlfn.XLOOKUP(C503,'Stock Data'!$AM$4:$AM$1051,'Stock Data'!$AN$4:$AN$1051)</f>
        <v>274.35000000000002</v>
      </c>
    </row>
    <row r="504" spans="3:4" ht="15" customHeight="1">
      <c r="C504" s="493">
        <f>+'Stock Data'!AM315</f>
        <v>45627</v>
      </c>
      <c r="D504" s="467">
        <f>_xlfn.XLOOKUP(C504,'Stock Data'!$AM$4:$AM$1051,'Stock Data'!$AN$4:$AN$1051)</f>
        <v>274.35000000000002</v>
      </c>
    </row>
    <row r="505" spans="3:4" ht="15" customHeight="1">
      <c r="C505" s="493">
        <f>+'Stock Data'!AM316</f>
        <v>45626</v>
      </c>
      <c r="D505" s="467">
        <f>_xlfn.XLOOKUP(C505,'Stock Data'!$AM$4:$AM$1051,'Stock Data'!$AN$4:$AN$1051)</f>
        <v>274.35000000000002</v>
      </c>
    </row>
    <row r="506" spans="3:4" ht="15" customHeight="1">
      <c r="C506" s="493">
        <f>+'Stock Data'!AM317</f>
        <v>45625</v>
      </c>
      <c r="D506" s="467">
        <f>_xlfn.XLOOKUP(C506,'Stock Data'!$AM$4:$AM$1051,'Stock Data'!$AN$4:$AN$1051)</f>
        <v>273.85000000000002</v>
      </c>
    </row>
    <row r="507" spans="3:4" ht="15" customHeight="1">
      <c r="C507" s="493">
        <f>+'Stock Data'!AM318</f>
        <v>45624</v>
      </c>
      <c r="D507" s="467">
        <f>_xlfn.XLOOKUP(C507,'Stock Data'!$AM$4:$AM$1051,'Stock Data'!$AN$4:$AN$1051)</f>
        <v>274.08</v>
      </c>
    </row>
    <row r="508" spans="3:4" ht="15" customHeight="1">
      <c r="C508" s="493">
        <f>+'Stock Data'!AM319</f>
        <v>45623</v>
      </c>
      <c r="D508" s="467">
        <f>_xlfn.XLOOKUP(C508,'Stock Data'!$AM$4:$AM$1051,'Stock Data'!$AN$4:$AN$1051)</f>
        <v>275.04000000000002</v>
      </c>
    </row>
    <row r="509" spans="3:4" ht="15" customHeight="1">
      <c r="C509" s="493">
        <f>+'Stock Data'!AM320</f>
        <v>45622</v>
      </c>
      <c r="D509" s="467">
        <f>_xlfn.XLOOKUP(C509,'Stock Data'!$AM$4:$AM$1051,'Stock Data'!$AN$4:$AN$1051)</f>
        <v>275.45</v>
      </c>
    </row>
    <row r="510" spans="3:4" ht="15" customHeight="1">
      <c r="C510" s="493">
        <f>+'Stock Data'!AM321</f>
        <v>45621</v>
      </c>
      <c r="D510" s="467">
        <f>_xlfn.XLOOKUP(C510,'Stock Data'!$AM$4:$AM$1051,'Stock Data'!$AN$4:$AN$1051)</f>
        <v>272.12</v>
      </c>
    </row>
    <row r="511" spans="3:4" ht="15" customHeight="1">
      <c r="C511" s="493">
        <f>+'Stock Data'!AM322</f>
        <v>45620</v>
      </c>
      <c r="D511" s="467">
        <f>_xlfn.XLOOKUP(C511,'Stock Data'!$AM$4:$AM$1051,'Stock Data'!$AN$4:$AN$1051)</f>
        <v>272.12</v>
      </c>
    </row>
    <row r="512" spans="3:4" ht="15" customHeight="1">
      <c r="C512" s="493">
        <f>+'Stock Data'!AM323</f>
        <v>45619</v>
      </c>
      <c r="D512" s="467">
        <f>_xlfn.XLOOKUP(C512,'Stock Data'!$AM$4:$AM$1051,'Stock Data'!$AN$4:$AN$1051)</f>
        <v>272.12</v>
      </c>
    </row>
    <row r="513" spans="3:4" ht="15" customHeight="1">
      <c r="C513" s="493">
        <f>+'Stock Data'!AM324</f>
        <v>45618</v>
      </c>
      <c r="D513" s="467">
        <f>_xlfn.XLOOKUP(C513,'Stock Data'!$AM$4:$AM$1051,'Stock Data'!$AN$4:$AN$1051)</f>
        <v>272.87</v>
      </c>
    </row>
    <row r="514" spans="3:4" ht="15" customHeight="1">
      <c r="C514" s="493">
        <f>+'Stock Data'!AM325</f>
        <v>45617</v>
      </c>
      <c r="D514" s="467">
        <f>_xlfn.XLOOKUP(C514,'Stock Data'!$AM$4:$AM$1051,'Stock Data'!$AN$4:$AN$1051)</f>
        <v>268.05</v>
      </c>
    </row>
    <row r="515" spans="3:4" ht="15" customHeight="1">
      <c r="C515" s="493">
        <f>+'Stock Data'!AM326</f>
        <v>45616</v>
      </c>
      <c r="D515" s="467">
        <f>_xlfn.XLOOKUP(C515,'Stock Data'!$AM$4:$AM$1051,'Stock Data'!$AN$4:$AN$1051)</f>
        <v>269.79000000000002</v>
      </c>
    </row>
    <row r="516" spans="3:4" ht="15" customHeight="1">
      <c r="C516" s="493">
        <f>+'Stock Data'!AM327</f>
        <v>45615</v>
      </c>
      <c r="D516" s="467">
        <f>_xlfn.XLOOKUP(C516,'Stock Data'!$AM$4:$AM$1051,'Stock Data'!$AN$4:$AN$1051)</f>
        <v>268.81</v>
      </c>
    </row>
    <row r="517" spans="3:4" ht="15" customHeight="1">
      <c r="C517" s="493">
        <f>+'Stock Data'!AM328</f>
        <v>45614</v>
      </c>
      <c r="D517" s="467">
        <f>_xlfn.XLOOKUP(C517,'Stock Data'!$AM$4:$AM$1051,'Stock Data'!$AN$4:$AN$1051)</f>
        <v>274.39999999999998</v>
      </c>
    </row>
    <row r="518" spans="3:4" ht="15" customHeight="1">
      <c r="C518" s="493">
        <f>+'Stock Data'!AM329</f>
        <v>45613</v>
      </c>
      <c r="D518" s="467">
        <f>_xlfn.XLOOKUP(C518,'Stock Data'!$AM$4:$AM$1051,'Stock Data'!$AN$4:$AN$1051)</f>
        <v>274.39999999999998</v>
      </c>
    </row>
    <row r="519" spans="3:4" ht="15" customHeight="1">
      <c r="C519" s="493">
        <f>+'Stock Data'!AM330</f>
        <v>45612</v>
      </c>
      <c r="D519" s="467">
        <f>_xlfn.XLOOKUP(C519,'Stock Data'!$AM$4:$AM$1051,'Stock Data'!$AN$4:$AN$1051)</f>
        <v>274.39999999999998</v>
      </c>
    </row>
    <row r="520" spans="3:4" ht="15" customHeight="1">
      <c r="C520" s="493">
        <f>+'Stock Data'!AM331</f>
        <v>45611</v>
      </c>
      <c r="D520" s="467">
        <f>_xlfn.XLOOKUP(C520,'Stock Data'!$AM$4:$AM$1051,'Stock Data'!$AN$4:$AN$1051)</f>
        <v>274.26</v>
      </c>
    </row>
    <row r="521" spans="3:4" ht="15" customHeight="1">
      <c r="C521" s="493">
        <f>+'Stock Data'!AM332</f>
        <v>45610</v>
      </c>
      <c r="D521" s="467">
        <f>_xlfn.XLOOKUP(C521,'Stock Data'!$AM$4:$AM$1051,'Stock Data'!$AN$4:$AN$1051)</f>
        <v>271.8</v>
      </c>
    </row>
    <row r="522" spans="3:4" ht="15" customHeight="1">
      <c r="C522" s="493">
        <f>+'Stock Data'!AM333</f>
        <v>45609</v>
      </c>
      <c r="D522" s="467">
        <f>_xlfn.XLOOKUP(C522,'Stock Data'!$AM$4:$AM$1051,'Stock Data'!$AN$4:$AN$1051)</f>
        <v>265.92</v>
      </c>
    </row>
    <row r="523" spans="3:4" ht="15" customHeight="1">
      <c r="C523" s="493">
        <f>+'Stock Data'!AM334</f>
        <v>45608</v>
      </c>
      <c r="D523" s="467">
        <f>_xlfn.XLOOKUP(C523,'Stock Data'!$AM$4:$AM$1051,'Stock Data'!$AN$4:$AN$1051)</f>
        <v>267.45</v>
      </c>
    </row>
    <row r="524" spans="3:4" ht="15" customHeight="1">
      <c r="C524" s="493">
        <f>+'Stock Data'!AM335</f>
        <v>45607</v>
      </c>
      <c r="D524" s="467">
        <f>_xlfn.XLOOKUP(C524,'Stock Data'!$AM$4:$AM$1051,'Stock Data'!$AN$4:$AN$1051)</f>
        <v>264.36</v>
      </c>
    </row>
    <row r="525" spans="3:4" ht="15" customHeight="1">
      <c r="C525" s="493">
        <f>+'Stock Data'!AM336</f>
        <v>45606</v>
      </c>
      <c r="D525" s="467">
        <f>_xlfn.XLOOKUP(C525,'Stock Data'!$AM$4:$AM$1051,'Stock Data'!$AN$4:$AN$1051)</f>
        <v>264.36</v>
      </c>
    </row>
    <row r="526" spans="3:4" ht="15" customHeight="1">
      <c r="C526" s="493">
        <f>+'Stock Data'!AM337</f>
        <v>45605</v>
      </c>
      <c r="D526" s="467">
        <f>_xlfn.XLOOKUP(C526,'Stock Data'!$AM$4:$AM$1051,'Stock Data'!$AN$4:$AN$1051)</f>
        <v>264.36</v>
      </c>
    </row>
    <row r="527" spans="3:4" ht="15" customHeight="1">
      <c r="C527" s="493">
        <f>+'Stock Data'!AM338</f>
        <v>45604</v>
      </c>
      <c r="D527" s="467">
        <f>_xlfn.XLOOKUP(C527,'Stock Data'!$AM$4:$AM$1051,'Stock Data'!$AN$4:$AN$1051)</f>
        <v>264.27</v>
      </c>
    </row>
    <row r="528" spans="3:4" ht="15" customHeight="1">
      <c r="C528" s="493">
        <f>+'Stock Data'!AM339</f>
        <v>45603</v>
      </c>
      <c r="D528" s="467">
        <f>_xlfn.XLOOKUP(C528,'Stock Data'!$AM$4:$AM$1051,'Stock Data'!$AN$4:$AN$1051)</f>
        <v>264.64</v>
      </c>
    </row>
    <row r="529" spans="3:4" ht="15" customHeight="1">
      <c r="C529" s="493">
        <f>+'Stock Data'!AM340</f>
        <v>45602</v>
      </c>
      <c r="D529" s="467">
        <f>_xlfn.XLOOKUP(C529,'Stock Data'!$AM$4:$AM$1051,'Stock Data'!$AN$4:$AN$1051)</f>
        <v>261.39999999999998</v>
      </c>
    </row>
    <row r="530" spans="3:4" ht="15" customHeight="1">
      <c r="C530" s="493">
        <f>+'Stock Data'!AM341</f>
        <v>45601</v>
      </c>
      <c r="D530" s="467">
        <f>_xlfn.XLOOKUP(C530,'Stock Data'!$AM$4:$AM$1051,'Stock Data'!$AN$4:$AN$1051)</f>
        <v>260.5</v>
      </c>
    </row>
    <row r="531" spans="3:4" ht="15" customHeight="1">
      <c r="C531" s="493">
        <f>+'Stock Data'!AM342</f>
        <v>45600</v>
      </c>
      <c r="D531" s="467">
        <f>_xlfn.XLOOKUP(C531,'Stock Data'!$AM$4:$AM$1051,'Stock Data'!$AN$4:$AN$1051)</f>
        <v>260.83999999999997</v>
      </c>
    </row>
    <row r="532" spans="3:4" ht="15" customHeight="1">
      <c r="C532" s="493">
        <f>+'Stock Data'!AM343</f>
        <v>45599</v>
      </c>
      <c r="D532" s="467">
        <f>_xlfn.XLOOKUP(C532,'Stock Data'!$AM$4:$AM$1051,'Stock Data'!$AN$4:$AN$1051)</f>
        <v>260.83999999999997</v>
      </c>
    </row>
    <row r="533" spans="3:4" ht="15" customHeight="1">
      <c r="C533" s="493">
        <f>+'Stock Data'!AM344</f>
        <v>45598</v>
      </c>
      <c r="D533" s="467">
        <f>_xlfn.XLOOKUP(C533,'Stock Data'!$AM$4:$AM$1051,'Stock Data'!$AN$4:$AN$1051)</f>
        <v>260.83999999999997</v>
      </c>
    </row>
    <row r="534" spans="3:4" ht="15" customHeight="1">
      <c r="C534" s="493">
        <f>+'Stock Data'!AM345</f>
        <v>45597</v>
      </c>
      <c r="D534" s="467">
        <f>_xlfn.XLOOKUP(C534,'Stock Data'!$AM$4:$AM$1051,'Stock Data'!$AN$4:$AN$1051)</f>
        <v>262.08</v>
      </c>
    </row>
    <row r="535" spans="3:4" ht="15" customHeight="1">
      <c r="C535" s="493">
        <f>+'Stock Data'!AM346</f>
        <v>45596</v>
      </c>
      <c r="D535" s="467">
        <f>_xlfn.XLOOKUP(C535,'Stock Data'!$AM$4:$AM$1051,'Stock Data'!$AN$4:$AN$1051)</f>
        <v>266.93</v>
      </c>
    </row>
    <row r="536" spans="3:4" ht="15" customHeight="1">
      <c r="C536" s="493">
        <f>+'Stock Data'!AM347</f>
        <v>45595</v>
      </c>
      <c r="D536" s="467">
        <f>_xlfn.XLOOKUP(C536,'Stock Data'!$AM$4:$AM$1051,'Stock Data'!$AN$4:$AN$1051)</f>
        <v>269.56</v>
      </c>
    </row>
    <row r="537" spans="3:4" ht="15" customHeight="1">
      <c r="C537" s="493">
        <f>+'Stock Data'!AM348</f>
        <v>45594</v>
      </c>
      <c r="D537" s="467">
        <f>_xlfn.XLOOKUP(C537,'Stock Data'!$AM$4:$AM$1051,'Stock Data'!$AN$4:$AN$1051)</f>
        <v>273.68</v>
      </c>
    </row>
    <row r="538" spans="3:4" ht="15" customHeight="1">
      <c r="C538" s="493">
        <f>+'Stock Data'!AM349</f>
        <v>45593</v>
      </c>
      <c r="D538" s="467">
        <f>_xlfn.XLOOKUP(C538,'Stock Data'!$AM$4:$AM$1051,'Stock Data'!$AN$4:$AN$1051)</f>
        <v>267.55</v>
      </c>
    </row>
    <row r="539" spans="3:4" ht="15" customHeight="1">
      <c r="C539" s="493">
        <f>+'Stock Data'!AM350</f>
        <v>45592</v>
      </c>
      <c r="D539" s="467">
        <f>_xlfn.XLOOKUP(C539,'Stock Data'!$AM$4:$AM$1051,'Stock Data'!$AN$4:$AN$1051)</f>
        <v>267.55</v>
      </c>
    </row>
    <row r="540" spans="3:4" ht="15" customHeight="1">
      <c r="C540" s="493">
        <f>+'Stock Data'!AM351</f>
        <v>45591</v>
      </c>
      <c r="D540" s="467">
        <f>_xlfn.XLOOKUP(C540,'Stock Data'!$AM$4:$AM$1051,'Stock Data'!$AN$4:$AN$1051)</f>
        <v>267.55</v>
      </c>
    </row>
    <row r="541" spans="3:4" ht="15" customHeight="1">
      <c r="C541" s="493">
        <f>+'Stock Data'!AM352</f>
        <v>45590</v>
      </c>
      <c r="D541" s="467">
        <f>_xlfn.XLOOKUP(C541,'Stock Data'!$AM$4:$AM$1051,'Stock Data'!$AN$4:$AN$1051)</f>
        <v>266.33</v>
      </c>
    </row>
    <row r="542" spans="3:4" ht="15" customHeight="1">
      <c r="C542" s="493">
        <f>+'Stock Data'!AM353</f>
        <v>45589</v>
      </c>
      <c r="D542" s="467">
        <f>_xlfn.XLOOKUP(C542,'Stock Data'!$AM$4:$AM$1051,'Stock Data'!$AN$4:$AN$1051)</f>
        <v>263.77</v>
      </c>
    </row>
    <row r="543" spans="3:4" ht="15" customHeight="1">
      <c r="C543" s="493">
        <f>+'Stock Data'!AM354</f>
        <v>45588</v>
      </c>
      <c r="D543" s="467">
        <f>_xlfn.XLOOKUP(C543,'Stock Data'!$AM$4:$AM$1051,'Stock Data'!$AN$4:$AN$1051)</f>
        <v>267.13</v>
      </c>
    </row>
    <row r="544" spans="3:4" ht="15" customHeight="1">
      <c r="C544" s="493">
        <f>+'Stock Data'!AM355</f>
        <v>45587</v>
      </c>
      <c r="D544" s="467">
        <f>_xlfn.XLOOKUP(C544,'Stock Data'!$AM$4:$AM$1051,'Stock Data'!$AN$4:$AN$1051)</f>
        <v>258.79000000000002</v>
      </c>
    </row>
    <row r="545" spans="3:4" ht="15" customHeight="1">
      <c r="C545" s="493">
        <f>+'Stock Data'!AM356</f>
        <v>45586</v>
      </c>
      <c r="D545" s="467">
        <f>_xlfn.XLOOKUP(C545,'Stock Data'!$AM$4:$AM$1051,'Stock Data'!$AN$4:$AN$1051)</f>
        <v>254.64</v>
      </c>
    </row>
    <row r="546" spans="3:4" ht="15" customHeight="1">
      <c r="C546" s="493">
        <f>+'Stock Data'!AM357</f>
        <v>45585</v>
      </c>
      <c r="D546" s="467">
        <f>_xlfn.XLOOKUP(C546,'Stock Data'!$AM$4:$AM$1051,'Stock Data'!$AN$4:$AN$1051)</f>
        <v>254.64</v>
      </c>
    </row>
    <row r="547" spans="3:4" ht="15" customHeight="1">
      <c r="C547" s="493">
        <f>+'Stock Data'!AM358</f>
        <v>45584</v>
      </c>
      <c r="D547" s="467">
        <f>_xlfn.XLOOKUP(C547,'Stock Data'!$AM$4:$AM$1051,'Stock Data'!$AN$4:$AN$1051)</f>
        <v>254.64</v>
      </c>
    </row>
    <row r="548" spans="3:4" ht="15" customHeight="1">
      <c r="C548" s="493">
        <f>+'Stock Data'!AM359</f>
        <v>45583</v>
      </c>
      <c r="D548" s="467">
        <f>_xlfn.XLOOKUP(C548,'Stock Data'!$AM$4:$AM$1051,'Stock Data'!$AN$4:$AN$1051)</f>
        <v>300.39</v>
      </c>
    </row>
    <row r="549" spans="3:4" ht="15" customHeight="1">
      <c r="C549" s="493">
        <f>+'Stock Data'!AM360</f>
        <v>45582</v>
      </c>
      <c r="D549" s="467">
        <f>_xlfn.XLOOKUP(C549,'Stock Data'!$AM$4:$AM$1051,'Stock Data'!$AN$4:$AN$1051)</f>
        <v>298.17</v>
      </c>
    </row>
    <row r="550" spans="3:4" ht="15" customHeight="1">
      <c r="C550" s="493">
        <f>+'Stock Data'!AM361</f>
        <v>45581</v>
      </c>
      <c r="D550" s="467">
        <f>_xlfn.XLOOKUP(C550,'Stock Data'!$AM$4:$AM$1051,'Stock Data'!$AN$4:$AN$1051)</f>
        <v>297.33999999999997</v>
      </c>
    </row>
    <row r="551" spans="3:4" ht="15" customHeight="1">
      <c r="C551" s="493">
        <f>+'Stock Data'!AM362</f>
        <v>45580</v>
      </c>
      <c r="D551" s="467">
        <f>_xlfn.XLOOKUP(C551,'Stock Data'!$AM$4:$AM$1051,'Stock Data'!$AN$4:$AN$1051)</f>
        <v>292.63</v>
      </c>
    </row>
    <row r="552" spans="3:4" ht="15" customHeight="1">
      <c r="C552" s="493">
        <f>+'Stock Data'!AM363</f>
        <v>45579</v>
      </c>
      <c r="D552" s="467">
        <f>_xlfn.XLOOKUP(C552,'Stock Data'!$AM$4:$AM$1051,'Stock Data'!$AN$4:$AN$1051)</f>
        <v>286.38</v>
      </c>
    </row>
    <row r="553" spans="3:4" ht="15" customHeight="1">
      <c r="C553" s="493">
        <f>+'Stock Data'!AM364</f>
        <v>45578</v>
      </c>
      <c r="D553" s="467">
        <f>_xlfn.XLOOKUP(C553,'Stock Data'!$AM$4:$AM$1051,'Stock Data'!$AN$4:$AN$1051)</f>
        <v>286.38</v>
      </c>
    </row>
    <row r="554" spans="3:4" ht="15" customHeight="1">
      <c r="C554" s="493">
        <f>+'Stock Data'!AM365</f>
        <v>45577</v>
      </c>
      <c r="D554" s="467">
        <f>_xlfn.XLOOKUP(C554,'Stock Data'!$AM$4:$AM$1051,'Stock Data'!$AN$4:$AN$1051)</f>
        <v>286.38</v>
      </c>
    </row>
    <row r="555" spans="3:4" ht="15" customHeight="1">
      <c r="C555" s="493">
        <f>+'Stock Data'!AM366</f>
        <v>45576</v>
      </c>
      <c r="D555" s="467">
        <f>_xlfn.XLOOKUP(C555,'Stock Data'!$AM$4:$AM$1051,'Stock Data'!$AN$4:$AN$1051)</f>
        <v>286</v>
      </c>
    </row>
    <row r="556" spans="3:4" ht="15" customHeight="1">
      <c r="C556" s="493">
        <f>+'Stock Data'!AM367</f>
        <v>45575</v>
      </c>
      <c r="D556" s="467">
        <f>_xlfn.XLOOKUP(C556,'Stock Data'!$AM$4:$AM$1051,'Stock Data'!$AN$4:$AN$1051)</f>
        <v>284.86</v>
      </c>
    </row>
    <row r="557" spans="3:4" ht="15" customHeight="1">
      <c r="C557" s="493">
        <f>+'Stock Data'!AM368</f>
        <v>45574</v>
      </c>
      <c r="D557" s="467">
        <f>_xlfn.XLOOKUP(C557,'Stock Data'!$AM$4:$AM$1051,'Stock Data'!$AN$4:$AN$1051)</f>
        <v>283.85000000000002</v>
      </c>
    </row>
    <row r="558" spans="3:4" ht="15" customHeight="1">
      <c r="C558" s="493">
        <f>+'Stock Data'!AM369</f>
        <v>45573</v>
      </c>
      <c r="D558" s="467">
        <f>_xlfn.XLOOKUP(C558,'Stock Data'!$AM$4:$AM$1051,'Stock Data'!$AN$4:$AN$1051)</f>
        <v>283.3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B1:P42"/>
  <sheetViews>
    <sheetView showGridLines="0" topLeftCell="A7" zoomScale="95" zoomScaleNormal="115" workbookViewId="0">
      <selection activeCell="D25" sqref="D25"/>
    </sheetView>
  </sheetViews>
  <sheetFormatPr defaultColWidth="9" defaultRowHeight="15" customHeight="1"/>
  <cols>
    <col min="1" max="1" width="2.125" style="23" customWidth="1"/>
    <col min="2" max="2" width="25.625" style="23" customWidth="1"/>
    <col min="3" max="4" width="11.625" style="23" customWidth="1"/>
    <col min="5" max="5" width="10.125" style="23" customWidth="1"/>
    <col min="6" max="6" width="25.625" style="23" customWidth="1"/>
    <col min="7" max="7" width="11.625" style="23" customWidth="1"/>
    <col min="8" max="8" width="12.5" style="23" customWidth="1"/>
    <col min="9" max="9" width="10.125" style="23" customWidth="1"/>
    <col min="10" max="10" width="27.125" style="23" customWidth="1"/>
    <col min="11" max="12" width="11.625" style="23" customWidth="1"/>
    <col min="13" max="13" width="10.125" style="23" customWidth="1"/>
    <col min="14" max="14" width="25.625" style="23" customWidth="1"/>
    <col min="15" max="16" width="11.625" style="23" customWidth="1"/>
    <col min="17" max="16384" width="9" style="23"/>
  </cols>
  <sheetData>
    <row r="1" spans="2:16" s="468" customFormat="1" ht="15" customHeight="1"/>
    <row r="2" spans="2:16" s="468" customFormat="1" ht="15" customHeight="1"/>
    <row r="3" spans="2:16" s="468" customFormat="1" ht="15" customHeight="1"/>
    <row r="4" spans="2:16" s="468" customFormat="1" ht="15" customHeight="1"/>
    <row r="5" spans="2:16" s="36" customFormat="1" ht="4.3499999999999996" customHeight="1"/>
    <row r="7" spans="2:16" ht="15" customHeight="1">
      <c r="B7" s="373" t="s">
        <v>1</v>
      </c>
      <c r="C7" s="186"/>
      <c r="D7" s="186"/>
      <c r="F7" s="373" t="s">
        <v>2</v>
      </c>
      <c r="G7" s="186"/>
      <c r="H7" s="186"/>
      <c r="J7" s="373" t="s">
        <v>3</v>
      </c>
      <c r="K7" s="186"/>
      <c r="L7" s="186"/>
      <c r="M7" s="186"/>
      <c r="N7" s="186"/>
      <c r="O7" s="186"/>
      <c r="P7" s="186"/>
    </row>
    <row r="8" spans="2:16" ht="15" customHeight="1">
      <c r="B8" s="373"/>
      <c r="C8" s="186"/>
      <c r="D8" s="186"/>
      <c r="F8" s="373"/>
      <c r="G8" s="186"/>
      <c r="H8" s="186"/>
      <c r="J8" s="186"/>
      <c r="K8" s="186"/>
      <c r="L8" s="186"/>
      <c r="M8" s="186"/>
      <c r="N8" s="186"/>
      <c r="O8" s="186"/>
      <c r="P8" s="186"/>
    </row>
    <row r="9" spans="2:16" ht="15" customHeight="1">
      <c r="B9" s="186"/>
      <c r="C9" s="186"/>
      <c r="D9" s="186"/>
      <c r="F9" s="186"/>
      <c r="G9" s="186"/>
      <c r="H9" s="186"/>
      <c r="J9" s="186"/>
      <c r="K9" s="186"/>
      <c r="L9" s="186"/>
      <c r="M9" s="186"/>
      <c r="N9" s="186"/>
      <c r="O9" s="186"/>
      <c r="P9" s="186"/>
    </row>
    <row r="10" spans="2:16" ht="4.3499999999999996" customHeight="1">
      <c r="B10" s="36"/>
      <c r="C10" s="36"/>
      <c r="D10" s="36"/>
      <c r="F10" s="36"/>
      <c r="G10" s="36"/>
      <c r="H10" s="36"/>
      <c r="J10" s="36"/>
      <c r="K10" s="36"/>
      <c r="L10" s="36"/>
      <c r="M10" s="36"/>
      <c r="N10" s="36"/>
      <c r="O10" s="36"/>
      <c r="P10" s="36"/>
    </row>
    <row r="11" spans="2:16" ht="4.3499999999999996" customHeight="1"/>
    <row r="12" spans="2:16" ht="15" customHeight="1">
      <c r="B12" s="376" t="s">
        <v>4</v>
      </c>
      <c r="F12" s="374" t="s">
        <v>5</v>
      </c>
      <c r="H12" s="447" t="s">
        <v>6</v>
      </c>
      <c r="J12" s="423"/>
    </row>
    <row r="13" spans="2:16" ht="15" customHeight="1">
      <c r="B13" s="460" t="s">
        <v>7</v>
      </c>
      <c r="F13" s="374" t="s">
        <v>8</v>
      </c>
      <c r="H13" s="486">
        <f ca="1">FCFF!AL211</f>
        <v>354.98329600872029</v>
      </c>
      <c r="J13" s="423"/>
    </row>
    <row r="14" spans="2:16" ht="15" customHeight="1">
      <c r="B14" s="567" t="s">
        <v>9</v>
      </c>
      <c r="F14" s="374" t="s">
        <v>10</v>
      </c>
      <c r="H14" s="441">
        <f ca="1">FCFF!AL213</f>
        <v>0.57770353781653472</v>
      </c>
      <c r="J14" s="423"/>
    </row>
    <row r="15" spans="2:16" ht="15" customHeight="1">
      <c r="B15" s="376" t="s">
        <v>11</v>
      </c>
      <c r="J15" s="423"/>
    </row>
    <row r="16" spans="2:16" ht="15" customHeight="1">
      <c r="B16" s="460" t="s">
        <v>12</v>
      </c>
      <c r="F16" s="374" t="s">
        <v>13</v>
      </c>
      <c r="H16" s="477" t="str">
        <f>Inputs!D15</f>
        <v>FDX US Equity</v>
      </c>
      <c r="J16" s="423"/>
    </row>
    <row r="17" spans="2:8" ht="15" customHeight="1">
      <c r="B17" s="567" t="s">
        <v>14</v>
      </c>
      <c r="F17" s="374" t="s">
        <v>15</v>
      </c>
      <c r="G17" s="441"/>
      <c r="H17" s="477" t="s">
        <v>16</v>
      </c>
    </row>
    <row r="18" spans="2:8" ht="15" customHeight="1">
      <c r="B18" s="376" t="s">
        <v>17</v>
      </c>
    </row>
    <row r="19" spans="2:8" ht="15" customHeight="1">
      <c r="B19" s="460" t="s">
        <v>18</v>
      </c>
      <c r="F19" s="374" t="s">
        <v>19</v>
      </c>
      <c r="H19" s="568">
        <f>'Stock Data'!AN4</f>
        <v>225</v>
      </c>
    </row>
    <row r="20" spans="2:8" ht="15" customHeight="1">
      <c r="B20" s="567" t="s">
        <v>20</v>
      </c>
      <c r="F20" s="374" t="str">
        <f>"Market Cap (in "&amp;IF(Inputs!$D$14="BLN","billions",IF(Inputs!$D$14="MLN","millions","thousands"))&amp;")"</f>
        <v>Market Cap (in millions)</v>
      </c>
      <c r="H20" s="568">
        <f>'Stock Data'!AQ4</f>
        <v>53088.326999999997</v>
      </c>
    </row>
    <row r="21" spans="2:8" ht="15" customHeight="1">
      <c r="F21" s="376" t="s">
        <v>21</v>
      </c>
      <c r="G21" s="441"/>
      <c r="H21" s="473">
        <f>'Stock Data'!E164</f>
        <v>0.96032261848449707</v>
      </c>
    </row>
    <row r="22" spans="2:8" ht="15" customHeight="1">
      <c r="F22" s="376" t="s">
        <v>22</v>
      </c>
      <c r="H22" s="474">
        <f>'Stock Data'!E165</f>
        <v>0.42049285888671872</v>
      </c>
    </row>
    <row r="23" spans="2:8" ht="15" customHeight="1">
      <c r="F23" s="376" t="s">
        <v>23</v>
      </c>
      <c r="H23" s="568">
        <f>'Stock Data'!E166</f>
        <v>228.79580688476563</v>
      </c>
    </row>
    <row r="24" spans="2:8" ht="15" customHeight="1">
      <c r="B24" s="446"/>
      <c r="F24" s="374"/>
      <c r="H24" s="475"/>
    </row>
    <row r="25" spans="2:8" ht="15" customHeight="1">
      <c r="B25" s="374" t="s">
        <v>24</v>
      </c>
      <c r="F25" s="376" t="s">
        <v>25</v>
      </c>
      <c r="H25" s="476">
        <f>'Stock Data'!E168</f>
        <v>2225232.25</v>
      </c>
    </row>
    <row r="26" spans="2:8" ht="15" customHeight="1">
      <c r="B26" s="376" t="s">
        <v>26</v>
      </c>
      <c r="F26" s="376" t="s">
        <v>27</v>
      </c>
      <c r="H26" s="476">
        <f>'Stock Data'!E169</f>
        <v>235.9555</v>
      </c>
    </row>
    <row r="27" spans="2:8" ht="15" customHeight="1">
      <c r="B27" s="460" t="s">
        <v>7</v>
      </c>
      <c r="F27" s="376" t="s">
        <v>28</v>
      </c>
      <c r="H27" s="474">
        <f>'Stock Data'!E170</f>
        <v>0.91444500000000006</v>
      </c>
    </row>
    <row r="28" spans="2:8" ht="15" customHeight="1">
      <c r="B28" s="461" t="s">
        <v>29</v>
      </c>
      <c r="F28" s="376" t="s">
        <v>30</v>
      </c>
      <c r="H28" s="474">
        <f>IFERROR('Stock Data'!E171,0)</f>
        <v>2.028042E-2</v>
      </c>
    </row>
    <row r="29" spans="2:8" ht="15" customHeight="1">
      <c r="F29" s="374"/>
      <c r="H29" s="475"/>
    </row>
    <row r="30" spans="2:8" ht="15" customHeight="1">
      <c r="B30" s="436" t="s">
        <v>31</v>
      </c>
      <c r="F30" s="376" t="s">
        <v>32</v>
      </c>
      <c r="H30" s="474">
        <f>'Stock Data'!E173</f>
        <v>8.55175319074995E-2</v>
      </c>
    </row>
    <row r="31" spans="2:8" ht="15" customHeight="1">
      <c r="B31" s="445" t="s">
        <v>33</v>
      </c>
      <c r="F31" s="376" t="s">
        <v>34</v>
      </c>
      <c r="H31" s="474">
        <f>'Stock Data'!E174</f>
        <v>0.88700040312144124</v>
      </c>
    </row>
    <row r="32" spans="2:8" ht="15" customHeight="1">
      <c r="B32" s="446" t="s">
        <v>35</v>
      </c>
    </row>
    <row r="34" spans="2:16" ht="15" customHeight="1">
      <c r="B34" s="745" t="s">
        <v>36</v>
      </c>
      <c r="C34" s="745"/>
      <c r="D34" s="745"/>
      <c r="E34" s="745"/>
      <c r="F34" s="745"/>
      <c r="G34" s="745"/>
      <c r="H34" s="745"/>
      <c r="I34" s="745"/>
      <c r="J34" s="745"/>
      <c r="K34" s="745"/>
      <c r="L34" s="745"/>
      <c r="M34" s="745"/>
      <c r="N34" s="745"/>
      <c r="O34" s="745"/>
      <c r="P34" s="745"/>
    </row>
    <row r="35" spans="2:16" ht="15" customHeight="1">
      <c r="B35" s="745"/>
      <c r="C35" s="745"/>
      <c r="D35" s="745"/>
      <c r="E35" s="745"/>
      <c r="F35" s="745"/>
      <c r="G35" s="745"/>
      <c r="H35" s="745"/>
      <c r="I35" s="745"/>
      <c r="J35" s="745"/>
      <c r="K35" s="745"/>
      <c r="L35" s="745"/>
      <c r="M35" s="745"/>
      <c r="N35" s="745"/>
      <c r="O35" s="745"/>
      <c r="P35" s="745"/>
    </row>
    <row r="36" spans="2:16" ht="15" customHeight="1">
      <c r="B36" s="745"/>
      <c r="C36" s="745"/>
      <c r="D36" s="745"/>
      <c r="E36" s="745"/>
      <c r="F36" s="745"/>
      <c r="G36" s="745"/>
      <c r="H36" s="745"/>
      <c r="I36" s="745"/>
      <c r="J36" s="745"/>
      <c r="K36" s="745"/>
      <c r="L36" s="745"/>
      <c r="M36" s="745"/>
      <c r="N36" s="745"/>
      <c r="O36" s="745"/>
      <c r="P36" s="745"/>
    </row>
    <row r="37" spans="2:16" ht="15" customHeight="1">
      <c r="B37" s="745"/>
      <c r="C37" s="745"/>
      <c r="D37" s="745"/>
      <c r="E37" s="745"/>
      <c r="F37" s="745"/>
      <c r="G37" s="745"/>
      <c r="H37" s="745"/>
      <c r="I37" s="745"/>
      <c r="J37" s="745"/>
      <c r="K37" s="745"/>
      <c r="L37" s="745"/>
      <c r="M37" s="745"/>
      <c r="N37" s="745"/>
      <c r="O37" s="745"/>
      <c r="P37" s="745"/>
    </row>
    <row r="38" spans="2:16" ht="15" customHeight="1">
      <c r="B38" s="745"/>
      <c r="C38" s="745"/>
      <c r="D38" s="745"/>
      <c r="E38" s="745"/>
      <c r="F38" s="745"/>
      <c r="G38" s="745"/>
      <c r="H38" s="745"/>
      <c r="I38" s="745"/>
      <c r="J38" s="745"/>
      <c r="K38" s="745"/>
      <c r="L38" s="745"/>
      <c r="M38" s="745"/>
      <c r="N38" s="745"/>
      <c r="O38" s="745"/>
      <c r="P38" s="745"/>
    </row>
    <row r="39" spans="2:16" ht="15" customHeight="1">
      <c r="B39" s="745"/>
      <c r="C39" s="745"/>
      <c r="D39" s="745"/>
      <c r="E39" s="745"/>
      <c r="F39" s="745"/>
      <c r="G39" s="745"/>
      <c r="H39" s="745"/>
      <c r="I39" s="745"/>
      <c r="J39" s="745"/>
      <c r="K39" s="745"/>
      <c r="L39" s="745"/>
      <c r="M39" s="745"/>
      <c r="N39" s="745"/>
      <c r="O39" s="745"/>
      <c r="P39" s="745"/>
    </row>
    <row r="40" spans="2:16" ht="15" customHeight="1">
      <c r="B40" s="745"/>
      <c r="C40" s="745"/>
      <c r="D40" s="745"/>
      <c r="E40" s="745"/>
      <c r="F40" s="745"/>
      <c r="G40" s="745"/>
      <c r="H40" s="745"/>
      <c r="I40" s="745"/>
      <c r="J40" s="745"/>
      <c r="K40" s="745"/>
      <c r="L40" s="745"/>
      <c r="M40" s="745"/>
      <c r="N40" s="745"/>
      <c r="O40" s="745"/>
      <c r="P40" s="745"/>
    </row>
    <row r="41" spans="2:16" ht="15" customHeight="1">
      <c r="B41" s="745"/>
      <c r="C41" s="745"/>
      <c r="D41" s="745"/>
      <c r="E41" s="745"/>
      <c r="F41" s="745"/>
      <c r="G41" s="745"/>
      <c r="H41" s="745"/>
      <c r="I41" s="745"/>
      <c r="J41" s="745"/>
      <c r="K41" s="745"/>
      <c r="L41" s="745"/>
      <c r="M41" s="745"/>
      <c r="N41" s="745"/>
      <c r="O41" s="745"/>
      <c r="P41" s="745"/>
    </row>
    <row r="42" spans="2:16" ht="15" customHeight="1">
      <c r="B42" s="745"/>
      <c r="C42" s="745"/>
      <c r="D42" s="745"/>
      <c r="E42" s="745"/>
      <c r="F42" s="745"/>
      <c r="G42" s="745"/>
      <c r="H42" s="745"/>
      <c r="I42" s="745"/>
      <c r="J42" s="745"/>
      <c r="K42" s="745"/>
      <c r="L42" s="745"/>
      <c r="M42" s="745"/>
      <c r="N42" s="745"/>
      <c r="O42" s="745"/>
      <c r="P42" s="745"/>
    </row>
  </sheetData>
  <mergeCells count="1">
    <mergeCell ref="B34:P42"/>
  </mergeCells>
  <conditionalFormatting sqref="H12">
    <cfRule type="beginsWith" dxfId="5" priority="1" operator="beginsWith" text="Hold">
      <formula>LEFT(H12,LEN("Hold"))="Hold"</formula>
    </cfRule>
    <cfRule type="beginsWith" dxfId="4" priority="2" operator="beginsWith" text="Buy">
      <formula>LEFT(H12,LEN("Buy"))="Buy"</formula>
    </cfRule>
    <cfRule type="beginsWith" dxfId="3" priority="3" operator="beginsWith" text="Strong Buy">
      <formula>LEFT(H12,LEN("Strong Buy"))="Strong Buy"</formula>
    </cfRule>
    <cfRule type="beginsWith" dxfId="2" priority="4" operator="beginsWith" text="Sell">
      <formula>LEFT(H12,LEN("Sell"))="Sell"</formula>
    </cfRule>
    <cfRule type="beginsWith" dxfId="1" priority="5" operator="beginsWith" text="Strong Sell">
      <formula>LEFT(H12,LEN("Strong Sell"))="Strong Sell"</formula>
    </cfRule>
  </conditionalFormatting>
  <dataValidations count="1">
    <dataValidation type="list" allowBlank="1" showInputMessage="1" showErrorMessage="1" sqref="H12" xr:uid="{00000000-0002-0000-0100-000000000000}">
      <formula1>"Strong Buy, Buy, Hold, Sell, Strong Sell"</formula1>
    </dataValidation>
  </dataValidations>
  <hyperlinks>
    <hyperlink ref="B32" r:id="rId1" xr:uid="{068F08CB-A223-45FB-9A9F-060ED37D18D0}"/>
    <hyperlink ref="B27" r:id="rId2" display="raul.vasconcelos@aln.iseg.ulisboa.pt" xr:uid="{D48763E3-2FF5-493C-B29F-B756409D01B4}"/>
    <hyperlink ref="B19" r:id="rId3" display="raul.vasconcelos@aln.iseg.ulisboa.pt" xr:uid="{972F8107-633E-46FA-8E9D-446E831F3D6B}"/>
    <hyperlink ref="B16" r:id="rId4" display="raul.vasconcelos@aln.iseg.ulisboa.pt" xr:uid="{913F4351-F364-4566-8CF9-58EAB12BAB1A}"/>
    <hyperlink ref="B13" r:id="rId5" display="raul.vasconcelos@aln.iseg.ulisboa.pt" xr:uid="{EFA83599-0A39-49DD-B76B-5CC8CB13CC21}"/>
    <hyperlink ref="B14" r:id="rId6" xr:uid="{7E40408F-33CC-408B-8CA2-499987583F64}"/>
    <hyperlink ref="B17" r:id="rId7" xr:uid="{BCF3D757-C06D-408A-B12B-8BF1F6257C83}"/>
    <hyperlink ref="B20" r:id="rId8" xr:uid="{338D3A44-719F-2E46-8642-9DCAAC2B370D}"/>
  </hyperlinks>
  <pageMargins left="0.7" right="0.7" top="0.75" bottom="0.75" header="0.3" footer="0.3"/>
  <pageSetup paperSize="9" orientation="portrait" r:id="rId9"/>
  <drawing r:id="rId1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theme="4" tint="0.59999389629810485"/>
    <pageSetUpPr autoPageBreaks="0"/>
  </sheetPr>
  <dimension ref="A1:S48"/>
  <sheetViews>
    <sheetView showGridLines="0" topLeftCell="A2" zoomScale="61" zoomScaleNormal="100" workbookViewId="0">
      <selection activeCell="D35" sqref="D35:M35"/>
    </sheetView>
  </sheetViews>
  <sheetFormatPr defaultColWidth="11.625" defaultRowHeight="15" customHeight="1"/>
  <cols>
    <col min="1" max="1" width="2.125" style="23" customWidth="1"/>
    <col min="2" max="2" width="53.125" style="23" bestFit="1" customWidth="1"/>
    <col min="3" max="3" width="3.625" style="23" customWidth="1"/>
    <col min="4" max="7" width="11.625" style="23"/>
    <col min="8" max="8" width="13" style="23" customWidth="1"/>
    <col min="9" max="11" width="11.625" style="23"/>
    <col min="12" max="12" width="14.5" style="23" customWidth="1"/>
    <col min="13" max="13" width="11.625" style="23"/>
    <col min="14" max="14" width="1.625" style="23" customWidth="1"/>
    <col min="15" max="16384" width="11.625" style="23"/>
  </cols>
  <sheetData>
    <row r="1" spans="1:19" s="468" customFormat="1" ht="15" customHeight="1"/>
    <row r="2" spans="1:19" s="468" customFormat="1" ht="15" customHeight="1"/>
    <row r="3" spans="1:19" s="468" customFormat="1" ht="15" customHeight="1"/>
    <row r="4" spans="1:19" s="468" customFormat="1" ht="15" customHeight="1"/>
    <row r="5" spans="1:19" s="36" customFormat="1" ht="4.3499999999999996" customHeight="1"/>
    <row r="6" spans="1:19" ht="15" customHeight="1">
      <c r="D6" s="411">
        <v>584.16999999999996</v>
      </c>
      <c r="E6" s="411">
        <v>627.76</v>
      </c>
      <c r="F6" s="411">
        <v>676.06</v>
      </c>
      <c r="G6" s="411">
        <v>729.63</v>
      </c>
      <c r="H6" s="411">
        <v>789.13</v>
      </c>
      <c r="I6" s="411">
        <v>855.3</v>
      </c>
      <c r="J6" s="411">
        <v>929</v>
      </c>
      <c r="K6" s="411">
        <v>997.69</v>
      </c>
      <c r="L6" s="411">
        <v>1067.6300000000001</v>
      </c>
      <c r="M6" s="411">
        <v>1137.57</v>
      </c>
    </row>
    <row r="7" spans="1:19" ht="15" customHeight="1">
      <c r="A7" s="44" t="s">
        <v>37</v>
      </c>
      <c r="B7" s="373" t="s">
        <v>38</v>
      </c>
      <c r="C7" s="186"/>
      <c r="D7" s="32"/>
      <c r="E7" s="32"/>
      <c r="F7" s="32"/>
      <c r="G7" s="32"/>
      <c r="H7" s="32"/>
      <c r="I7" s="32"/>
      <c r="J7" s="32"/>
      <c r="K7" s="32"/>
      <c r="L7" s="32"/>
      <c r="M7" s="32"/>
      <c r="N7" s="411"/>
      <c r="O7" s="373" t="s">
        <v>39</v>
      </c>
      <c r="P7" s="186"/>
      <c r="Q7" s="186"/>
      <c r="R7" s="186"/>
      <c r="S7" s="186"/>
    </row>
    <row r="8" spans="1:19" ht="15" customHeight="1">
      <c r="B8" s="186"/>
      <c r="C8" s="186"/>
      <c r="D8" s="32"/>
      <c r="E8" s="32"/>
      <c r="F8" s="32"/>
      <c r="G8" s="32"/>
      <c r="H8" s="32"/>
      <c r="I8" s="32"/>
      <c r="J8" s="32"/>
      <c r="K8" s="32"/>
      <c r="L8" s="32"/>
      <c r="M8" s="32"/>
      <c r="N8" s="411"/>
      <c r="O8" s="186"/>
      <c r="P8" s="186"/>
      <c r="Q8" s="186"/>
      <c r="R8" s="186"/>
      <c r="S8" s="186"/>
    </row>
    <row r="9" spans="1:19" ht="15" customHeight="1">
      <c r="B9" s="373"/>
      <c r="C9" s="32"/>
      <c r="D9" s="414">
        <v>2022</v>
      </c>
      <c r="E9" s="414">
        <f>+D9+1</f>
        <v>2023</v>
      </c>
      <c r="F9" s="414">
        <f>+E9+1</f>
        <v>2024</v>
      </c>
      <c r="G9" s="415">
        <f>+F9+1</f>
        <v>2025</v>
      </c>
      <c r="H9" s="415">
        <f t="shared" ref="H9:K9" si="0">+G9+1</f>
        <v>2026</v>
      </c>
      <c r="I9" s="415">
        <f t="shared" si="0"/>
        <v>2027</v>
      </c>
      <c r="J9" s="415">
        <f t="shared" si="0"/>
        <v>2028</v>
      </c>
      <c r="K9" s="415">
        <f t="shared" si="0"/>
        <v>2029</v>
      </c>
      <c r="L9" s="430"/>
      <c r="M9" s="431" t="str">
        <f>"CAGR "&amp;$G$9&amp;" - "&amp;$K$9</f>
        <v>CAGR 2025 - 2029</v>
      </c>
      <c r="N9" s="432"/>
      <c r="O9" s="32"/>
      <c r="P9" s="32"/>
      <c r="Q9" s="32"/>
      <c r="R9" s="32"/>
      <c r="S9" s="32"/>
    </row>
    <row r="10" spans="1:19" ht="4.3499999999999996" customHeight="1">
      <c r="B10" s="36"/>
      <c r="C10" s="36"/>
      <c r="D10" s="36"/>
      <c r="E10" s="36"/>
      <c r="F10" s="36"/>
      <c r="G10" s="36"/>
      <c r="H10" s="36"/>
      <c r="I10" s="36"/>
      <c r="J10" s="36"/>
      <c r="K10" s="36"/>
      <c r="L10" s="36"/>
      <c r="M10" s="380"/>
      <c r="O10" s="36"/>
      <c r="P10" s="36"/>
      <c r="Q10" s="36"/>
      <c r="R10" s="36"/>
      <c r="S10" s="36"/>
    </row>
    <row r="11" spans="1:19" ht="4.3499999999999996" customHeight="1">
      <c r="M11" s="423"/>
    </row>
    <row r="12" spans="1:19" ht="15" customHeight="1">
      <c r="B12" s="639" t="s">
        <v>40</v>
      </c>
      <c r="C12" s="33"/>
      <c r="D12" s="438">
        <f>C44</f>
        <v>1272945.166</v>
      </c>
      <c r="E12" s="438">
        <f t="shared" ref="E12:K12" si="1">D44</f>
        <v>1337992.6639826</v>
      </c>
      <c r="F12" s="438">
        <f t="shared" si="1"/>
        <v>1406364.0891121107</v>
      </c>
      <c r="G12" s="438">
        <f t="shared" si="1"/>
        <v>1478229.2940657395</v>
      </c>
      <c r="H12" s="438">
        <f t="shared" si="1"/>
        <v>1553766.8109924986</v>
      </c>
      <c r="I12" s="438">
        <f t="shared" si="1"/>
        <v>1633164.2950342153</v>
      </c>
      <c r="J12" s="438">
        <f t="shared" si="1"/>
        <v>1716618.9905104635</v>
      </c>
      <c r="K12" s="438">
        <f t="shared" si="1"/>
        <v>1804338.2209255481</v>
      </c>
      <c r="L12" s="428"/>
      <c r="M12" s="433">
        <f>(K12/G12)^(1/5)-1</f>
        <v>4.0675256835799534E-2</v>
      </c>
    </row>
    <row r="13" spans="1:19" ht="15" customHeight="1">
      <c r="B13" s="437" t="s">
        <v>41</v>
      </c>
      <c r="D13" s="570">
        <f>FCFF!D13</f>
        <v>6.9585086903892604E-2</v>
      </c>
      <c r="E13" s="570">
        <f>FCFF!E13</f>
        <v>6.4187197965920137E-2</v>
      </c>
      <c r="F13" s="570">
        <f>FCFF!F13</f>
        <v>5.9867142976578275E-2</v>
      </c>
      <c r="G13" s="570">
        <f>FCFF!G13</f>
        <v>5.7974468133339195E-2</v>
      </c>
      <c r="H13" s="570">
        <f>FCFF!H13</f>
        <v>5.6684884335917347E-2</v>
      </c>
      <c r="I13" s="570">
        <f>FCFF!J13</f>
        <v>5.5640594906816471E-2</v>
      </c>
      <c r="J13" s="570">
        <f>FCFF!K13</f>
        <v>5.4732613876278764E-2</v>
      </c>
      <c r="K13" s="570">
        <f>FCFF!L13</f>
        <v>5.1746460326324989E-2</v>
      </c>
      <c r="L13" s="428"/>
      <c r="M13" s="440">
        <f>((K13*K12)/(G13*G12))^(1/5)-1</f>
        <v>1.7288192589977713E-2</v>
      </c>
    </row>
    <row r="14" spans="1:19" ht="15" customHeight="1">
      <c r="B14" s="376" t="s">
        <v>42</v>
      </c>
      <c r="C14" s="33"/>
      <c r="D14" s="438">
        <v>30830770</v>
      </c>
      <c r="E14" s="438">
        <f t="shared" ref="E14:J14" si="2">D14*(1+0.189)</f>
        <v>36657785.530000001</v>
      </c>
      <c r="F14" s="438">
        <f t="shared" si="2"/>
        <v>43586106.995170005</v>
      </c>
      <c r="G14" s="438">
        <f t="shared" si="2"/>
        <v>51823881.217257135</v>
      </c>
      <c r="H14" s="438">
        <f t="shared" si="2"/>
        <v>61618594.767318733</v>
      </c>
      <c r="I14" s="438">
        <f t="shared" si="2"/>
        <v>73264509.17834197</v>
      </c>
      <c r="J14" s="438">
        <f t="shared" si="2"/>
        <v>87111501.41304861</v>
      </c>
      <c r="K14" s="438">
        <v>83260000</v>
      </c>
      <c r="L14" s="428"/>
      <c r="M14" s="433">
        <f>(K14/G14)^(1/5)-1</f>
        <v>9.9464710204737017E-2</v>
      </c>
    </row>
    <row r="15" spans="1:19" ht="15" customHeight="1">
      <c r="B15" s="437" t="s">
        <v>41</v>
      </c>
      <c r="D15" s="570">
        <f>FCFF!D15</f>
        <v>2.5638672015003195E-3</v>
      </c>
      <c r="E15" s="570">
        <f>FCFF!E15</f>
        <v>2.0800492691408902E-3</v>
      </c>
      <c r="F15" s="570">
        <f>FCFF!F15</f>
        <v>1.7233243613228328E-3</v>
      </c>
      <c r="G15" s="570">
        <f>FCFF!G15</f>
        <v>1.4801945278281859E-3</v>
      </c>
      <c r="H15" s="570">
        <f>FCFF!H15</f>
        <v>1.2825009624501213E-3</v>
      </c>
      <c r="I15" s="570">
        <f>FCFF!J15</f>
        <v>1.1152217230832734E-3</v>
      </c>
      <c r="J15" s="570">
        <f>FCFF!K15</f>
        <v>9.7147653110942541E-4</v>
      </c>
      <c r="K15" s="570">
        <f>FCFF!L15</f>
        <v>1.0158129188203662E-3</v>
      </c>
      <c r="L15" s="428"/>
      <c r="M15" s="440">
        <f>((K15*K14)/(G15*G14))^(1/5)-1</f>
        <v>1.9718460767552459E-2</v>
      </c>
    </row>
    <row r="16" spans="1:19" ht="15" customHeight="1">
      <c r="B16" s="571" t="s">
        <v>43</v>
      </c>
      <c r="C16" s="33"/>
      <c r="D16" s="438">
        <f>E16/(1+0.1071)</f>
        <v>921190.52154557069</v>
      </c>
      <c r="E16" s="438">
        <f>F16/(1+0.1071)</f>
        <v>1019850.0264031013</v>
      </c>
      <c r="F16" s="438">
        <f>G16/(1+0.1071)</f>
        <v>1129075.9642308734</v>
      </c>
      <c r="G16" s="438">
        <v>1250000</v>
      </c>
      <c r="H16" s="438">
        <f>G16*(1+0.1071)</f>
        <v>1383875</v>
      </c>
      <c r="I16" s="438">
        <f>H16*(1.1071)</f>
        <v>1532088.0125</v>
      </c>
      <c r="J16" s="438">
        <f>I16*(1.1071)</f>
        <v>1696174.63863875</v>
      </c>
      <c r="K16" s="438">
        <v>2080000</v>
      </c>
      <c r="L16" s="428"/>
      <c r="M16" s="433">
        <f>(K16/G16)^(1/5)-1</f>
        <v>0.1072116949708628</v>
      </c>
    </row>
    <row r="17" spans="1:19" ht="15" customHeight="1">
      <c r="B17" s="437" t="s">
        <v>41</v>
      </c>
      <c r="D17" s="570">
        <f>FCFF!D17</f>
        <v>5.7127161829353103E-2</v>
      </c>
      <c r="E17" s="570">
        <f>FCFF!E17</f>
        <v>5.12820499544E-2</v>
      </c>
      <c r="F17" s="570">
        <f>FCFF!F17</f>
        <v>4.603587504E-2</v>
      </c>
      <c r="G17" s="570">
        <f>FCFF!G17</f>
        <v>4.2099852470881535E-2</v>
      </c>
      <c r="H17" s="570">
        <f>FCFF!H17</f>
        <v>3.8920613326223368E-2</v>
      </c>
      <c r="I17" s="570">
        <f>FCFF!J17</f>
        <v>3.6122107959640527E-2</v>
      </c>
      <c r="J17" s="570">
        <f>FCFF!K17</f>
        <v>3.3572921650101444E-2</v>
      </c>
      <c r="K17" s="570">
        <f>FCFF!L17</f>
        <v>2.7083178214270677E-2</v>
      </c>
      <c r="L17" s="428"/>
      <c r="M17" s="440">
        <f>((K17*K16)/(G17*G16))^(1/5)-1</f>
        <v>1.3711737496009402E-2</v>
      </c>
    </row>
    <row r="18" spans="1:19" ht="15" customHeight="1">
      <c r="B18" s="439" t="s">
        <v>44</v>
      </c>
      <c r="C18" s="33"/>
      <c r="D18" s="438">
        <f>E18/1.06</f>
        <v>227260.59095763616</v>
      </c>
      <c r="E18" s="438">
        <f>F18/1.06</f>
        <v>240896.22641509434</v>
      </c>
      <c r="F18" s="438">
        <v>255350</v>
      </c>
      <c r="G18" s="438">
        <f>F18*1.06</f>
        <v>270671</v>
      </c>
      <c r="H18" s="438">
        <f t="shared" ref="H18:J18" si="3">G18*1.06</f>
        <v>286911.26</v>
      </c>
      <c r="I18" s="438">
        <f t="shared" si="3"/>
        <v>304125.93560000003</v>
      </c>
      <c r="J18" s="438">
        <f t="shared" si="3"/>
        <v>322373.49173600005</v>
      </c>
      <c r="K18" s="438">
        <f t="shared" ref="K18" si="4">J18*1.06</f>
        <v>341715.90124016005</v>
      </c>
      <c r="L18" s="428"/>
      <c r="M18" s="433">
        <f>(K18/G18)^(1/5)-1</f>
        <v>4.7718692310682265E-2</v>
      </c>
    </row>
    <row r="19" spans="1:19" ht="15" customHeight="1">
      <c r="B19" s="437" t="s">
        <v>41</v>
      </c>
      <c r="D19" s="570">
        <f>FCFF!D19</f>
        <v>0.20159236498923047</v>
      </c>
      <c r="E19" s="570">
        <f>FCFF!E19</f>
        <v>0.17743324848247505</v>
      </c>
      <c r="F19" s="570">
        <f>FCFF!F19</f>
        <v>0.16000391619345997</v>
      </c>
      <c r="G19" s="570">
        <f>FCFF!G19</f>
        <v>0.15690973898201135</v>
      </c>
      <c r="H19" s="570">
        <f>FCFF!H19</f>
        <v>0.15432099686162476</v>
      </c>
      <c r="I19" s="570">
        <f>FCFF!J19</f>
        <v>0.15213618006840143</v>
      </c>
      <c r="J19" s="570">
        <f>FCFF!K19</f>
        <v>0.14995715600075438</v>
      </c>
      <c r="K19" s="570">
        <f>FCFF!L19</f>
        <v>0.14477193868805777</v>
      </c>
      <c r="L19" s="428"/>
      <c r="M19" s="440">
        <f>((K19*K18)/(G19*G18))^(1/5)-1</f>
        <v>3.0983204285139454E-2</v>
      </c>
    </row>
    <row r="20" spans="1:19" ht="15" customHeight="1">
      <c r="B20" s="439" t="s">
        <v>45</v>
      </c>
      <c r="C20" s="33"/>
      <c r="D20" s="438">
        <f>E20/1.0501</f>
        <v>87330.303639848149</v>
      </c>
      <c r="E20" s="438">
        <f>F20/1.0501</f>
        <v>91705.551852204546</v>
      </c>
      <c r="F20" s="438">
        <v>96300</v>
      </c>
      <c r="G20" s="438">
        <f>F20*1.0501</f>
        <v>101124.63</v>
      </c>
      <c r="H20" s="438">
        <f t="shared" ref="H20:K20" si="5">G20*1.0501</f>
        <v>106190.97396300001</v>
      </c>
      <c r="I20" s="438">
        <f t="shared" si="5"/>
        <v>111511.14175854632</v>
      </c>
      <c r="J20" s="438">
        <f t="shared" si="5"/>
        <v>117097.84996064949</v>
      </c>
      <c r="K20" s="438">
        <f t="shared" si="5"/>
        <v>122964.45224367802</v>
      </c>
      <c r="L20" s="428"/>
      <c r="M20" s="433">
        <f t="shared" ref="M20:M24" si="6">(K20/G20)^(1/5)-1</f>
        <v>3.9883115800511071E-2</v>
      </c>
    </row>
    <row r="21" spans="1:19" ht="15" customHeight="1">
      <c r="B21" s="437" t="s">
        <v>41</v>
      </c>
      <c r="D21" s="570">
        <f>FCFF!D21</f>
        <v>0.23187827313084114</v>
      </c>
      <c r="E21" s="570">
        <f>FCFF!E21</f>
        <v>0.21430545482866045</v>
      </c>
      <c r="F21" s="570">
        <f>FCFF!F21</f>
        <v>0.19279335410176532</v>
      </c>
      <c r="G21" s="570">
        <f>FCFF!G21</f>
        <v>0.19023468328141227</v>
      </c>
      <c r="H21" s="570">
        <f>FCFF!H21</f>
        <v>0.1881877466251298</v>
      </c>
      <c r="I21" s="570">
        <f>FCFF!J21</f>
        <v>0.18655019730010383</v>
      </c>
      <c r="J21" s="570">
        <f>FCFF!K21</f>
        <v>0.18436679820006921</v>
      </c>
      <c r="K21" s="570">
        <f>FCFF!L21</f>
        <v>0.18</v>
      </c>
      <c r="L21" s="428"/>
      <c r="M21" s="440">
        <f>((K21*K20)/(G21*G20))^(1/5)-1</f>
        <v>2.8445039689570795E-2</v>
      </c>
    </row>
    <row r="22" spans="1:19" ht="15" customHeight="1">
      <c r="B22" s="439" t="s">
        <v>46</v>
      </c>
      <c r="D22" s="438"/>
      <c r="E22" s="438"/>
      <c r="F22" s="438">
        <v>1405500</v>
      </c>
      <c r="G22" s="438">
        <v>1450500</v>
      </c>
      <c r="H22" s="438">
        <f>G22*1.042</f>
        <v>1511421</v>
      </c>
      <c r="I22" s="438">
        <f>H22*1.042</f>
        <v>1574900.682</v>
      </c>
      <c r="J22" s="438">
        <f>I22*1.042</f>
        <v>1641046.510644</v>
      </c>
      <c r="K22" s="438">
        <f>J22*1.042</f>
        <v>1709970.4640910481</v>
      </c>
      <c r="L22" s="428"/>
      <c r="M22" s="433">
        <f t="shared" si="6"/>
        <v>3.346119748028431E-2</v>
      </c>
    </row>
    <row r="23" spans="1:19" ht="15" customHeight="1">
      <c r="B23" s="437" t="s">
        <v>41</v>
      </c>
      <c r="D23" s="570"/>
      <c r="E23" s="570"/>
      <c r="F23" s="570">
        <f>FCFF!F23</f>
        <v>3.0834578441835646E-2</v>
      </c>
      <c r="G23" s="570">
        <f>FCFF!G23</f>
        <v>2.9802579208950502E-2</v>
      </c>
      <c r="H23" s="570">
        <f>FCFF!H23</f>
        <v>2.8978464843397136E-2</v>
      </c>
      <c r="I23" s="570">
        <f>FCFF!J23</f>
        <v>2.832030956880531E-2</v>
      </c>
      <c r="J23" s="570">
        <f>FCFF!K23</f>
        <v>2.779496625700963E-2</v>
      </c>
      <c r="K23" s="570">
        <f>FCFF!L23</f>
        <v>2.5671345548447737E-2</v>
      </c>
      <c r="L23" s="428"/>
      <c r="M23" s="440">
        <f>((K23*K22)/(G23*G22))^(1/5)-1</f>
        <v>3.0743649140998475E-3</v>
      </c>
    </row>
    <row r="24" spans="1:19" ht="15" customHeight="1">
      <c r="B24" s="439" t="s">
        <v>47</v>
      </c>
      <c r="D24" s="438">
        <f>E24/1.0415</f>
        <v>4363400.2090090597</v>
      </c>
      <c r="E24" s="438">
        <f>F24/1.0415</f>
        <v>4544481.3176829359</v>
      </c>
      <c r="F24" s="438">
        <f>G24/1.0415</f>
        <v>4733077.2923667785</v>
      </c>
      <c r="G24" s="438">
        <f>6380000-G22</f>
        <v>4929500</v>
      </c>
      <c r="H24" s="438">
        <f>(G24+G22)*1.0499-H22</f>
        <v>5186941</v>
      </c>
      <c r="I24" s="438">
        <f>(H24+H22)*1.0499-I22</f>
        <v>5457709.5818000007</v>
      </c>
      <c r="J24" s="438">
        <f>(I24+I22)*1.0499-J22</f>
        <v>5742491.0053196214</v>
      </c>
      <c r="K24" s="438">
        <f>(J24+J22)*1.0499-K22</f>
        <v>6042005.5739191584</v>
      </c>
      <c r="L24" s="428"/>
      <c r="M24" s="433">
        <f t="shared" si="6"/>
        <v>4.1539272344589984E-2</v>
      </c>
    </row>
    <row r="25" spans="1:19" ht="15" customHeight="1">
      <c r="B25" s="437" t="s">
        <v>41</v>
      </c>
      <c r="D25" s="570">
        <f>FCFF!D25</f>
        <v>2.5026354395486365E-4</v>
      </c>
      <c r="E25" s="570">
        <f>FCFF!E25</f>
        <v>2.4733295648645911E-4</v>
      </c>
      <c r="F25" s="570">
        <f>FCFF!F25</f>
        <v>2.3325205396084798E-4</v>
      </c>
      <c r="G25" s="570">
        <f>FCFF!G25</f>
        <v>2.2460164316867836E-4</v>
      </c>
      <c r="H25" s="570">
        <f>FCFF!H25</f>
        <v>2.1768131453494267E-4</v>
      </c>
      <c r="I25" s="570">
        <f>FCFF!J25</f>
        <v>2.1214505162795415E-4</v>
      </c>
      <c r="J25" s="570">
        <f>FCFF!K25</f>
        <v>2.0771604130236332E-4</v>
      </c>
      <c r="K25" s="570">
        <f>FCFF!L25</f>
        <v>1.8999999999999998E-4</v>
      </c>
      <c r="L25" s="428"/>
      <c r="M25" s="440">
        <f>((K25*K24)/(G25*G24))^(1/5)-1</f>
        <v>7.2650949465669079E-3</v>
      </c>
    </row>
    <row r="26" spans="1:19" ht="15" customHeight="1">
      <c r="E26" s="429"/>
    </row>
    <row r="27" spans="1:19" ht="15" customHeight="1">
      <c r="A27" s="44" t="s">
        <v>37</v>
      </c>
      <c r="B27" s="32"/>
      <c r="C27" s="32"/>
      <c r="D27" s="32"/>
      <c r="E27" s="32"/>
      <c r="F27" s="32"/>
      <c r="G27" s="32"/>
      <c r="H27" s="32"/>
      <c r="I27" s="32"/>
      <c r="J27" s="32"/>
      <c r="K27" s="32"/>
      <c r="L27" s="32"/>
      <c r="M27" s="32"/>
      <c r="O27" s="32"/>
      <c r="P27" s="32"/>
      <c r="Q27" s="32"/>
      <c r="R27" s="32"/>
      <c r="S27" s="32"/>
    </row>
    <row r="28" spans="1:19" ht="15" customHeight="1">
      <c r="B28" s="32"/>
      <c r="C28" s="32"/>
      <c r="D28" s="32"/>
      <c r="E28" s="32"/>
      <c r="F28" s="32"/>
      <c r="G28" s="32"/>
      <c r="H28" s="32"/>
      <c r="I28" s="32"/>
      <c r="J28" s="32"/>
      <c r="K28" s="32"/>
      <c r="L28" s="32"/>
      <c r="M28" s="32"/>
      <c r="O28" s="32"/>
      <c r="P28" s="32"/>
      <c r="Q28" s="32"/>
      <c r="R28" s="32"/>
      <c r="S28" s="32"/>
    </row>
    <row r="29" spans="1:19" s="411" customFormat="1" ht="15" customHeight="1">
      <c r="B29" s="373" t="s">
        <v>48</v>
      </c>
      <c r="C29" s="32"/>
      <c r="D29" s="373" t="s">
        <v>49</v>
      </c>
      <c r="E29" s="32"/>
      <c r="F29" s="32"/>
      <c r="G29" s="32"/>
      <c r="H29" s="32"/>
      <c r="I29" s="32"/>
      <c r="J29" s="32"/>
      <c r="K29" s="32"/>
      <c r="L29" s="32"/>
      <c r="M29" s="32"/>
      <c r="O29" s="373" t="s">
        <v>50</v>
      </c>
      <c r="P29" s="32"/>
      <c r="Q29" s="32"/>
      <c r="R29" s="32"/>
      <c r="S29" s="32"/>
    </row>
    <row r="30" spans="1:19" ht="4.3499999999999996" customHeight="1">
      <c r="B30" s="36"/>
      <c r="C30" s="36"/>
      <c r="D30" s="36"/>
      <c r="E30" s="36"/>
      <c r="F30" s="36"/>
      <c r="G30" s="36"/>
      <c r="H30" s="36"/>
      <c r="I30" s="36"/>
      <c r="J30" s="36"/>
      <c r="K30" s="36"/>
      <c r="L30" s="36"/>
      <c r="M30" s="36"/>
      <c r="O30" s="36"/>
      <c r="P30" s="36"/>
      <c r="Q30" s="36"/>
      <c r="R30" s="36"/>
      <c r="S30" s="36"/>
    </row>
    <row r="31" spans="1:19" ht="60" customHeight="1">
      <c r="B31" s="633" t="s">
        <v>51</v>
      </c>
      <c r="C31" s="434"/>
      <c r="D31" s="746" t="s">
        <v>52</v>
      </c>
      <c r="E31" s="746"/>
      <c r="F31" s="746"/>
      <c r="G31" s="746"/>
      <c r="H31" s="746"/>
      <c r="I31" s="746"/>
      <c r="J31" s="746"/>
      <c r="K31" s="746"/>
      <c r="L31" s="746"/>
      <c r="M31" s="746"/>
    </row>
    <row r="32" spans="1:19" ht="60" customHeight="1">
      <c r="B32" s="633" t="s">
        <v>53</v>
      </c>
      <c r="C32" s="434"/>
      <c r="D32" s="746" t="s">
        <v>54</v>
      </c>
      <c r="E32" s="746"/>
      <c r="F32" s="746"/>
      <c r="G32" s="746"/>
      <c r="H32" s="746"/>
      <c r="I32" s="746"/>
      <c r="J32" s="746"/>
      <c r="K32" s="746"/>
      <c r="L32" s="746"/>
      <c r="M32" s="746"/>
    </row>
    <row r="33" spans="2:18" ht="60" customHeight="1">
      <c r="B33" s="633" t="s">
        <v>55</v>
      </c>
      <c r="C33" s="434"/>
      <c r="D33" s="746" t="s">
        <v>56</v>
      </c>
      <c r="E33" s="746"/>
      <c r="F33" s="746"/>
      <c r="G33" s="746"/>
      <c r="H33" s="746"/>
      <c r="I33" s="746"/>
      <c r="J33" s="746"/>
      <c r="K33" s="746"/>
      <c r="L33" s="746"/>
      <c r="M33" s="746"/>
    </row>
    <row r="34" spans="2:18" ht="60" customHeight="1">
      <c r="B34" s="633" t="s">
        <v>57</v>
      </c>
      <c r="C34" s="434"/>
      <c r="D34" s="746" t="s">
        <v>58</v>
      </c>
      <c r="E34" s="746"/>
      <c r="F34" s="746"/>
      <c r="G34" s="746"/>
      <c r="H34" s="746"/>
      <c r="I34" s="746"/>
      <c r="J34" s="746"/>
      <c r="K34" s="746"/>
      <c r="L34" s="746"/>
      <c r="M34" s="746"/>
    </row>
    <row r="35" spans="2:18" ht="60" customHeight="1">
      <c r="B35" s="633" t="s">
        <v>59</v>
      </c>
      <c r="C35" s="434"/>
      <c r="D35" s="746" t="s">
        <v>60</v>
      </c>
      <c r="E35" s="746"/>
      <c r="F35" s="746"/>
      <c r="G35" s="746"/>
      <c r="H35" s="746"/>
      <c r="I35" s="746"/>
      <c r="J35" s="746"/>
      <c r="K35" s="746"/>
      <c r="L35" s="746"/>
      <c r="M35" s="746"/>
    </row>
    <row r="36" spans="2:18" ht="15" customHeight="1">
      <c r="O36" s="376" t="s">
        <v>61</v>
      </c>
      <c r="R36" s="435">
        <v>5</v>
      </c>
    </row>
    <row r="37" spans="2:18" ht="15" customHeight="1">
      <c r="O37" s="376" t="s">
        <v>62</v>
      </c>
      <c r="R37" s="435">
        <v>2</v>
      </c>
    </row>
    <row r="38" spans="2:18" ht="15" customHeight="1">
      <c r="O38" s="376" t="s">
        <v>63</v>
      </c>
      <c r="R38" s="435">
        <v>3</v>
      </c>
    </row>
    <row r="39" spans="2:18" ht="15" customHeight="1">
      <c r="O39" s="376" t="s">
        <v>64</v>
      </c>
      <c r="R39" s="435">
        <v>4</v>
      </c>
    </row>
    <row r="40" spans="2:18" ht="15" customHeight="1">
      <c r="O40" s="376" t="s">
        <v>65</v>
      </c>
      <c r="R40" s="435">
        <v>3</v>
      </c>
    </row>
    <row r="43" spans="2:18" ht="15" hidden="1" customHeight="1">
      <c r="B43" s="23" t="s">
        <v>66</v>
      </c>
      <c r="C43" s="23">
        <v>22</v>
      </c>
      <c r="D43" s="23">
        <v>2023</v>
      </c>
    </row>
    <row r="44" spans="2:18" ht="15" hidden="1" customHeight="1">
      <c r="B44" s="573">
        <v>1211060</v>
      </c>
      <c r="C44" s="23">
        <f>B44*1.0511</f>
        <v>1272945.166</v>
      </c>
      <c r="D44" s="23">
        <f t="shared" ref="D44:K44" si="7">C44*1.0511</f>
        <v>1337992.6639826</v>
      </c>
      <c r="E44" s="23">
        <f t="shared" si="7"/>
        <v>1406364.0891121107</v>
      </c>
      <c r="F44" s="23">
        <f t="shared" si="7"/>
        <v>1478229.2940657395</v>
      </c>
      <c r="G44" s="23">
        <f t="shared" si="7"/>
        <v>1553766.8109924986</v>
      </c>
      <c r="H44" s="23">
        <f t="shared" si="7"/>
        <v>1633164.2950342153</v>
      </c>
      <c r="I44" s="23">
        <f t="shared" si="7"/>
        <v>1716618.9905104635</v>
      </c>
      <c r="J44" s="23">
        <f t="shared" si="7"/>
        <v>1804338.2209255481</v>
      </c>
      <c r="K44" s="23">
        <f t="shared" si="7"/>
        <v>1896539.9040148435</v>
      </c>
    </row>
    <row r="45" spans="2:18" ht="15" hidden="1" customHeight="1"/>
    <row r="46" spans="2:18" ht="15" hidden="1" customHeight="1"/>
    <row r="47" spans="2:18" ht="15" hidden="1" customHeight="1">
      <c r="B47" s="439" t="s">
        <v>45</v>
      </c>
      <c r="C47" s="23">
        <v>22</v>
      </c>
      <c r="D47" s="23">
        <v>2023</v>
      </c>
      <c r="E47" s="23">
        <v>2024</v>
      </c>
    </row>
    <row r="48" spans="2:18" ht="15" hidden="1" customHeight="1">
      <c r="B48" s="23" t="s">
        <v>67</v>
      </c>
      <c r="C48" s="23">
        <v>16385</v>
      </c>
      <c r="D48" s="23">
        <v>16024</v>
      </c>
      <c r="E48" s="23">
        <v>15471</v>
      </c>
    </row>
  </sheetData>
  <mergeCells count="5">
    <mergeCell ref="D31:M31"/>
    <mergeCell ref="D32:M32"/>
    <mergeCell ref="D33:M33"/>
    <mergeCell ref="D34:M34"/>
    <mergeCell ref="D35:M35"/>
  </mergeCells>
  <pageMargins left="0.7" right="0.7" top="0.75" bottom="0.75" header="0.3" footer="0.3"/>
  <pageSetup paperSize="9" orientation="portrait" r:id="rId1"/>
  <drawing r:id="rId2"/>
  <legacyDrawing r:id="rId3"/>
  <extLst>
    <ext xmlns:x14="http://schemas.microsoft.com/office/spreadsheetml/2009/9/main" uri="{05C60535-1F16-4fd2-B633-F4F36F0B64E0}">
      <x14:sparklineGroups xmlns:xm="http://schemas.microsoft.com/office/excel/2006/main">
        <x14:sparklineGroup displayEmptyCellsAs="gap" xr2:uid="{12B3AAEB-AF64-4B7E-8E19-6524D3C6D648}">
          <x14:colorSeries rgb="FF7B1314"/>
          <x14:colorNegative rgb="FFD00000"/>
          <x14:colorAxis rgb="FF000000"/>
          <x14:colorMarkers rgb="FFD00000"/>
          <x14:colorFirst rgb="FFD00000"/>
          <x14:colorLast rgb="FFD00000"/>
          <x14:colorHigh rgb="FFD00000"/>
          <x14:colorLow rgb="FFD00000"/>
          <x14:sparklines>
            <x14:sparkline>
              <xm:f>Industry!D25:K25</xm:f>
              <xm:sqref>L25</xm:sqref>
            </x14:sparkline>
          </x14:sparklines>
        </x14:sparklineGroup>
        <x14:sparklineGroup type="column" displayEmptyCellsAs="gap" xr2:uid="{337587C9-DD88-4DC6-8B50-472A78A4C3AA}">
          <x14:colorSeries rgb="FF7B1314"/>
          <x14:colorNegative rgb="FFD00000"/>
          <x14:colorAxis rgb="FF000000"/>
          <x14:colorMarkers rgb="FFD00000"/>
          <x14:colorFirst rgb="FFD00000"/>
          <x14:colorLast rgb="FFD00000"/>
          <x14:colorHigh rgb="FFD00000"/>
          <x14:colorLow rgb="FFD00000"/>
          <x14:sparklines>
            <x14:sparkline>
              <xm:f>Industry!D24:K24</xm:f>
              <xm:sqref>L24</xm:sqref>
            </x14:sparkline>
          </x14:sparklines>
        </x14:sparklineGroup>
        <x14:sparklineGroup displayEmptyCellsAs="gap" xr2:uid="{9F941856-500D-4CB6-96CA-A5CD8D5DC396}">
          <x14:colorSeries rgb="FF7B1314"/>
          <x14:colorNegative rgb="FFD00000"/>
          <x14:colorAxis rgb="FF000000"/>
          <x14:colorMarkers rgb="FFD00000"/>
          <x14:colorFirst rgb="FFD00000"/>
          <x14:colorLast rgb="FFD00000"/>
          <x14:colorHigh rgb="FFD00000"/>
          <x14:colorLow rgb="FFD00000"/>
          <x14:sparklines>
            <x14:sparkline>
              <xm:f>Industry!D23:K23</xm:f>
              <xm:sqref>L23</xm:sqref>
            </x14:sparkline>
          </x14:sparklines>
        </x14:sparklineGroup>
        <x14:sparklineGroup type="column" displayEmptyCellsAs="gap" xr2:uid="{D7542D46-6609-4B9D-A4E4-83912F3B24AB}">
          <x14:colorSeries rgb="FF7B1314"/>
          <x14:colorNegative rgb="FFD00000"/>
          <x14:colorAxis rgb="FF000000"/>
          <x14:colorMarkers rgb="FFD00000"/>
          <x14:colorFirst rgb="FFD00000"/>
          <x14:colorLast rgb="FFD00000"/>
          <x14:colorHigh rgb="FFD00000"/>
          <x14:colorLow rgb="FFD00000"/>
          <x14:sparklines>
            <x14:sparkline>
              <xm:f>Industry!D22:K22</xm:f>
              <xm:sqref>L22</xm:sqref>
            </x14:sparkline>
          </x14:sparklines>
        </x14:sparklineGroup>
        <x14:sparklineGroup displayEmptyCellsAs="gap" xr2:uid="{00000000-0003-0000-0200-000000000000}">
          <x14:colorSeries rgb="FF7B1314"/>
          <x14:colorNegative rgb="FFD00000"/>
          <x14:colorAxis rgb="FF000000"/>
          <x14:colorMarkers rgb="FFD00000"/>
          <x14:colorFirst rgb="FFD00000"/>
          <x14:colorLast rgb="FFD00000"/>
          <x14:colorHigh rgb="FFD00000"/>
          <x14:colorLow rgb="FFD00000"/>
          <x14:sparklines>
            <x14:sparkline>
              <xm:f>Industry!D21:K21</xm:f>
              <xm:sqref>L21</xm:sqref>
            </x14:sparkline>
          </x14:sparklines>
        </x14:sparklineGroup>
        <x14:sparklineGroup displayEmptyCellsAs="gap" xr2:uid="{00000000-0003-0000-0200-000001000000}">
          <x14:colorSeries rgb="FF7B1314"/>
          <x14:colorNegative rgb="FFD00000"/>
          <x14:colorAxis rgb="FF000000"/>
          <x14:colorMarkers rgb="FFD00000"/>
          <x14:colorFirst rgb="FFD00000"/>
          <x14:colorLast rgb="FFD00000"/>
          <x14:colorHigh rgb="FFD00000"/>
          <x14:colorLow rgb="FFD00000"/>
          <x14:sparklines>
            <x14:sparkline>
              <xm:f>Industry!D19:K19</xm:f>
              <xm:sqref>L19</xm:sqref>
            </x14:sparkline>
          </x14:sparklines>
        </x14:sparklineGroup>
        <x14:sparklineGroup displayEmptyCellsAs="gap" xr2:uid="{00000000-0003-0000-0200-000002000000}">
          <x14:colorSeries rgb="FF7B1314"/>
          <x14:colorNegative rgb="FFD00000"/>
          <x14:colorAxis rgb="FF000000"/>
          <x14:colorMarkers rgb="FFD00000"/>
          <x14:colorFirst rgb="FFD00000"/>
          <x14:colorLast rgb="FFD00000"/>
          <x14:colorHigh rgb="FFD00000"/>
          <x14:colorLow rgb="FFD00000"/>
          <x14:sparklines>
            <x14:sparkline>
              <xm:f>Industry!D17:K17</xm:f>
              <xm:sqref>L17</xm:sqref>
            </x14:sparkline>
          </x14:sparklines>
        </x14:sparklineGroup>
        <x14:sparklineGroup displayEmptyCellsAs="gap" xr2:uid="{00000000-0003-0000-0200-000003000000}">
          <x14:colorSeries rgb="FF7B1314"/>
          <x14:colorNegative rgb="FFD00000"/>
          <x14:colorAxis rgb="FF000000"/>
          <x14:colorMarkers rgb="FFD00000"/>
          <x14:colorFirst rgb="FFD00000"/>
          <x14:colorLast rgb="FFD00000"/>
          <x14:colorHigh rgb="FFD00000"/>
          <x14:colorLow rgb="FFD00000"/>
          <x14:sparklines>
            <x14:sparkline>
              <xm:f>Industry!D15:K15</xm:f>
              <xm:sqref>L15</xm:sqref>
            </x14:sparkline>
          </x14:sparklines>
        </x14:sparklineGroup>
        <x14:sparklineGroup displayEmptyCellsAs="gap" xr2:uid="{00000000-0003-0000-0200-000004000000}">
          <x14:colorSeries rgb="FF7B1314"/>
          <x14:colorNegative rgb="FFD00000"/>
          <x14:colorAxis rgb="FF000000"/>
          <x14:colorMarkers rgb="FFD00000"/>
          <x14:colorFirst rgb="FFD00000"/>
          <x14:colorLast rgb="FFD00000"/>
          <x14:colorHigh rgb="FFD00000"/>
          <x14:colorLow rgb="FFD00000"/>
          <x14:sparklines>
            <x14:sparkline>
              <xm:f>Industry!D13:K13</xm:f>
              <xm:sqref>L13</xm:sqref>
            </x14:sparkline>
          </x14:sparklines>
        </x14:sparklineGroup>
        <x14:sparklineGroup type="column" displayEmptyCellsAs="gap" xr2:uid="{00000000-0003-0000-0200-000005000000}">
          <x14:colorSeries rgb="FF7B1314"/>
          <x14:colorNegative rgb="FFD00000"/>
          <x14:colorAxis rgb="FF000000"/>
          <x14:colorMarkers rgb="FFD00000"/>
          <x14:colorFirst rgb="FFD00000"/>
          <x14:colorLast rgb="FFD00000"/>
          <x14:colorHigh rgb="FFD00000"/>
          <x14:colorLow rgb="FFD00000"/>
          <x14:sparklines>
            <x14:sparkline>
              <xm:f>Industry!D18:K18</xm:f>
              <xm:sqref>L18</xm:sqref>
            </x14:sparkline>
          </x14:sparklines>
        </x14:sparklineGroup>
        <x14:sparklineGroup type="column" displayEmptyCellsAs="gap" xr2:uid="{00000000-0003-0000-0200-000006000000}">
          <x14:colorSeries rgb="FF7B1314"/>
          <x14:colorNegative rgb="FFD00000"/>
          <x14:colorAxis rgb="FF000000"/>
          <x14:colorMarkers rgb="FFD00000"/>
          <x14:colorFirst rgb="FFD00000"/>
          <x14:colorLast rgb="FFD00000"/>
          <x14:colorHigh rgb="FFD00000"/>
          <x14:colorLow rgb="FFD00000"/>
          <x14:sparklines>
            <x14:sparkline>
              <xm:f>Industry!D16:K16</xm:f>
              <xm:sqref>L16</xm:sqref>
            </x14:sparkline>
          </x14:sparklines>
        </x14:sparklineGroup>
        <x14:sparklineGroup type="column" displayEmptyCellsAs="gap" xr2:uid="{00000000-0003-0000-0200-000007000000}">
          <x14:colorSeries rgb="FF7B1314"/>
          <x14:colorNegative rgb="FFD00000"/>
          <x14:colorAxis rgb="FF000000"/>
          <x14:colorMarkers rgb="FFD00000"/>
          <x14:colorFirst rgb="FFD00000"/>
          <x14:colorLast rgb="FFD00000"/>
          <x14:colorHigh rgb="FFD00000"/>
          <x14:colorLow rgb="FFD00000"/>
          <x14:sparklines>
            <x14:sparkline>
              <xm:f>Industry!D12:K12</xm:f>
              <xm:sqref>L12</xm:sqref>
            </x14:sparkline>
          </x14:sparklines>
        </x14:sparklineGroup>
        <x14:sparklineGroup type="column" displayEmptyCellsAs="gap" xr2:uid="{00000000-0003-0000-0200-000008000000}">
          <x14:colorSeries rgb="FF7B1314"/>
          <x14:colorNegative rgb="FFD00000"/>
          <x14:colorAxis rgb="FF000000"/>
          <x14:colorMarkers rgb="FFD00000"/>
          <x14:colorFirst rgb="FFD00000"/>
          <x14:colorLast rgb="FFD00000"/>
          <x14:colorHigh rgb="FFD00000"/>
          <x14:colorLow rgb="FFD00000"/>
          <x14:sparklines>
            <x14:sparkline>
              <xm:f>Industry!D20:K20</xm:f>
              <xm:sqref>L20</xm:sqref>
            </x14:sparkline>
          </x14:sparklines>
        </x14:sparklineGroup>
        <x14:sparklineGroup type="column" displayEmptyCellsAs="gap" xr2:uid="{00000000-0003-0000-0200-000009000000}">
          <x14:colorSeries rgb="FF7B1314"/>
          <x14:colorNegative rgb="FFD00000"/>
          <x14:colorAxis rgb="FF000000"/>
          <x14:colorMarkers rgb="FFD00000"/>
          <x14:colorFirst rgb="FFD00000"/>
          <x14:colorLast rgb="FFD00000"/>
          <x14:colorHigh rgb="FFD00000"/>
          <x14:colorLow rgb="FFD00000"/>
          <x14:sparklines>
            <x14:sparkline>
              <xm:f>Industry!D14:K14</xm:f>
              <xm:sqref>L14</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theme="4" tint="0.59999389629810485"/>
  </sheetPr>
  <dimension ref="A1:K94"/>
  <sheetViews>
    <sheetView showGridLines="0" topLeftCell="A83" zoomScale="57" zoomScaleNormal="115" workbookViewId="0">
      <selection activeCell="J37" sqref="J37:J38"/>
    </sheetView>
  </sheetViews>
  <sheetFormatPr defaultColWidth="7.625" defaultRowHeight="15" customHeight="1"/>
  <cols>
    <col min="1" max="1" width="2" style="378" customWidth="1"/>
    <col min="2" max="2" width="29.625" style="378" customWidth="1"/>
    <col min="3" max="4" width="9.125" style="378" customWidth="1"/>
    <col min="5" max="5" width="9.125" style="379" customWidth="1"/>
    <col min="6" max="6" width="1.625" style="378" customWidth="1"/>
    <col min="7" max="7" width="24.125" style="378" customWidth="1"/>
    <col min="8" max="8" width="11" style="378" customWidth="1"/>
    <col min="9" max="9" width="41.125" style="378" customWidth="1"/>
    <col min="10" max="10" width="52.5" style="378" customWidth="1"/>
    <col min="11" max="11" width="75.5" style="378" customWidth="1"/>
    <col min="12" max="16384" width="7.625" style="378"/>
  </cols>
  <sheetData>
    <row r="1" spans="1:11" s="481" customFormat="1" ht="15" customHeight="1">
      <c r="A1" s="480"/>
      <c r="E1" s="480"/>
    </row>
    <row r="2" spans="1:11" s="481" customFormat="1" ht="15" customHeight="1">
      <c r="E2" s="480"/>
    </row>
    <row r="3" spans="1:11" s="481" customFormat="1" ht="15" customHeight="1">
      <c r="E3" s="480"/>
    </row>
    <row r="4" spans="1:11" s="481" customFormat="1" ht="15" customHeight="1">
      <c r="E4" s="480"/>
    </row>
    <row r="5" spans="1:11" s="393" customFormat="1" ht="4.3499999999999996" customHeight="1">
      <c r="E5" s="394"/>
    </row>
    <row r="7" spans="1:11" s="97" customFormat="1" ht="15" customHeight="1">
      <c r="A7" s="381" t="s">
        <v>37</v>
      </c>
      <c r="B7" s="382" t="s">
        <v>68</v>
      </c>
      <c r="C7" s="382"/>
      <c r="D7" s="382"/>
      <c r="E7" s="32"/>
      <c r="F7" s="339"/>
      <c r="G7" s="339"/>
      <c r="H7" s="339"/>
      <c r="I7" s="32"/>
      <c r="J7" s="339"/>
      <c r="K7" s="339"/>
    </row>
    <row r="8" spans="1:11" s="97" customFormat="1" ht="15" customHeight="1">
      <c r="B8" s="383"/>
      <c r="C8" s="383"/>
      <c r="D8" s="383"/>
      <c r="E8" s="32"/>
      <c r="F8" s="384"/>
      <c r="G8" s="384"/>
      <c r="H8" s="384"/>
      <c r="I8" s="385"/>
      <c r="J8" s="384"/>
      <c r="K8" s="384"/>
    </row>
    <row r="9" spans="1:11" s="97" customFormat="1" ht="14.25" customHeight="1">
      <c r="B9" s="383"/>
      <c r="C9" s="383"/>
      <c r="D9" s="383"/>
      <c r="E9" s="32"/>
      <c r="F9" s="386"/>
      <c r="G9" s="386"/>
      <c r="H9" s="386"/>
      <c r="I9" s="384"/>
      <c r="J9" s="386"/>
      <c r="K9" s="386"/>
    </row>
    <row r="10" spans="1:11" s="97" customFormat="1" ht="4.3499999999999996" customHeight="1">
      <c r="A10" s="55"/>
      <c r="B10" s="387"/>
      <c r="C10" s="387"/>
      <c r="D10" s="387"/>
      <c r="E10" s="388"/>
      <c r="F10" s="389"/>
      <c r="G10" s="389"/>
      <c r="H10" s="389"/>
      <c r="I10" s="390"/>
      <c r="J10" s="389"/>
      <c r="K10" s="389"/>
    </row>
    <row r="11" spans="1:11" s="23" customFormat="1" ht="15" customHeight="1"/>
    <row r="12" spans="1:11" s="23" customFormat="1" ht="15" customHeight="1">
      <c r="B12" s="373" t="s">
        <v>69</v>
      </c>
      <c r="C12" s="373"/>
      <c r="D12" s="373"/>
      <c r="E12" s="391"/>
      <c r="F12" s="392"/>
      <c r="G12" s="382" t="s">
        <v>70</v>
      </c>
      <c r="H12" s="383"/>
      <c r="I12" s="382"/>
      <c r="J12" s="383"/>
      <c r="K12" s="383"/>
    </row>
    <row r="13" spans="1:11" s="23" customFormat="1" ht="4.3499999999999996" customHeight="1">
      <c r="B13" s="393"/>
      <c r="C13" s="393"/>
      <c r="D13" s="393"/>
      <c r="E13" s="394"/>
      <c r="F13" s="340"/>
      <c r="G13" s="387"/>
      <c r="H13" s="387"/>
      <c r="I13" s="387"/>
      <c r="J13" s="387"/>
      <c r="K13" s="387"/>
    </row>
    <row r="14" spans="1:11" s="23" customFormat="1" ht="4.3499999999999996" customHeight="1">
      <c r="B14" s="378"/>
      <c r="C14" s="378"/>
      <c r="D14" s="378"/>
      <c r="E14" s="379"/>
      <c r="F14" s="340"/>
      <c r="G14" s="340"/>
      <c r="H14" s="340"/>
      <c r="I14" s="340"/>
      <c r="J14" s="340"/>
    </row>
    <row r="15" spans="1:11" ht="15" customHeight="1">
      <c r="B15" s="374" t="s">
        <v>71</v>
      </c>
      <c r="C15" s="374"/>
      <c r="D15" s="755">
        <v>70</v>
      </c>
      <c r="E15" s="755"/>
      <c r="H15" s="422"/>
      <c r="I15" s="422"/>
      <c r="J15" s="422"/>
    </row>
    <row r="16" spans="1:11" ht="15" customHeight="1">
      <c r="B16" s="400" t="s">
        <v>72</v>
      </c>
      <c r="C16" s="376"/>
      <c r="D16" s="758">
        <v>71</v>
      </c>
      <c r="E16" s="758"/>
      <c r="G16" s="374"/>
      <c r="H16" s="770"/>
      <c r="I16" s="770"/>
      <c r="J16" s="770"/>
    </row>
    <row r="17" spans="2:11" ht="15" customHeight="1">
      <c r="B17" s="400" t="s">
        <v>73</v>
      </c>
      <c r="C17" s="376"/>
      <c r="D17" s="758">
        <v>64</v>
      </c>
      <c r="E17" s="758"/>
      <c r="H17" s="770"/>
      <c r="I17" s="770"/>
      <c r="J17" s="770"/>
      <c r="K17" s="375"/>
    </row>
    <row r="18" spans="2:11" ht="15" customHeight="1">
      <c r="B18" s="400" t="s">
        <v>74</v>
      </c>
      <c r="C18" s="376"/>
      <c r="D18" s="758">
        <v>78</v>
      </c>
      <c r="E18" s="758"/>
      <c r="G18" s="374"/>
      <c r="H18" s="770"/>
      <c r="I18" s="770"/>
      <c r="J18" s="770"/>
      <c r="K18" s="375"/>
    </row>
    <row r="19" spans="2:11" ht="15" customHeight="1">
      <c r="B19" s="374" t="s">
        <v>75</v>
      </c>
      <c r="C19" s="374"/>
      <c r="D19" s="757">
        <v>31</v>
      </c>
      <c r="E19" s="757"/>
      <c r="H19" s="770"/>
      <c r="I19" s="770"/>
      <c r="J19" s="770"/>
      <c r="K19" s="375"/>
    </row>
    <row r="20" spans="2:11" ht="15" customHeight="1">
      <c r="B20" s="400" t="s">
        <v>76</v>
      </c>
      <c r="C20" s="376"/>
      <c r="D20" s="758"/>
      <c r="E20" s="758"/>
      <c r="G20" s="374"/>
      <c r="H20" s="770"/>
      <c r="I20" s="770"/>
      <c r="J20" s="770"/>
      <c r="K20" s="375"/>
    </row>
    <row r="21" spans="2:11" ht="15" customHeight="1">
      <c r="B21" s="400" t="s">
        <v>77</v>
      </c>
      <c r="C21" s="376"/>
      <c r="D21" s="758"/>
      <c r="E21" s="758"/>
      <c r="H21" s="770"/>
      <c r="I21" s="770"/>
      <c r="J21" s="770"/>
      <c r="K21" s="375"/>
    </row>
    <row r="22" spans="2:11" ht="15" customHeight="1">
      <c r="B22" s="400" t="s">
        <v>78</v>
      </c>
      <c r="C22" s="376"/>
      <c r="D22" s="758"/>
      <c r="E22" s="758"/>
      <c r="G22" s="374"/>
      <c r="H22" s="770"/>
      <c r="I22" s="770"/>
      <c r="J22" s="770"/>
      <c r="K22" s="375"/>
    </row>
    <row r="23" spans="2:11" ht="15" customHeight="1">
      <c r="B23" s="374" t="s">
        <v>79</v>
      </c>
      <c r="C23" s="374"/>
      <c r="D23" s="755">
        <v>19.399999999999999</v>
      </c>
      <c r="E23" s="755"/>
      <c r="H23" s="770"/>
      <c r="I23" s="770"/>
      <c r="J23" s="770"/>
      <c r="K23" s="375"/>
    </row>
    <row r="24" spans="2:11" ht="15" customHeight="1">
      <c r="B24" s="374" t="s">
        <v>80</v>
      </c>
      <c r="C24" s="374"/>
      <c r="D24" s="756" t="s">
        <v>81</v>
      </c>
      <c r="E24" s="756"/>
    </row>
    <row r="25" spans="2:11" ht="15" customHeight="1">
      <c r="B25" s="400" t="s">
        <v>82</v>
      </c>
      <c r="C25" s="376"/>
      <c r="D25" s="758">
        <v>-0.7</v>
      </c>
      <c r="E25" s="758"/>
      <c r="G25" s="33"/>
      <c r="H25" s="33"/>
      <c r="I25" s="33"/>
      <c r="K25" s="33"/>
    </row>
    <row r="26" spans="2:11" ht="15" customHeight="1">
      <c r="B26" s="400" t="s">
        <v>83</v>
      </c>
      <c r="C26" s="376"/>
      <c r="D26" s="758">
        <v>5</v>
      </c>
      <c r="E26" s="758"/>
      <c r="G26" s="374"/>
      <c r="H26" s="770"/>
      <c r="I26" s="770"/>
      <c r="J26" s="770"/>
      <c r="K26" s="374"/>
    </row>
    <row r="27" spans="2:11" ht="15" customHeight="1">
      <c r="B27" s="374" t="s">
        <v>84</v>
      </c>
      <c r="C27" s="374"/>
      <c r="D27" s="754"/>
      <c r="E27" s="754"/>
      <c r="H27" s="770"/>
      <c r="I27" s="770"/>
      <c r="J27" s="770"/>
      <c r="K27" s="422"/>
    </row>
    <row r="28" spans="2:11" ht="15" customHeight="1">
      <c r="E28" s="378"/>
      <c r="G28" s="374"/>
      <c r="H28" s="770"/>
      <c r="I28" s="770"/>
      <c r="J28" s="770"/>
      <c r="K28" s="422"/>
    </row>
    <row r="29" spans="2:11" ht="15" customHeight="1">
      <c r="E29" s="378"/>
      <c r="H29" s="770"/>
      <c r="I29" s="770"/>
      <c r="J29" s="770"/>
      <c r="K29" s="422"/>
    </row>
    <row r="30" spans="2:11" ht="15" customHeight="1">
      <c r="B30" s="373" t="s">
        <v>85</v>
      </c>
      <c r="C30" s="373"/>
      <c r="D30" s="373"/>
      <c r="E30" s="373"/>
      <c r="G30" s="373" t="s">
        <v>86</v>
      </c>
      <c r="H30" s="373"/>
      <c r="I30" s="373"/>
      <c r="J30" s="373"/>
      <c r="K30" s="373"/>
    </row>
    <row r="31" spans="2:11" s="23" customFormat="1" ht="4.3499999999999996" customHeight="1">
      <c r="B31" s="36"/>
      <c r="C31" s="36"/>
      <c r="D31" s="36"/>
      <c r="E31" s="36"/>
      <c r="F31" s="378"/>
      <c r="G31" s="36"/>
      <c r="H31" s="36"/>
      <c r="I31" s="36"/>
      <c r="J31" s="36"/>
      <c r="K31" s="36"/>
    </row>
    <row r="32" spans="2:11" ht="15" customHeight="1" thickBot="1">
      <c r="B32" s="395"/>
      <c r="C32" s="395"/>
      <c r="D32" s="395"/>
      <c r="E32" s="395"/>
      <c r="G32" s="395"/>
      <c r="H32" s="396" t="s">
        <v>87</v>
      </c>
      <c r="I32" s="396" t="s">
        <v>88</v>
      </c>
      <c r="J32" s="396" t="s">
        <v>89</v>
      </c>
      <c r="K32" s="396" t="s">
        <v>90</v>
      </c>
    </row>
    <row r="33" spans="2:11" ht="61.35" customHeight="1">
      <c r="B33" s="402" t="s">
        <v>91</v>
      </c>
      <c r="C33" s="747" t="s">
        <v>92</v>
      </c>
      <c r="D33" s="747"/>
      <c r="E33" s="747"/>
      <c r="G33" s="765" t="s">
        <v>93</v>
      </c>
      <c r="H33" s="766"/>
      <c r="I33" s="749" t="s">
        <v>94</v>
      </c>
      <c r="J33" s="749" t="s">
        <v>95</v>
      </c>
      <c r="K33" s="761" t="s">
        <v>96</v>
      </c>
    </row>
    <row r="34" spans="2:11" ht="139.35" customHeight="1">
      <c r="B34" s="402" t="s">
        <v>97</v>
      </c>
      <c r="C34" s="747" t="s">
        <v>98</v>
      </c>
      <c r="D34" s="747"/>
      <c r="E34" s="747"/>
      <c r="G34" s="765"/>
      <c r="H34" s="766"/>
      <c r="I34" s="749"/>
      <c r="J34" s="749"/>
      <c r="K34" s="761"/>
    </row>
    <row r="35" spans="2:11" ht="15" customHeight="1">
      <c r="B35" s="402" t="s">
        <v>99</v>
      </c>
      <c r="C35" s="747" t="s">
        <v>100</v>
      </c>
      <c r="D35" s="747"/>
      <c r="E35" s="747"/>
      <c r="G35" s="765" t="s">
        <v>101</v>
      </c>
      <c r="H35" s="748"/>
      <c r="I35" s="749"/>
      <c r="J35" s="761"/>
      <c r="K35" s="761"/>
    </row>
    <row r="36" spans="2:11" ht="15" customHeight="1">
      <c r="B36" s="402" t="s">
        <v>102</v>
      </c>
      <c r="C36" s="747" t="s">
        <v>100</v>
      </c>
      <c r="D36" s="747"/>
      <c r="E36" s="747"/>
      <c r="G36" s="765"/>
      <c r="H36" s="748"/>
      <c r="I36" s="749"/>
      <c r="J36" s="761"/>
      <c r="K36" s="761"/>
    </row>
    <row r="37" spans="2:11" ht="65.099999999999994" customHeight="1">
      <c r="C37" s="759"/>
      <c r="D37" s="759"/>
      <c r="E37" s="759"/>
      <c r="G37" s="765" t="s">
        <v>103</v>
      </c>
      <c r="H37" s="766"/>
      <c r="I37" s="749" t="s">
        <v>104</v>
      </c>
      <c r="J37" s="761" t="s">
        <v>105</v>
      </c>
      <c r="K37" s="761" t="s">
        <v>106</v>
      </c>
    </row>
    <row r="38" spans="2:11" ht="107.1" customHeight="1">
      <c r="B38" s="402" t="s">
        <v>107</v>
      </c>
      <c r="C38" s="747" t="s">
        <v>108</v>
      </c>
      <c r="D38" s="747"/>
      <c r="E38" s="747"/>
      <c r="G38" s="765"/>
      <c r="H38" s="766"/>
      <c r="I38" s="749"/>
      <c r="J38" s="761"/>
      <c r="K38" s="761"/>
    </row>
    <row r="39" spans="2:11" ht="77.099999999999994" customHeight="1">
      <c r="B39" s="402" t="s">
        <v>109</v>
      </c>
      <c r="C39" s="763" t="s">
        <v>110</v>
      </c>
      <c r="D39" s="747"/>
      <c r="E39" s="747"/>
      <c r="G39" s="765" t="s">
        <v>111</v>
      </c>
      <c r="H39" s="771"/>
      <c r="I39" s="749" t="s">
        <v>112</v>
      </c>
      <c r="J39" s="761" t="s">
        <v>113</v>
      </c>
      <c r="K39" s="761" t="s">
        <v>114</v>
      </c>
    </row>
    <row r="40" spans="2:11" ht="70.349999999999994" customHeight="1">
      <c r="C40" s="404"/>
      <c r="D40" s="424"/>
      <c r="E40" s="424"/>
      <c r="G40" s="765"/>
      <c r="H40" s="771"/>
      <c r="I40" s="749"/>
      <c r="J40" s="761"/>
      <c r="K40" s="761"/>
    </row>
    <row r="41" spans="2:11" ht="15" customHeight="1">
      <c r="B41" s="374" t="s">
        <v>115</v>
      </c>
      <c r="C41" s="747">
        <v>2024</v>
      </c>
      <c r="D41" s="747"/>
      <c r="E41" s="747"/>
      <c r="G41" s="765" t="s">
        <v>116</v>
      </c>
      <c r="H41" s="748"/>
      <c r="I41" s="762"/>
      <c r="J41" s="760"/>
      <c r="K41" s="760"/>
    </row>
    <row r="42" spans="2:11" ht="15" customHeight="1">
      <c r="B42" s="374" t="s">
        <v>117</v>
      </c>
      <c r="C42" s="747">
        <v>2024</v>
      </c>
      <c r="D42" s="747"/>
      <c r="E42" s="747"/>
      <c r="G42" s="765"/>
      <c r="H42" s="748"/>
      <c r="I42" s="762"/>
      <c r="J42" s="760"/>
      <c r="K42" s="760"/>
    </row>
    <row r="43" spans="2:11" ht="15" customHeight="1">
      <c r="C43" s="403"/>
      <c r="D43" s="403"/>
      <c r="E43" s="403"/>
      <c r="G43" s="377"/>
      <c r="H43" s="397"/>
      <c r="I43" s="398"/>
      <c r="J43" s="399"/>
      <c r="K43" s="399"/>
    </row>
    <row r="44" spans="2:11" ht="15" customHeight="1">
      <c r="B44" s="373" t="s">
        <v>118</v>
      </c>
      <c r="C44" s="373"/>
      <c r="D44" s="373"/>
      <c r="E44" s="373"/>
      <c r="G44" s="373" t="s">
        <v>119</v>
      </c>
      <c r="H44" s="373"/>
      <c r="I44" s="373"/>
      <c r="J44" s="373"/>
      <c r="K44" s="373"/>
    </row>
    <row r="45" spans="2:11" s="23" customFormat="1" ht="4.3499999999999996" customHeight="1">
      <c r="B45" s="36"/>
      <c r="C45" s="36"/>
      <c r="D45" s="36"/>
      <c r="E45" s="36"/>
      <c r="F45" s="378"/>
      <c r="G45" s="36"/>
      <c r="H45" s="36"/>
      <c r="I45" s="36"/>
      <c r="J45" s="36"/>
      <c r="K45" s="36"/>
    </row>
    <row r="46" spans="2:11" ht="15" customHeight="1" thickBot="1">
      <c r="B46" s="395"/>
      <c r="C46" s="395"/>
      <c r="D46" s="395"/>
      <c r="E46" s="395"/>
      <c r="G46" s="395"/>
      <c r="H46" s="396" t="s">
        <v>87</v>
      </c>
      <c r="I46" s="396" t="s">
        <v>88</v>
      </c>
      <c r="J46" s="396" t="s">
        <v>89</v>
      </c>
      <c r="K46" s="396" t="s">
        <v>90</v>
      </c>
    </row>
    <row r="47" spans="2:11" ht="41.1" customHeight="1">
      <c r="B47" s="752" t="s">
        <v>120</v>
      </c>
      <c r="C47" s="752"/>
      <c r="D47" s="752"/>
      <c r="E47" s="752"/>
      <c r="G47" s="765" t="s">
        <v>121</v>
      </c>
      <c r="H47" s="767"/>
      <c r="I47" s="749" t="s">
        <v>122</v>
      </c>
      <c r="J47" s="761" t="s">
        <v>123</v>
      </c>
      <c r="K47" s="769" t="s">
        <v>124</v>
      </c>
    </row>
    <row r="48" spans="2:11" ht="53.1" customHeight="1">
      <c r="B48" s="753"/>
      <c r="C48" s="753"/>
      <c r="D48" s="753"/>
      <c r="E48" s="753"/>
      <c r="G48" s="765"/>
      <c r="H48" s="767"/>
      <c r="I48" s="749"/>
      <c r="J48" s="761"/>
      <c r="K48" s="748"/>
    </row>
    <row r="49" spans="2:11" ht="73.349999999999994" customHeight="1">
      <c r="B49" s="753" t="s">
        <v>125</v>
      </c>
      <c r="C49" s="753"/>
      <c r="D49" s="753"/>
      <c r="E49" s="753"/>
      <c r="G49" s="765" t="s">
        <v>126</v>
      </c>
      <c r="H49" s="766"/>
      <c r="I49" s="749" t="s">
        <v>127</v>
      </c>
      <c r="J49" s="761" t="s">
        <v>128</v>
      </c>
      <c r="K49" s="761" t="s">
        <v>129</v>
      </c>
    </row>
    <row r="50" spans="2:11" ht="62.1" customHeight="1">
      <c r="B50" s="753" t="s">
        <v>130</v>
      </c>
      <c r="C50" s="753"/>
      <c r="D50" s="753"/>
      <c r="E50" s="753"/>
      <c r="G50" s="765"/>
      <c r="H50" s="766"/>
      <c r="I50" s="749"/>
      <c r="J50" s="761"/>
      <c r="K50" s="761"/>
    </row>
    <row r="51" spans="2:11" ht="32.1" customHeight="1">
      <c r="B51" s="753" t="s">
        <v>131</v>
      </c>
      <c r="C51" s="753"/>
      <c r="D51" s="753"/>
      <c r="E51" s="753"/>
      <c r="G51" s="765" t="s">
        <v>132</v>
      </c>
      <c r="H51" s="766"/>
      <c r="I51" s="749" t="s">
        <v>133</v>
      </c>
      <c r="J51" s="761" t="s">
        <v>134</v>
      </c>
      <c r="K51" s="761" t="s">
        <v>135</v>
      </c>
    </row>
    <row r="52" spans="2:11" ht="37.700000000000003" customHeight="1">
      <c r="B52" s="753" t="s">
        <v>136</v>
      </c>
      <c r="C52" s="753"/>
      <c r="D52" s="753"/>
      <c r="E52" s="753"/>
      <c r="G52" s="765"/>
      <c r="H52" s="766"/>
      <c r="I52" s="749"/>
      <c r="J52" s="761"/>
      <c r="K52" s="761"/>
    </row>
    <row r="53" spans="2:11" ht="75" customHeight="1">
      <c r="B53" s="750"/>
      <c r="C53" s="750"/>
      <c r="D53" s="750"/>
      <c r="E53" s="750"/>
      <c r="G53" s="765" t="s">
        <v>137</v>
      </c>
      <c r="H53" s="768"/>
      <c r="I53" s="749" t="s">
        <v>138</v>
      </c>
      <c r="J53" s="761" t="s">
        <v>139</v>
      </c>
      <c r="K53" s="761" t="s">
        <v>140</v>
      </c>
    </row>
    <row r="54" spans="2:11" ht="101.1" customHeight="1">
      <c r="B54" s="750"/>
      <c r="C54" s="750"/>
      <c r="D54" s="750"/>
      <c r="E54" s="750"/>
      <c r="G54" s="765"/>
      <c r="H54" s="768"/>
      <c r="I54" s="749"/>
      <c r="J54" s="761"/>
      <c r="K54" s="761"/>
    </row>
    <row r="55" spans="2:11" ht="74.099999999999994" customHeight="1">
      <c r="B55" s="750"/>
      <c r="C55" s="750"/>
      <c r="D55" s="750"/>
      <c r="E55" s="750"/>
      <c r="G55" s="765" t="s">
        <v>141</v>
      </c>
      <c r="H55" s="766"/>
      <c r="I55" s="749" t="s">
        <v>142</v>
      </c>
      <c r="J55" s="761" t="s">
        <v>143</v>
      </c>
      <c r="K55" s="761" t="s">
        <v>144</v>
      </c>
    </row>
    <row r="56" spans="2:11" ht="53.1" customHeight="1">
      <c r="B56" s="750"/>
      <c r="C56" s="750"/>
      <c r="D56" s="750"/>
      <c r="E56" s="750"/>
      <c r="G56" s="765"/>
      <c r="H56" s="766"/>
      <c r="I56" s="749"/>
      <c r="J56" s="761"/>
      <c r="K56" s="761"/>
    </row>
    <row r="57" spans="2:11" ht="34.35" customHeight="1">
      <c r="B57" s="750"/>
      <c r="C57" s="750"/>
      <c r="D57" s="750"/>
      <c r="E57" s="750"/>
      <c r="G57" s="765" t="s">
        <v>145</v>
      </c>
      <c r="H57" s="766"/>
      <c r="I57" s="749" t="s">
        <v>146</v>
      </c>
      <c r="J57" s="761" t="s">
        <v>147</v>
      </c>
      <c r="K57" s="761" t="s">
        <v>148</v>
      </c>
    </row>
    <row r="58" spans="2:11" ht="35.1" customHeight="1">
      <c r="B58" s="750"/>
      <c r="C58" s="750"/>
      <c r="D58" s="750"/>
      <c r="E58" s="750"/>
      <c r="G58" s="765"/>
      <c r="H58" s="766"/>
      <c r="I58" s="749"/>
      <c r="J58" s="761"/>
      <c r="K58" s="761"/>
    </row>
    <row r="59" spans="2:11" ht="52.35" customHeight="1">
      <c r="B59" s="750"/>
      <c r="C59" s="750"/>
      <c r="D59" s="750"/>
      <c r="E59" s="750"/>
      <c r="G59" s="765" t="s">
        <v>149</v>
      </c>
      <c r="H59" s="766"/>
      <c r="I59" s="749" t="s">
        <v>150</v>
      </c>
      <c r="J59" s="764" t="s">
        <v>151</v>
      </c>
      <c r="K59" s="761"/>
    </row>
    <row r="60" spans="2:11" ht="48" customHeight="1">
      <c r="B60" s="750"/>
      <c r="C60" s="750"/>
      <c r="D60" s="750"/>
      <c r="E60" s="750"/>
      <c r="G60" s="765"/>
      <c r="H60" s="766"/>
      <c r="I60" s="749"/>
      <c r="J60" s="764"/>
      <c r="K60" s="761"/>
    </row>
    <row r="61" spans="2:11" ht="40.35" customHeight="1">
      <c r="B61" s="750"/>
      <c r="C61" s="750"/>
      <c r="D61" s="750"/>
      <c r="E61" s="750"/>
      <c r="G61" s="765" t="s">
        <v>152</v>
      </c>
      <c r="H61" s="766"/>
      <c r="I61" s="749" t="s">
        <v>153</v>
      </c>
      <c r="J61" s="761" t="s">
        <v>154</v>
      </c>
      <c r="K61" s="761" t="s">
        <v>155</v>
      </c>
    </row>
    <row r="62" spans="2:11" ht="59.1" customHeight="1">
      <c r="B62" s="750"/>
      <c r="C62" s="750"/>
      <c r="D62" s="750"/>
      <c r="E62" s="750"/>
      <c r="G62" s="765"/>
      <c r="H62" s="766"/>
      <c r="I62" s="749"/>
      <c r="J62" s="761"/>
      <c r="K62" s="761"/>
    </row>
    <row r="63" spans="2:11" ht="47.1" customHeight="1">
      <c r="B63" s="750"/>
      <c r="C63" s="750"/>
      <c r="D63" s="750"/>
      <c r="E63" s="750"/>
      <c r="G63" s="765" t="s">
        <v>156</v>
      </c>
      <c r="H63" s="771"/>
      <c r="I63" s="749" t="s">
        <v>157</v>
      </c>
      <c r="J63" s="761" t="s">
        <v>158</v>
      </c>
      <c r="K63" s="761" t="s">
        <v>159</v>
      </c>
    </row>
    <row r="64" spans="2:11" ht="40.35" customHeight="1">
      <c r="B64" s="750"/>
      <c r="C64" s="750"/>
      <c r="D64" s="750"/>
      <c r="E64" s="750"/>
      <c r="G64" s="765"/>
      <c r="H64" s="771"/>
      <c r="I64" s="749"/>
      <c r="J64" s="761"/>
      <c r="K64" s="761"/>
    </row>
    <row r="65" spans="2:11" ht="28.35" customHeight="1">
      <c r="B65" s="750"/>
      <c r="C65" s="750"/>
      <c r="D65" s="750"/>
      <c r="E65" s="750"/>
      <c r="G65" s="765" t="s">
        <v>160</v>
      </c>
      <c r="H65" s="766"/>
      <c r="I65" s="749" t="s">
        <v>161</v>
      </c>
      <c r="J65" s="761" t="s">
        <v>162</v>
      </c>
      <c r="K65" s="761" t="s">
        <v>163</v>
      </c>
    </row>
    <row r="66" spans="2:11" ht="31.35" customHeight="1">
      <c r="B66" s="750"/>
      <c r="C66" s="750"/>
      <c r="D66" s="750"/>
      <c r="E66" s="750"/>
      <c r="G66" s="765"/>
      <c r="H66" s="766"/>
      <c r="I66" s="749"/>
      <c r="J66" s="761"/>
      <c r="K66" s="761"/>
    </row>
    <row r="67" spans="2:11" ht="35.1" customHeight="1">
      <c r="B67" s="750"/>
      <c r="C67" s="750"/>
      <c r="D67" s="750"/>
      <c r="E67" s="750"/>
      <c r="G67" s="765" t="s">
        <v>164</v>
      </c>
      <c r="H67" s="767"/>
      <c r="I67" s="749" t="s">
        <v>165</v>
      </c>
      <c r="J67" s="761" t="s">
        <v>166</v>
      </c>
      <c r="K67" s="761" t="s">
        <v>167</v>
      </c>
    </row>
    <row r="68" spans="2:11" ht="38.1" customHeight="1">
      <c r="B68" s="750"/>
      <c r="C68" s="750"/>
      <c r="D68" s="750"/>
      <c r="E68" s="750"/>
      <c r="G68" s="765"/>
      <c r="H68" s="767"/>
      <c r="I68" s="749"/>
      <c r="J68" s="761"/>
      <c r="K68" s="761"/>
    </row>
    <row r="69" spans="2:11" ht="15" customHeight="1">
      <c r="G69" s="377"/>
      <c r="H69" s="397"/>
      <c r="I69" s="398"/>
      <c r="J69" s="399"/>
      <c r="K69" s="399"/>
    </row>
    <row r="70" spans="2:11" ht="15" customHeight="1">
      <c r="B70" s="382" t="s">
        <v>168</v>
      </c>
      <c r="C70" s="382"/>
      <c r="D70" s="382"/>
      <c r="E70" s="383"/>
      <c r="G70" s="373" t="s">
        <v>169</v>
      </c>
      <c r="H70" s="373"/>
      <c r="I70" s="373"/>
      <c r="J70" s="373"/>
      <c r="K70" s="373"/>
    </row>
    <row r="71" spans="2:11" s="23" customFormat="1" ht="4.3499999999999996" customHeight="1">
      <c r="B71" s="387"/>
      <c r="C71" s="387"/>
      <c r="D71" s="387"/>
      <c r="E71" s="387"/>
      <c r="F71" s="378"/>
      <c r="G71" s="36"/>
      <c r="H71" s="36"/>
      <c r="I71" s="36"/>
      <c r="J71" s="36"/>
      <c r="K71" s="36"/>
    </row>
    <row r="72" spans="2:11" ht="15" customHeight="1" thickBot="1">
      <c r="B72" s="396" t="s">
        <v>170</v>
      </c>
      <c r="C72" s="401" t="s">
        <v>171</v>
      </c>
      <c r="D72" s="401"/>
      <c r="E72" s="401" t="s">
        <v>172</v>
      </c>
      <c r="G72" s="395"/>
      <c r="H72" s="396" t="s">
        <v>87</v>
      </c>
      <c r="I72" s="396" t="s">
        <v>88</v>
      </c>
      <c r="J72" s="396" t="s">
        <v>89</v>
      </c>
      <c r="K72" s="396" t="s">
        <v>90</v>
      </c>
    </row>
    <row r="73" spans="2:11" ht="24" customHeight="1">
      <c r="B73" s="378" t="s">
        <v>173</v>
      </c>
      <c r="C73" s="751" t="s">
        <v>174</v>
      </c>
      <c r="D73" s="751"/>
      <c r="E73" s="378" t="s">
        <v>175</v>
      </c>
      <c r="G73" s="765" t="s">
        <v>176</v>
      </c>
      <c r="H73" s="773"/>
      <c r="I73" s="749" t="s">
        <v>177</v>
      </c>
      <c r="J73" s="761" t="s">
        <v>178</v>
      </c>
      <c r="K73" s="761" t="s">
        <v>179</v>
      </c>
    </row>
    <row r="74" spans="2:11" ht="35.1" customHeight="1">
      <c r="B74" s="378" t="s">
        <v>180</v>
      </c>
      <c r="C74" s="748" t="s">
        <v>174</v>
      </c>
      <c r="D74" s="748"/>
      <c r="E74" s="378" t="s">
        <v>181</v>
      </c>
      <c r="G74" s="765"/>
      <c r="H74" s="773"/>
      <c r="I74" s="749"/>
      <c r="J74" s="761"/>
      <c r="K74" s="761"/>
    </row>
    <row r="75" spans="2:11" ht="24" customHeight="1">
      <c r="B75" s="378" t="s">
        <v>182</v>
      </c>
      <c r="C75" s="748" t="s">
        <v>174</v>
      </c>
      <c r="D75" s="748"/>
      <c r="E75" s="378" t="s">
        <v>183</v>
      </c>
      <c r="G75" s="765" t="s">
        <v>184</v>
      </c>
      <c r="H75" s="772"/>
      <c r="I75" s="749" t="s">
        <v>185</v>
      </c>
      <c r="J75" s="761" t="s">
        <v>186</v>
      </c>
      <c r="K75" s="761" t="s">
        <v>187</v>
      </c>
    </row>
    <row r="76" spans="2:11" ht="27" customHeight="1">
      <c r="B76" s="378" t="s">
        <v>188</v>
      </c>
      <c r="C76" s="748" t="s">
        <v>174</v>
      </c>
      <c r="D76" s="748"/>
      <c r="E76" s="378" t="s">
        <v>189</v>
      </c>
      <c r="G76" s="765"/>
      <c r="H76" s="772"/>
      <c r="I76" s="749"/>
      <c r="J76" s="761"/>
      <c r="K76" s="761"/>
    </row>
    <row r="77" spans="2:11" ht="14.1" customHeight="1">
      <c r="B77" s="422" t="s">
        <v>190</v>
      </c>
      <c r="C77" s="748" t="s">
        <v>174</v>
      </c>
      <c r="D77" s="748"/>
      <c r="E77" s="569" t="s">
        <v>191</v>
      </c>
      <c r="G77" s="765" t="s">
        <v>192</v>
      </c>
      <c r="H77" s="772"/>
      <c r="I77" s="749" t="s">
        <v>193</v>
      </c>
      <c r="J77" s="761" t="s">
        <v>194</v>
      </c>
      <c r="K77" s="761" t="s">
        <v>195</v>
      </c>
    </row>
    <row r="78" spans="2:11" ht="34.35" customHeight="1">
      <c r="B78" s="378" t="s">
        <v>196</v>
      </c>
      <c r="C78" s="749" t="s">
        <v>197</v>
      </c>
      <c r="D78" s="749"/>
      <c r="E78" s="378" t="s">
        <v>198</v>
      </c>
      <c r="G78" s="765"/>
      <c r="H78" s="772"/>
      <c r="I78" s="749"/>
      <c r="J78" s="761"/>
      <c r="K78" s="761"/>
    </row>
    <row r="79" spans="2:11" ht="30" customHeight="1">
      <c r="B79" s="378" t="s">
        <v>199</v>
      </c>
      <c r="C79" s="748" t="s">
        <v>174</v>
      </c>
      <c r="D79" s="748"/>
      <c r="E79" s="378" t="s">
        <v>189</v>
      </c>
      <c r="G79" s="765" t="s">
        <v>200</v>
      </c>
      <c r="H79" s="772"/>
      <c r="I79" s="749" t="s">
        <v>201</v>
      </c>
      <c r="J79" s="761" t="s">
        <v>202</v>
      </c>
      <c r="K79" s="761" t="s">
        <v>203</v>
      </c>
    </row>
    <row r="80" spans="2:11" ht="42" customHeight="1">
      <c r="B80" s="378" t="s">
        <v>204</v>
      </c>
      <c r="C80" s="748" t="s">
        <v>174</v>
      </c>
      <c r="D80" s="748"/>
      <c r="E80" s="378" t="s">
        <v>205</v>
      </c>
      <c r="G80" s="765"/>
      <c r="H80" s="772"/>
      <c r="I80" s="749"/>
      <c r="J80" s="761"/>
      <c r="K80" s="761"/>
    </row>
    <row r="81" spans="2:11" ht="39" customHeight="1">
      <c r="B81" s="378" t="s">
        <v>206</v>
      </c>
      <c r="C81" s="748" t="s">
        <v>174</v>
      </c>
      <c r="D81" s="748"/>
      <c r="E81" s="378" t="s">
        <v>207</v>
      </c>
      <c r="G81" s="765" t="s">
        <v>208</v>
      </c>
      <c r="H81" s="774"/>
      <c r="I81" s="749" t="s">
        <v>209</v>
      </c>
      <c r="J81" s="761" t="s">
        <v>210</v>
      </c>
      <c r="K81" s="761" t="s">
        <v>211</v>
      </c>
    </row>
    <row r="82" spans="2:11" ht="66" customHeight="1">
      <c r="B82" s="378" t="s">
        <v>212</v>
      </c>
      <c r="C82" s="748" t="s">
        <v>174</v>
      </c>
      <c r="D82" s="748"/>
      <c r="E82" s="378" t="s">
        <v>213</v>
      </c>
      <c r="G82" s="765"/>
      <c r="H82" s="774"/>
      <c r="I82" s="749"/>
      <c r="J82" s="761"/>
      <c r="K82" s="761"/>
    </row>
    <row r="83" spans="2:11" ht="34.35" customHeight="1">
      <c r="B83" s="378" t="s">
        <v>214</v>
      </c>
      <c r="C83" s="749" t="s">
        <v>215</v>
      </c>
      <c r="D83" s="749"/>
      <c r="E83" s="378" t="s">
        <v>216</v>
      </c>
      <c r="G83" s="765" t="s">
        <v>217</v>
      </c>
      <c r="H83" s="775"/>
      <c r="I83" s="749" t="s">
        <v>218</v>
      </c>
      <c r="J83" s="761" t="s">
        <v>219</v>
      </c>
      <c r="K83" s="761" t="s">
        <v>220</v>
      </c>
    </row>
    <row r="84" spans="2:11" ht="32.1" customHeight="1">
      <c r="B84" s="378" t="s">
        <v>221</v>
      </c>
      <c r="C84" s="748" t="s">
        <v>174</v>
      </c>
      <c r="D84" s="748"/>
      <c r="E84" s="378" t="s">
        <v>183</v>
      </c>
      <c r="G84" s="765"/>
      <c r="H84" s="775"/>
      <c r="I84" s="749"/>
      <c r="J84" s="761"/>
      <c r="K84" s="761"/>
    </row>
    <row r="85" spans="2:11" ht="53.1" customHeight="1">
      <c r="C85" s="748"/>
      <c r="D85" s="748"/>
      <c r="E85" s="378"/>
      <c r="G85" s="765" t="s">
        <v>222</v>
      </c>
      <c r="H85" s="773"/>
      <c r="I85" s="749" t="s">
        <v>223</v>
      </c>
      <c r="J85" s="761" t="s">
        <v>224</v>
      </c>
      <c r="K85" s="761" t="s">
        <v>225</v>
      </c>
    </row>
    <row r="86" spans="2:11" ht="33" customHeight="1">
      <c r="C86" s="748"/>
      <c r="D86" s="748"/>
      <c r="E86" s="378"/>
      <c r="G86" s="765"/>
      <c r="H86" s="773"/>
      <c r="I86" s="749"/>
      <c r="J86" s="761"/>
      <c r="K86" s="761"/>
    </row>
    <row r="87" spans="2:11" ht="53.1" customHeight="1">
      <c r="C87" s="748"/>
      <c r="D87" s="748"/>
      <c r="E87" s="378"/>
      <c r="G87" s="765" t="s">
        <v>226</v>
      </c>
      <c r="H87" s="773"/>
      <c r="I87" s="749" t="s">
        <v>227</v>
      </c>
      <c r="J87" s="761" t="s">
        <v>228</v>
      </c>
      <c r="K87" s="761" t="s">
        <v>229</v>
      </c>
    </row>
    <row r="88" spans="2:11" ht="34.35" customHeight="1">
      <c r="C88" s="748"/>
      <c r="D88" s="748"/>
      <c r="E88" s="378"/>
      <c r="G88" s="765"/>
      <c r="H88" s="773"/>
      <c r="I88" s="749"/>
      <c r="J88" s="761"/>
      <c r="K88" s="761"/>
    </row>
    <row r="89" spans="2:11" ht="15" customHeight="1">
      <c r="C89" s="748"/>
      <c r="D89" s="748"/>
      <c r="E89" s="378"/>
      <c r="G89" s="765" t="s">
        <v>230</v>
      </c>
      <c r="H89" s="775"/>
      <c r="I89" s="749" t="s">
        <v>231</v>
      </c>
      <c r="J89" s="761" t="s">
        <v>232</v>
      </c>
      <c r="K89" s="761" t="s">
        <v>233</v>
      </c>
    </row>
    <row r="90" spans="2:11" ht="15" customHeight="1">
      <c r="C90" s="748"/>
      <c r="D90" s="748"/>
      <c r="E90" s="378"/>
      <c r="G90" s="765"/>
      <c r="H90" s="775"/>
      <c r="I90" s="749"/>
      <c r="J90" s="761"/>
      <c r="K90" s="761"/>
    </row>
    <row r="91" spans="2:11" ht="33" customHeight="1">
      <c r="C91" s="748"/>
      <c r="D91" s="748"/>
      <c r="E91" s="378"/>
      <c r="G91" s="765" t="s">
        <v>234</v>
      </c>
      <c r="H91" s="776"/>
      <c r="I91" s="749" t="s">
        <v>235</v>
      </c>
      <c r="J91" s="761" t="s">
        <v>235</v>
      </c>
      <c r="K91" s="749" t="s">
        <v>236</v>
      </c>
    </row>
    <row r="92" spans="2:11" ht="13.35" customHeight="1">
      <c r="C92" s="748"/>
      <c r="D92" s="748"/>
      <c r="E92" s="378"/>
      <c r="G92" s="765"/>
      <c r="H92" s="776"/>
      <c r="I92" s="749"/>
      <c r="J92" s="761"/>
      <c r="K92" s="749"/>
    </row>
    <row r="93" spans="2:11" ht="15" customHeight="1">
      <c r="C93" s="748"/>
      <c r="D93" s="748"/>
      <c r="E93" s="378"/>
      <c r="G93" s="765" t="s">
        <v>237</v>
      </c>
      <c r="H93" s="773"/>
      <c r="I93" s="749" t="s">
        <v>238</v>
      </c>
      <c r="J93" s="761" t="s">
        <v>239</v>
      </c>
      <c r="K93" s="761" t="s">
        <v>240</v>
      </c>
    </row>
    <row r="94" spans="2:11" ht="15" customHeight="1">
      <c r="G94" s="765"/>
      <c r="H94" s="773"/>
      <c r="I94" s="749"/>
      <c r="J94" s="761"/>
      <c r="K94" s="761"/>
    </row>
  </sheetData>
  <mergeCells count="205">
    <mergeCell ref="J93:J94"/>
    <mergeCell ref="K93:K94"/>
    <mergeCell ref="H87:H88"/>
    <mergeCell ref="H81:H82"/>
    <mergeCell ref="H83:H84"/>
    <mergeCell ref="H93:H94"/>
    <mergeCell ref="H89:H90"/>
    <mergeCell ref="H91:H92"/>
    <mergeCell ref="J91:J92"/>
    <mergeCell ref="K81:K82"/>
    <mergeCell ref="K83:K84"/>
    <mergeCell ref="K85:K86"/>
    <mergeCell ref="K87:K88"/>
    <mergeCell ref="K89:K90"/>
    <mergeCell ref="J83:J84"/>
    <mergeCell ref="I85:I86"/>
    <mergeCell ref="J85:J86"/>
    <mergeCell ref="I87:I88"/>
    <mergeCell ref="J87:J88"/>
    <mergeCell ref="I89:I90"/>
    <mergeCell ref="J89:J90"/>
    <mergeCell ref="K91:K92"/>
    <mergeCell ref="G91:G92"/>
    <mergeCell ref="G93:G94"/>
    <mergeCell ref="I93:I94"/>
    <mergeCell ref="H65:H66"/>
    <mergeCell ref="H67:H68"/>
    <mergeCell ref="H61:H62"/>
    <mergeCell ref="H63:H64"/>
    <mergeCell ref="H77:H78"/>
    <mergeCell ref="H79:H80"/>
    <mergeCell ref="H73:H74"/>
    <mergeCell ref="H75:H76"/>
    <mergeCell ref="H85:H86"/>
    <mergeCell ref="I63:I64"/>
    <mergeCell ref="G75:G76"/>
    <mergeCell ref="G77:G78"/>
    <mergeCell ref="G79:G80"/>
    <mergeCell ref="G81:G82"/>
    <mergeCell ref="G83:G84"/>
    <mergeCell ref="G85:G86"/>
    <mergeCell ref="G87:G88"/>
    <mergeCell ref="G89:G90"/>
    <mergeCell ref="I91:I92"/>
    <mergeCell ref="I73:I74"/>
    <mergeCell ref="I83:I84"/>
    <mergeCell ref="H26:J27"/>
    <mergeCell ref="H28:J29"/>
    <mergeCell ref="H16:J17"/>
    <mergeCell ref="H18:J19"/>
    <mergeCell ref="H20:J21"/>
    <mergeCell ref="H22:J23"/>
    <mergeCell ref="H33:H34"/>
    <mergeCell ref="G33:G34"/>
    <mergeCell ref="H41:H42"/>
    <mergeCell ref="H37:H38"/>
    <mergeCell ref="H39:H40"/>
    <mergeCell ref="G35:G36"/>
    <mergeCell ref="G37:G38"/>
    <mergeCell ref="G39:G40"/>
    <mergeCell ref="G41:G42"/>
    <mergeCell ref="H49:H50"/>
    <mergeCell ref="H51:H52"/>
    <mergeCell ref="H47:H48"/>
    <mergeCell ref="H57:H58"/>
    <mergeCell ref="H59:H60"/>
    <mergeCell ref="H53:H54"/>
    <mergeCell ref="H55:H56"/>
    <mergeCell ref="K47:K48"/>
    <mergeCell ref="K49:K50"/>
    <mergeCell ref="K51:K52"/>
    <mergeCell ref="K53:K54"/>
    <mergeCell ref="K55:K56"/>
    <mergeCell ref="K57:K58"/>
    <mergeCell ref="K59:K60"/>
    <mergeCell ref="I47:I48"/>
    <mergeCell ref="I49:I50"/>
    <mergeCell ref="I51:I52"/>
    <mergeCell ref="I53:I54"/>
    <mergeCell ref="I55:I56"/>
    <mergeCell ref="I57:I58"/>
    <mergeCell ref="I59:I60"/>
    <mergeCell ref="J47:J48"/>
    <mergeCell ref="J49:J50"/>
    <mergeCell ref="J51:J52"/>
    <mergeCell ref="I75:I76"/>
    <mergeCell ref="J75:J76"/>
    <mergeCell ref="I77:I78"/>
    <mergeCell ref="J77:J78"/>
    <mergeCell ref="I79:I80"/>
    <mergeCell ref="J79:J80"/>
    <mergeCell ref="I81:I82"/>
    <mergeCell ref="J81:J82"/>
    <mergeCell ref="I61:I62"/>
    <mergeCell ref="J73:J74"/>
    <mergeCell ref="I65:I66"/>
    <mergeCell ref="I67:I68"/>
    <mergeCell ref="G47:G48"/>
    <mergeCell ref="G49:G50"/>
    <mergeCell ref="G51:G52"/>
    <mergeCell ref="G53:G54"/>
    <mergeCell ref="G73:G74"/>
    <mergeCell ref="G55:G56"/>
    <mergeCell ref="G57:G58"/>
    <mergeCell ref="G59:G60"/>
    <mergeCell ref="G61:G62"/>
    <mergeCell ref="G63:G64"/>
    <mergeCell ref="G65:G66"/>
    <mergeCell ref="G67:G68"/>
    <mergeCell ref="J53:J54"/>
    <mergeCell ref="J55:J56"/>
    <mergeCell ref="J57:J58"/>
    <mergeCell ref="K73:K74"/>
    <mergeCell ref="K75:K76"/>
    <mergeCell ref="K77:K78"/>
    <mergeCell ref="K79:K80"/>
    <mergeCell ref="K65:K66"/>
    <mergeCell ref="K67:K68"/>
    <mergeCell ref="J59:J60"/>
    <mergeCell ref="J61:J62"/>
    <mergeCell ref="J63:J64"/>
    <mergeCell ref="J65:J66"/>
    <mergeCell ref="J67:J68"/>
    <mergeCell ref="K61:K62"/>
    <mergeCell ref="K63:K64"/>
    <mergeCell ref="C33:E33"/>
    <mergeCell ref="C34:E34"/>
    <mergeCell ref="C35:E35"/>
    <mergeCell ref="C36:E36"/>
    <mergeCell ref="C37:E37"/>
    <mergeCell ref="C38:E38"/>
    <mergeCell ref="K41:K42"/>
    <mergeCell ref="K39:K40"/>
    <mergeCell ref="K37:K38"/>
    <mergeCell ref="K35:K36"/>
    <mergeCell ref="K33:K34"/>
    <mergeCell ref="J41:J42"/>
    <mergeCell ref="J39:J40"/>
    <mergeCell ref="J37:J38"/>
    <mergeCell ref="J35:J36"/>
    <mergeCell ref="J33:J34"/>
    <mergeCell ref="I41:I42"/>
    <mergeCell ref="I39:I40"/>
    <mergeCell ref="I37:I38"/>
    <mergeCell ref="I35:I36"/>
    <mergeCell ref="I33:I34"/>
    <mergeCell ref="H35:H36"/>
    <mergeCell ref="C39:E39"/>
    <mergeCell ref="C41:E41"/>
    <mergeCell ref="D27:E27"/>
    <mergeCell ref="D23:E23"/>
    <mergeCell ref="D24:E24"/>
    <mergeCell ref="D19:E19"/>
    <mergeCell ref="D15:E15"/>
    <mergeCell ref="D16:E16"/>
    <mergeCell ref="D17:E17"/>
    <mergeCell ref="D18:E18"/>
    <mergeCell ref="D20:E20"/>
    <mergeCell ref="D21:E21"/>
    <mergeCell ref="D22:E22"/>
    <mergeCell ref="D25:E25"/>
    <mergeCell ref="D26:E26"/>
    <mergeCell ref="C90:D90"/>
    <mergeCell ref="C91:D91"/>
    <mergeCell ref="C92:D92"/>
    <mergeCell ref="C93:D93"/>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C81:D81"/>
    <mergeCell ref="C82:D82"/>
    <mergeCell ref="C42:E42"/>
    <mergeCell ref="C89:D89"/>
    <mergeCell ref="C83:D83"/>
    <mergeCell ref="C84:D84"/>
    <mergeCell ref="C85:D85"/>
    <mergeCell ref="C86:D86"/>
    <mergeCell ref="C87:D87"/>
    <mergeCell ref="C88:D88"/>
    <mergeCell ref="B65:E65"/>
    <mergeCell ref="B66:E66"/>
    <mergeCell ref="B67:E67"/>
    <mergeCell ref="B68:E68"/>
    <mergeCell ref="C73:D73"/>
    <mergeCell ref="C74:D74"/>
    <mergeCell ref="C75:D75"/>
    <mergeCell ref="C76:D76"/>
    <mergeCell ref="C77:D77"/>
    <mergeCell ref="C78:D78"/>
    <mergeCell ref="C79:D79"/>
    <mergeCell ref="C80:D80"/>
    <mergeCell ref="B47:E48"/>
  </mergeCells>
  <dataValidations count="1">
    <dataValidation type="list" allowBlank="1" showInputMessage="1" showErrorMessage="1" sqref="C33:E33" xr:uid="{00000000-0002-0000-0300-000000000000}">
      <formula1>"Energy, Materials, Industrials, Consumer Discrecionary, Consumer Staples, Health Care, Financials, Information Technology, Communication Services, Utilities, Real Estate"</formula1>
    </dataValidation>
  </dataValidations>
  <pageMargins left="0.7" right="0.7" top="0.75" bottom="0.75" header="0.3" footer="0.3"/>
  <pageSetup paperSize="9"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BG46"/>
  <sheetViews>
    <sheetView showGridLines="0" tabSelected="1" zoomScaleNormal="70" workbookViewId="0">
      <selection activeCell="B17" sqref="B17"/>
    </sheetView>
  </sheetViews>
  <sheetFormatPr defaultColWidth="9" defaultRowHeight="15" customHeight="1" outlineLevelCol="1"/>
  <cols>
    <col min="1" max="1" width="2.125" style="97" customWidth="1"/>
    <col min="2" max="2" width="21.125" style="97" customWidth="1"/>
    <col min="3" max="3" width="3.125" style="23" customWidth="1"/>
    <col min="4" max="7" width="9.625" style="97" hidden="1" customWidth="1" outlineLevel="1"/>
    <col min="8" max="8" width="11.625" style="97" customWidth="1" collapsed="1"/>
    <col min="9" max="9" width="1.625" style="23" customWidth="1"/>
    <col min="10" max="13" width="9.625" style="97" hidden="1" customWidth="1" outlineLevel="1"/>
    <col min="14" max="14" width="11.625" style="97" customWidth="1" collapsed="1"/>
    <col min="15" max="15" width="1.625" style="23" customWidth="1"/>
    <col min="16" max="19" width="9.625" style="97" hidden="1" customWidth="1" outlineLevel="1"/>
    <col min="20" max="20" width="11.625" style="97" customWidth="1" collapsed="1"/>
    <col min="21" max="21" width="1.625" style="23" customWidth="1"/>
    <col min="22" max="25" width="9.625" style="97" hidden="1" customWidth="1" outlineLevel="1"/>
    <col min="26" max="26" width="11.625" style="97" customWidth="1" collapsed="1"/>
    <col min="27" max="27" width="1.625" style="23" customWidth="1"/>
    <col min="28" max="31" width="9.625" style="97" hidden="1" customWidth="1" outlineLevel="1"/>
    <col min="32" max="32" width="11.625" style="97" customWidth="1" collapsed="1"/>
    <col min="33" max="33" width="1.625" style="23" customWidth="1"/>
    <col min="34" max="37" width="9.625" style="97" hidden="1" customWidth="1" outlineLevel="1"/>
    <col min="38" max="38" width="11.625" style="97" customWidth="1" collapsed="1"/>
    <col min="39" max="39" width="1.625" style="23" customWidth="1"/>
    <col min="40" max="43" width="9.625" style="97" hidden="1" customWidth="1" outlineLevel="1"/>
    <col min="44" max="44" width="11.625" style="97" customWidth="1" collapsed="1"/>
    <col min="45" max="45" width="1.625" style="23" customWidth="1"/>
    <col min="46" max="46" width="11.625" style="97" customWidth="1"/>
    <col min="47" max="47" width="1.625" style="23" customWidth="1"/>
    <col min="48" max="48" width="11.625" style="105" customWidth="1"/>
    <col min="49" max="49" width="1.625" style="23" customWidth="1"/>
    <col min="50" max="50" width="11.625" style="97" customWidth="1"/>
    <col min="51" max="51" width="1.625" style="97" customWidth="1"/>
    <col min="52" max="16384" width="9" style="97"/>
  </cols>
  <sheetData>
    <row r="1" spans="1:59" s="468" customFormat="1" ht="15" customHeight="1"/>
    <row r="2" spans="1:59" s="468" customFormat="1" ht="15" customHeight="1"/>
    <row r="3" spans="1:59" s="468" customFormat="1" ht="15" customHeight="1"/>
    <row r="4" spans="1:59" s="468" customFormat="1" ht="15" customHeight="1"/>
    <row r="5" spans="1:59" s="288" customFormat="1" ht="4.3499999999999996" customHeight="1">
      <c r="C5" s="36"/>
      <c r="I5" s="36"/>
      <c r="O5" s="36"/>
      <c r="U5" s="36"/>
      <c r="AA5" s="36"/>
      <c r="AG5" s="36"/>
      <c r="AM5" s="36"/>
      <c r="AS5" s="36"/>
      <c r="AU5" s="36"/>
      <c r="AV5" s="289"/>
      <c r="AW5" s="36"/>
    </row>
    <row r="7" spans="1:59" s="41" customFormat="1" ht="15" customHeight="1">
      <c r="A7" s="44" t="s">
        <v>37</v>
      </c>
      <c r="B7" s="161" t="s">
        <v>241</v>
      </c>
      <c r="C7" s="18"/>
      <c r="D7" s="202">
        <f>F7</f>
        <v>2020</v>
      </c>
      <c r="E7" s="202">
        <f>F7</f>
        <v>2020</v>
      </c>
      <c r="F7" s="202">
        <v>2020</v>
      </c>
      <c r="G7" s="202">
        <f>F7</f>
        <v>2020</v>
      </c>
      <c r="H7" s="202">
        <f>F7</f>
        <v>2020</v>
      </c>
      <c r="I7" s="18"/>
      <c r="J7" s="202">
        <f>L7</f>
        <v>2021</v>
      </c>
      <c r="K7" s="202">
        <f>L7</f>
        <v>2021</v>
      </c>
      <c r="L7" s="202">
        <v>2021</v>
      </c>
      <c r="M7" s="202">
        <f>L7</f>
        <v>2021</v>
      </c>
      <c r="N7" s="202">
        <f>L7</f>
        <v>2021</v>
      </c>
      <c r="O7" s="169"/>
      <c r="P7" s="202">
        <f>R7</f>
        <v>2022</v>
      </c>
      <c r="Q7" s="202">
        <f>R7</f>
        <v>2022</v>
      </c>
      <c r="R7" s="202">
        <v>2022</v>
      </c>
      <c r="S7" s="202">
        <f>R7</f>
        <v>2022</v>
      </c>
      <c r="T7" s="202">
        <f>R7</f>
        <v>2022</v>
      </c>
      <c r="U7" s="169"/>
      <c r="V7" s="202">
        <f>X7</f>
        <v>2023</v>
      </c>
      <c r="W7" s="202">
        <f>X7</f>
        <v>2023</v>
      </c>
      <c r="X7" s="202">
        <v>2023</v>
      </c>
      <c r="Y7" s="202">
        <f>X7</f>
        <v>2023</v>
      </c>
      <c r="Z7" s="202">
        <f>X7</f>
        <v>2023</v>
      </c>
      <c r="AA7" s="170"/>
      <c r="AB7" s="202">
        <f>AD7</f>
        <v>2024</v>
      </c>
      <c r="AC7" s="202">
        <f>AD7</f>
        <v>2024</v>
      </c>
      <c r="AD7" s="202">
        <v>2024</v>
      </c>
      <c r="AE7" s="202">
        <f>AD7</f>
        <v>2024</v>
      </c>
      <c r="AF7" s="202">
        <f>AD7</f>
        <v>2024</v>
      </c>
      <c r="AG7" s="170"/>
      <c r="AH7" s="202">
        <f>AJ7</f>
        <v>2025</v>
      </c>
      <c r="AI7" s="202">
        <f>AJ7</f>
        <v>2025</v>
      </c>
      <c r="AJ7" s="203">
        <v>2025</v>
      </c>
      <c r="AK7" s="202">
        <f>AJ7</f>
        <v>2025</v>
      </c>
      <c r="AL7" s="202">
        <f>AJ7</f>
        <v>2025</v>
      </c>
      <c r="AM7" s="171"/>
      <c r="AN7" s="202">
        <f>AP7</f>
        <v>2025</v>
      </c>
      <c r="AO7" s="202">
        <f>AP7</f>
        <v>2025</v>
      </c>
      <c r="AP7" s="203">
        <v>2025</v>
      </c>
      <c r="AQ7" s="202">
        <f>AP7</f>
        <v>2025</v>
      </c>
      <c r="AR7" s="202">
        <f>AP7</f>
        <v>2025</v>
      </c>
      <c r="AS7" s="18"/>
      <c r="AT7" s="162"/>
      <c r="AU7" s="18"/>
      <c r="AV7" s="163"/>
      <c r="AW7" s="18"/>
      <c r="AX7" s="163"/>
      <c r="AY7" s="19"/>
      <c r="AZ7" s="164" t="s">
        <v>242</v>
      </c>
      <c r="BA7" s="164"/>
      <c r="BB7" s="164"/>
      <c r="BC7" s="164"/>
      <c r="BD7" s="164"/>
      <c r="BE7" s="164"/>
      <c r="BF7" s="164"/>
      <c r="BG7" s="164"/>
    </row>
    <row r="8" spans="1:59" s="41" customFormat="1" ht="15" customHeight="1">
      <c r="B8" s="164"/>
      <c r="C8" s="18"/>
      <c r="D8" s="779">
        <v>2020</v>
      </c>
      <c r="E8" s="779"/>
      <c r="F8" s="779"/>
      <c r="G8" s="779"/>
      <c r="H8" s="779"/>
      <c r="I8" s="169"/>
      <c r="J8" s="779">
        <f>D8+1</f>
        <v>2021</v>
      </c>
      <c r="K8" s="779"/>
      <c r="L8" s="779"/>
      <c r="M8" s="779"/>
      <c r="N8" s="779"/>
      <c r="O8" s="169"/>
      <c r="P8" s="779">
        <f>J8+1</f>
        <v>2022</v>
      </c>
      <c r="Q8" s="779"/>
      <c r="R8" s="779"/>
      <c r="S8" s="779"/>
      <c r="T8" s="779"/>
      <c r="U8" s="169"/>
      <c r="V8" s="779">
        <f>P8+1</f>
        <v>2023</v>
      </c>
      <c r="W8" s="779"/>
      <c r="X8" s="779"/>
      <c r="Y8" s="779"/>
      <c r="Z8" s="779"/>
      <c r="AA8" s="169"/>
      <c r="AB8" s="779">
        <f>V8+1</f>
        <v>2024</v>
      </c>
      <c r="AC8" s="779"/>
      <c r="AD8" s="779"/>
      <c r="AE8" s="779"/>
      <c r="AF8" s="779"/>
      <c r="AG8" s="169"/>
      <c r="AH8" s="777">
        <f>AB8+1</f>
        <v>2025</v>
      </c>
      <c r="AI8" s="777"/>
      <c r="AJ8" s="777"/>
      <c r="AK8" s="777"/>
      <c r="AL8" s="777"/>
      <c r="AM8" s="169"/>
      <c r="AN8" s="777">
        <f>AH8+1</f>
        <v>2026</v>
      </c>
      <c r="AO8" s="777"/>
      <c r="AP8" s="777"/>
      <c r="AQ8" s="777"/>
      <c r="AR8" s="777"/>
      <c r="AS8" s="171"/>
      <c r="AT8" s="166">
        <f>AN8+1</f>
        <v>2027</v>
      </c>
      <c r="AU8" s="167"/>
      <c r="AV8" s="166">
        <f>+AT8+1</f>
        <v>2028</v>
      </c>
      <c r="AW8" s="167"/>
      <c r="AX8" s="166">
        <f>+AV8+1</f>
        <v>2029</v>
      </c>
      <c r="AY8" s="442"/>
      <c r="AZ8" s="164"/>
      <c r="BA8" s="164"/>
      <c r="BB8" s="164"/>
      <c r="BC8" s="164"/>
      <c r="BD8" s="164"/>
      <c r="BE8" s="164"/>
      <c r="BF8" s="164"/>
      <c r="BG8" s="164"/>
    </row>
    <row r="9" spans="1:59" s="41" customFormat="1" ht="15" customHeight="1">
      <c r="B9" s="164"/>
      <c r="C9" s="18"/>
      <c r="D9" s="168" t="s">
        <v>243</v>
      </c>
      <c r="E9" s="168" t="s">
        <v>244</v>
      </c>
      <c r="F9" s="168" t="s">
        <v>245</v>
      </c>
      <c r="G9" s="168" t="s">
        <v>246</v>
      </c>
      <c r="H9" s="168" t="s">
        <v>247</v>
      </c>
      <c r="I9" s="18"/>
      <c r="J9" s="168" t="s">
        <v>243</v>
      </c>
      <c r="K9" s="168" t="s">
        <v>244</v>
      </c>
      <c r="L9" s="168" t="s">
        <v>245</v>
      </c>
      <c r="M9" s="168" t="s">
        <v>246</v>
      </c>
      <c r="N9" s="168" t="s">
        <v>247</v>
      </c>
      <c r="O9" s="165"/>
      <c r="P9" s="168" t="s">
        <v>243</v>
      </c>
      <c r="Q9" s="168" t="s">
        <v>244</v>
      </c>
      <c r="R9" s="168" t="s">
        <v>245</v>
      </c>
      <c r="S9" s="168" t="s">
        <v>246</v>
      </c>
      <c r="T9" s="168" t="s">
        <v>247</v>
      </c>
      <c r="U9" s="165"/>
      <c r="V9" s="168" t="s">
        <v>243</v>
      </c>
      <c r="W9" s="168" t="s">
        <v>244</v>
      </c>
      <c r="X9" s="168" t="s">
        <v>245</v>
      </c>
      <c r="Y9" s="168" t="s">
        <v>246</v>
      </c>
      <c r="Z9" s="168" t="s">
        <v>247</v>
      </c>
      <c r="AA9" s="165"/>
      <c r="AB9" s="168" t="s">
        <v>243</v>
      </c>
      <c r="AC9" s="168" t="s">
        <v>244</v>
      </c>
      <c r="AD9" s="168" t="s">
        <v>245</v>
      </c>
      <c r="AE9" s="168" t="s">
        <v>246</v>
      </c>
      <c r="AF9" s="168" t="s">
        <v>247</v>
      </c>
      <c r="AG9" s="165"/>
      <c r="AH9" s="168" t="s">
        <v>243</v>
      </c>
      <c r="AI9" s="168" t="s">
        <v>244</v>
      </c>
      <c r="AJ9" s="168" t="s">
        <v>245</v>
      </c>
      <c r="AK9" s="168" t="s">
        <v>246</v>
      </c>
      <c r="AL9" s="168" t="s">
        <v>247</v>
      </c>
      <c r="AM9" s="165"/>
      <c r="AN9" s="168" t="s">
        <v>243</v>
      </c>
      <c r="AO9" s="168" t="s">
        <v>244</v>
      </c>
      <c r="AP9" s="168" t="s">
        <v>245</v>
      </c>
      <c r="AQ9" s="168" t="s">
        <v>246</v>
      </c>
      <c r="AR9" s="168" t="s">
        <v>247</v>
      </c>
      <c r="AS9" s="165"/>
      <c r="AT9" s="168" t="s">
        <v>247</v>
      </c>
      <c r="AU9" s="165"/>
      <c r="AV9" s="168" t="s">
        <v>247</v>
      </c>
      <c r="AW9" s="165"/>
      <c r="AX9" s="168" t="s">
        <v>247</v>
      </c>
      <c r="AY9" s="443"/>
      <c r="AZ9" s="164"/>
      <c r="BA9" s="164"/>
      <c r="BB9" s="164"/>
      <c r="BC9" s="164"/>
      <c r="BD9" s="164"/>
      <c r="BE9" s="164"/>
      <c r="BF9" s="164"/>
      <c r="BG9" s="164"/>
    </row>
    <row r="10" spans="1:59" s="41" customFormat="1" ht="4.3499999999999996" customHeight="1">
      <c r="A10" s="43"/>
      <c r="B10" s="176"/>
      <c r="C10" s="35"/>
      <c r="D10" s="177"/>
      <c r="E10" s="177"/>
      <c r="F10" s="177"/>
      <c r="G10" s="177"/>
      <c r="H10" s="177"/>
      <c r="I10" s="35"/>
      <c r="J10" s="177"/>
      <c r="K10" s="177"/>
      <c r="L10" s="177"/>
      <c r="M10" s="177"/>
      <c r="N10" s="177"/>
      <c r="O10" s="178"/>
      <c r="P10" s="177"/>
      <c r="Q10" s="177"/>
      <c r="R10" s="177"/>
      <c r="S10" s="177"/>
      <c r="T10" s="177"/>
      <c r="U10" s="178"/>
      <c r="V10" s="177"/>
      <c r="W10" s="177"/>
      <c r="X10" s="177"/>
      <c r="Y10" s="177"/>
      <c r="Z10" s="177"/>
      <c r="AA10" s="178"/>
      <c r="AB10" s="177"/>
      <c r="AC10" s="177"/>
      <c r="AD10" s="177"/>
      <c r="AE10" s="177"/>
      <c r="AF10" s="177"/>
      <c r="AG10" s="178"/>
      <c r="AH10" s="177"/>
      <c r="AI10" s="177"/>
      <c r="AJ10" s="177"/>
      <c r="AK10" s="177"/>
      <c r="AL10" s="179"/>
      <c r="AM10" s="180"/>
      <c r="AN10" s="179"/>
      <c r="AO10" s="179"/>
      <c r="AP10" s="179"/>
      <c r="AQ10" s="179"/>
      <c r="AR10" s="179"/>
      <c r="AS10" s="180"/>
      <c r="AT10" s="179"/>
      <c r="AU10" s="180"/>
      <c r="AV10" s="179"/>
      <c r="AW10" s="180"/>
      <c r="AX10" s="179"/>
      <c r="AY10" s="34"/>
      <c r="AZ10" s="176"/>
      <c r="BA10" s="176"/>
      <c r="BB10" s="176"/>
      <c r="BC10" s="176"/>
      <c r="BD10" s="176"/>
      <c r="BE10" s="176"/>
      <c r="BF10" s="176"/>
      <c r="BG10" s="176"/>
    </row>
    <row r="11" spans="1:59" s="41" customFormat="1" ht="4.3499999999999996" customHeight="1">
      <c r="A11" s="43"/>
      <c r="B11" s="172"/>
      <c r="C11" s="19"/>
      <c r="D11" s="173"/>
      <c r="E11" s="173"/>
      <c r="F11" s="173"/>
      <c r="G11" s="173"/>
      <c r="H11" s="173"/>
      <c r="I11" s="19"/>
      <c r="J11" s="173"/>
      <c r="K11" s="173"/>
      <c r="L11" s="173"/>
      <c r="M11" s="173"/>
      <c r="N11" s="173"/>
      <c r="O11" s="174"/>
      <c r="P11" s="173"/>
      <c r="Q11" s="173"/>
      <c r="R11" s="173"/>
      <c r="S11" s="173"/>
      <c r="T11" s="173"/>
      <c r="U11" s="174"/>
      <c r="V11" s="173"/>
      <c r="W11" s="173"/>
      <c r="X11" s="173"/>
      <c r="Y11" s="173"/>
      <c r="Z11" s="173"/>
      <c r="AA11" s="174"/>
      <c r="AB11" s="173"/>
      <c r="AC11" s="173"/>
      <c r="AD11" s="173"/>
      <c r="AE11" s="173"/>
      <c r="AF11" s="173"/>
      <c r="AG11" s="204"/>
      <c r="AH11" s="173"/>
      <c r="AI11" s="173"/>
      <c r="AJ11" s="173"/>
      <c r="AK11" s="173"/>
      <c r="AL11" s="175"/>
      <c r="AM11" s="34"/>
      <c r="AN11" s="175"/>
      <c r="AO11" s="175"/>
      <c r="AP11" s="175"/>
      <c r="AQ11" s="175"/>
      <c r="AR11" s="175"/>
      <c r="AS11" s="34"/>
      <c r="AT11" s="175"/>
      <c r="AU11" s="34"/>
      <c r="AV11" s="175"/>
      <c r="AW11" s="34"/>
      <c r="AX11" s="175"/>
    </row>
    <row r="12" spans="1:59" s="54" customFormat="1" ht="15" customHeight="1">
      <c r="B12" s="45" t="s">
        <v>248</v>
      </c>
      <c r="C12" s="23"/>
      <c r="D12" s="66"/>
      <c r="E12" s="66"/>
      <c r="F12" s="66"/>
      <c r="G12" s="66"/>
      <c r="H12" s="47"/>
      <c r="I12" s="48"/>
      <c r="J12" s="66"/>
      <c r="K12" s="66"/>
      <c r="L12" s="66"/>
      <c r="M12" s="66"/>
      <c r="N12" s="47"/>
      <c r="O12" s="47"/>
      <c r="P12" s="66"/>
      <c r="Q12" s="66"/>
      <c r="R12" s="66"/>
      <c r="S12" s="66"/>
      <c r="T12" s="47"/>
      <c r="U12" s="47"/>
      <c r="V12" s="66"/>
      <c r="W12" s="66"/>
      <c r="X12" s="66"/>
      <c r="Y12" s="66"/>
      <c r="Z12" s="47"/>
      <c r="AA12" s="47"/>
      <c r="AB12" s="66"/>
      <c r="AC12" s="66"/>
      <c r="AD12" s="66"/>
      <c r="AE12" s="66"/>
      <c r="AF12" s="47"/>
      <c r="AG12" s="49"/>
      <c r="AH12" s="66"/>
      <c r="AI12" s="66"/>
      <c r="AJ12" s="68"/>
      <c r="AK12" s="68"/>
      <c r="AL12" s="47"/>
      <c r="AM12" s="51"/>
      <c r="AN12" s="68"/>
      <c r="AO12" s="68"/>
      <c r="AP12" s="68"/>
      <c r="AQ12" s="68"/>
      <c r="AR12" s="47"/>
      <c r="AS12" s="51"/>
      <c r="AT12" s="52"/>
      <c r="AU12" s="53"/>
      <c r="AV12" s="52"/>
      <c r="AW12" s="53"/>
      <c r="AX12" s="52"/>
    </row>
    <row r="13" spans="1:59" s="54" customFormat="1" ht="15" customHeight="1">
      <c r="A13" s="55"/>
      <c r="B13" s="56" t="s">
        <v>249</v>
      </c>
      <c r="C13" s="23"/>
      <c r="D13" s="46" t="s">
        <v>250</v>
      </c>
      <c r="E13" s="46"/>
      <c r="F13" s="46"/>
      <c r="G13" s="46"/>
      <c r="H13" s="47">
        <v>35513</v>
      </c>
      <c r="I13" s="48"/>
      <c r="J13" s="46"/>
      <c r="K13" s="46"/>
      <c r="L13" s="46"/>
      <c r="M13" s="46"/>
      <c r="N13" s="47">
        <v>42078</v>
      </c>
      <c r="O13" s="47"/>
      <c r="P13" s="46"/>
      <c r="Q13" s="46"/>
      <c r="R13" s="46"/>
      <c r="S13" s="46"/>
      <c r="T13" s="47">
        <v>45814</v>
      </c>
      <c r="U13" s="47"/>
      <c r="V13" s="46"/>
      <c r="W13" s="46"/>
      <c r="X13" s="46"/>
      <c r="Y13" s="46"/>
      <c r="Z13" s="47">
        <v>42743</v>
      </c>
      <c r="AA13" s="47"/>
      <c r="AB13" s="46"/>
      <c r="AC13" s="46"/>
      <c r="AD13" s="46"/>
      <c r="AE13" s="46"/>
      <c r="AF13" s="47">
        <v>40857</v>
      </c>
      <c r="AG13" s="49"/>
      <c r="AH13" s="46"/>
      <c r="AI13" s="46"/>
      <c r="AJ13" s="50"/>
      <c r="AK13" s="50"/>
      <c r="AL13" s="47">
        <f>FCFF!G29</f>
        <v>42470.915959999998</v>
      </c>
      <c r="AM13" s="51"/>
      <c r="AN13" s="50"/>
      <c r="AO13" s="50"/>
      <c r="AP13" s="50"/>
      <c r="AQ13" s="50"/>
      <c r="AR13" s="47">
        <f>FCFF!H29</f>
        <v>44276.431654024804</v>
      </c>
      <c r="AS13" s="51"/>
      <c r="AT13" s="52">
        <f>FCFF!J29</f>
        <v>46268.558101912662</v>
      </c>
      <c r="AU13" s="53"/>
      <c r="AV13" s="52">
        <f>FCFF!K29</f>
        <v>48342.211990763259</v>
      </c>
      <c r="AW13" s="53"/>
      <c r="AX13" s="52">
        <f>FCFF!L29</f>
        <v>49470.87350307485</v>
      </c>
    </row>
    <row r="14" spans="1:59" s="54" customFormat="1" ht="15" customHeight="1">
      <c r="A14" s="55"/>
      <c r="B14" s="56" t="s">
        <v>251</v>
      </c>
      <c r="C14" s="23"/>
      <c r="D14" s="46"/>
      <c r="E14" s="46"/>
      <c r="F14" s="46"/>
      <c r="G14" s="46"/>
      <c r="H14" s="47">
        <v>22733</v>
      </c>
      <c r="I14" s="48"/>
      <c r="J14" s="46"/>
      <c r="K14" s="46"/>
      <c r="L14" s="46"/>
      <c r="M14" s="46"/>
      <c r="N14" s="47">
        <v>30496</v>
      </c>
      <c r="O14" s="47"/>
      <c r="P14" s="46"/>
      <c r="Q14" s="46"/>
      <c r="R14" s="46"/>
      <c r="S14" s="46"/>
      <c r="T14" s="565">
        <v>33232</v>
      </c>
      <c r="U14" s="47"/>
      <c r="V14" s="46"/>
      <c r="W14" s="46"/>
      <c r="X14" s="46"/>
      <c r="Y14" s="46"/>
      <c r="Z14" s="565">
        <v>33507</v>
      </c>
      <c r="AA14" s="47"/>
      <c r="AB14" s="46"/>
      <c r="AC14" s="46"/>
      <c r="AD14" s="46"/>
      <c r="AE14" s="46"/>
      <c r="AF14" s="565">
        <v>34256</v>
      </c>
      <c r="AG14" s="49"/>
      <c r="AH14" s="46"/>
      <c r="AI14" s="46"/>
      <c r="AJ14" s="50"/>
      <c r="AK14" s="50"/>
      <c r="AL14" s="47">
        <f>FCFF!G30</f>
        <v>34238.509428601916</v>
      </c>
      <c r="AM14" s="51"/>
      <c r="AN14" s="50"/>
      <c r="AO14" s="50"/>
      <c r="AP14" s="50"/>
      <c r="AQ14" s="50"/>
      <c r="AR14" s="47">
        <f>FCFF!H30</f>
        <v>34749.475439885478</v>
      </c>
      <c r="AS14" s="51"/>
      <c r="AT14" s="52">
        <f>FCFF!J30</f>
        <v>35437.614064808171</v>
      </c>
      <c r="AU14" s="53"/>
      <c r="AV14" s="52">
        <f>FCFF!K30</f>
        <v>36284.567221719015</v>
      </c>
      <c r="AW14" s="53"/>
      <c r="AX14" s="52">
        <f>FCFF!L30</f>
        <v>35105.710117908835</v>
      </c>
    </row>
    <row r="15" spans="1:59" s="54" customFormat="1" ht="15" customHeight="1">
      <c r="A15" s="55"/>
      <c r="B15" s="56" t="s">
        <v>252</v>
      </c>
      <c r="C15" s="23"/>
      <c r="D15" s="46"/>
      <c r="E15" s="46"/>
      <c r="F15" s="46"/>
      <c r="G15" s="46"/>
      <c r="H15" s="47">
        <v>7102</v>
      </c>
      <c r="I15" s="48"/>
      <c r="J15" s="46"/>
      <c r="K15" s="46"/>
      <c r="L15" s="46"/>
      <c r="M15" s="46"/>
      <c r="N15" s="47">
        <v>7833</v>
      </c>
      <c r="O15" s="47"/>
      <c r="P15" s="46"/>
      <c r="Q15" s="46"/>
      <c r="R15" s="46"/>
      <c r="S15" s="46"/>
      <c r="T15" s="47">
        <v>9532</v>
      </c>
      <c r="U15" s="47"/>
      <c r="V15" s="46"/>
      <c r="W15" s="46"/>
      <c r="X15" s="46"/>
      <c r="Y15" s="46"/>
      <c r="Z15" s="47">
        <v>9632</v>
      </c>
      <c r="AA15" s="47"/>
      <c r="AB15" s="46"/>
      <c r="AC15" s="46"/>
      <c r="AD15" s="46"/>
      <c r="AE15" s="46"/>
      <c r="AF15" s="47">
        <v>9082</v>
      </c>
      <c r="AG15" s="49"/>
      <c r="AH15" s="46"/>
      <c r="AI15" s="46"/>
      <c r="AJ15" s="50"/>
      <c r="AK15" s="50"/>
      <c r="AL15" s="47">
        <f>FCFF!G31</f>
        <v>8990.1317139807888</v>
      </c>
      <c r="AM15" s="51"/>
      <c r="AN15" s="50"/>
      <c r="AO15" s="50"/>
      <c r="AP15" s="50"/>
      <c r="AQ15" s="50"/>
      <c r="AR15" s="47">
        <f>FCFF!H31</f>
        <v>9049.184872186659</v>
      </c>
      <c r="AS15" s="51"/>
      <c r="AT15" s="52">
        <f>FCFF!J31</f>
        <v>9164.0607895544363</v>
      </c>
      <c r="AU15" s="53"/>
      <c r="AV15" s="52">
        <f>FCFF!K31</f>
        <v>9328.2651678143557</v>
      </c>
      <c r="AW15" s="53"/>
      <c r="AX15" s="52">
        <f>FCFF!L31</f>
        <v>8791.5325434120059</v>
      </c>
    </row>
    <row r="16" spans="1:59" s="54" customFormat="1" ht="15" customHeight="1">
      <c r="A16" s="55"/>
      <c r="B16" s="56" t="s">
        <v>253</v>
      </c>
      <c r="C16" s="23"/>
      <c r="D16" s="46"/>
      <c r="E16" s="46"/>
      <c r="F16" s="46"/>
      <c r="G16" s="46"/>
      <c r="H16" s="57">
        <v>22</v>
      </c>
      <c r="I16" s="48"/>
      <c r="J16" s="46"/>
      <c r="K16" s="46"/>
      <c r="L16" s="46"/>
      <c r="M16" s="46"/>
      <c r="N16" s="57">
        <v>32</v>
      </c>
      <c r="O16" s="57"/>
      <c r="P16" s="46"/>
      <c r="Q16" s="46"/>
      <c r="R16" s="46"/>
      <c r="S16" s="46"/>
      <c r="T16" s="57">
        <v>253</v>
      </c>
      <c r="U16" s="57"/>
      <c r="V16" s="46"/>
      <c r="W16" s="46"/>
      <c r="X16" s="46"/>
      <c r="Y16" s="46"/>
      <c r="Z16" s="57">
        <v>301</v>
      </c>
      <c r="AA16" s="57"/>
      <c r="AB16" s="46"/>
      <c r="AC16" s="46"/>
      <c r="AD16" s="46"/>
      <c r="AE16" s="46"/>
      <c r="AF16" s="57">
        <v>260</v>
      </c>
      <c r="AG16" s="49"/>
      <c r="AH16" s="46"/>
      <c r="AI16" s="46"/>
      <c r="AJ16" s="50"/>
      <c r="AK16" s="50"/>
      <c r="AL16" s="640">
        <f>FCFF!G32</f>
        <v>267.8</v>
      </c>
      <c r="AM16" s="51"/>
      <c r="AN16" s="50"/>
      <c r="AO16" s="50"/>
      <c r="AP16" s="50"/>
      <c r="AQ16" s="50"/>
      <c r="AR16" s="640">
        <f>FCFF!H32</f>
        <v>275.834</v>
      </c>
      <c r="AS16" s="51"/>
      <c r="AT16" s="641">
        <f>FCFF!J32</f>
        <v>284.10901999999999</v>
      </c>
      <c r="AU16" s="641"/>
      <c r="AV16" s="641">
        <f>FCFF!K32</f>
        <v>292.63229059999998</v>
      </c>
      <c r="AW16" s="641"/>
      <c r="AX16" s="641">
        <f>FCFF!L32</f>
        <v>301.41125931799996</v>
      </c>
    </row>
    <row r="17" spans="2:50" s="54" customFormat="1" ht="15" customHeight="1">
      <c r="B17" s="566" t="s">
        <v>254</v>
      </c>
      <c r="C17" s="23"/>
      <c r="D17" s="46"/>
      <c r="E17" s="46"/>
      <c r="F17" s="46"/>
      <c r="G17" s="46"/>
      <c r="H17" s="57">
        <v>3847</v>
      </c>
      <c r="I17" s="48"/>
      <c r="J17" s="46"/>
      <c r="K17" s="46"/>
      <c r="L17" s="46"/>
      <c r="M17" s="46"/>
      <c r="N17" s="57">
        <v>3520</v>
      </c>
      <c r="O17" s="57"/>
      <c r="P17" s="46"/>
      <c r="Q17" s="46"/>
      <c r="R17" s="46"/>
      <c r="S17" s="46"/>
      <c r="T17" s="57">
        <v>4681</v>
      </c>
      <c r="U17" s="57"/>
      <c r="V17" s="46"/>
      <c r="W17" s="46"/>
      <c r="X17" s="46"/>
      <c r="Y17" s="46"/>
      <c r="Z17" s="57">
        <v>3972</v>
      </c>
      <c r="AA17" s="57"/>
      <c r="AB17" s="46"/>
      <c r="AC17" s="46"/>
      <c r="AD17" s="46"/>
      <c r="AE17" s="46"/>
      <c r="AF17" s="57">
        <v>3238</v>
      </c>
      <c r="AG17" s="49"/>
      <c r="AH17" s="46"/>
      <c r="AI17" s="46"/>
      <c r="AJ17" s="50"/>
      <c r="AK17" s="50"/>
      <c r="AL17" s="640">
        <f>FCFF!G33</f>
        <v>3909.3206844104061</v>
      </c>
      <c r="AM17" s="51"/>
      <c r="AN17" s="50"/>
      <c r="AO17" s="50"/>
      <c r="AP17" s="50"/>
      <c r="AQ17" s="50"/>
      <c r="AR17" s="640">
        <f>FCFF!H33</f>
        <v>3823.6973986423159</v>
      </c>
      <c r="AS17" s="51"/>
      <c r="AT17" s="641">
        <f>FCFF!J33</f>
        <v>3860.4760599302886</v>
      </c>
      <c r="AU17" s="53"/>
      <c r="AV17" s="641">
        <f>FCFF!K33</f>
        <v>4122.2675301189756</v>
      </c>
      <c r="AW17" s="53"/>
      <c r="AX17" s="641">
        <f>FCFF!L33</f>
        <v>4039.5436957818638</v>
      </c>
    </row>
    <row r="18" spans="2:50" s="54" customFormat="1" ht="15" customHeight="1">
      <c r="B18" s="59" t="s">
        <v>255</v>
      </c>
      <c r="C18" s="23"/>
      <c r="D18" s="62">
        <f>IS!D18</f>
        <v>17048</v>
      </c>
      <c r="E18" s="62">
        <f>IS!E18</f>
        <v>17324</v>
      </c>
      <c r="F18" s="62">
        <f>IS!F18</f>
        <v>17487</v>
      </c>
      <c r="G18" s="62">
        <f>IS!G18</f>
        <v>17358</v>
      </c>
      <c r="H18" s="63">
        <f>IS!H18</f>
        <v>69217</v>
      </c>
      <c r="I18" s="96"/>
      <c r="J18" s="62">
        <f>IS!J18</f>
        <v>19321</v>
      </c>
      <c r="K18" s="62">
        <f>IS!K18</f>
        <v>20563</v>
      </c>
      <c r="L18" s="62">
        <f>IS!L18</f>
        <v>21510</v>
      </c>
      <c r="M18" s="62">
        <f>IS!M18</f>
        <v>22565</v>
      </c>
      <c r="N18" s="63">
        <f>IS!N18</f>
        <v>83959</v>
      </c>
      <c r="O18" s="52"/>
      <c r="P18" s="62">
        <f>IS!P18</f>
        <v>22003</v>
      </c>
      <c r="Q18" s="62">
        <f>IS!Q18</f>
        <v>23474</v>
      </c>
      <c r="R18" s="62">
        <f>IS!R18</f>
        <v>23641</v>
      </c>
      <c r="S18" s="62">
        <f>IS!S18</f>
        <v>24394</v>
      </c>
      <c r="T18" s="63">
        <f>IS!T18</f>
        <v>93512</v>
      </c>
      <c r="U18" s="52"/>
      <c r="V18" s="62">
        <f>IS!V18</f>
        <v>23242</v>
      </c>
      <c r="W18" s="62">
        <f>IS!W18</f>
        <v>22814</v>
      </c>
      <c r="X18" s="62">
        <f>IS!X18</f>
        <v>22169</v>
      </c>
      <c r="Y18" s="62">
        <f>IS!Y18</f>
        <v>21930</v>
      </c>
      <c r="Z18" s="63">
        <f>IS!Z18</f>
        <v>90155</v>
      </c>
      <c r="AA18" s="52"/>
      <c r="AB18" s="62">
        <f>IS!AB18</f>
        <v>21681</v>
      </c>
      <c r="AC18" s="62">
        <f>IS!AC18</f>
        <v>22165</v>
      </c>
      <c r="AD18" s="62">
        <f>IS!AD18</f>
        <v>21738</v>
      </c>
      <c r="AE18" s="62">
        <f>IS!AE18</f>
        <v>22109</v>
      </c>
      <c r="AF18" s="63">
        <f>IS!AF18</f>
        <v>87693</v>
      </c>
      <c r="AG18" s="427"/>
      <c r="AH18" s="62">
        <f>IS!AH18</f>
        <v>21579</v>
      </c>
      <c r="AI18" s="62">
        <f>IS!AI18</f>
        <v>21967</v>
      </c>
      <c r="AJ18" s="62">
        <f>IS!AJ18</f>
        <v>0</v>
      </c>
      <c r="AK18" s="62">
        <f>IS!AK18</f>
        <v>0</v>
      </c>
      <c r="AL18" s="63">
        <f>SUM(AL13:AL17)</f>
        <v>89876.677786993125</v>
      </c>
      <c r="AM18" s="53"/>
      <c r="AN18" s="62">
        <f>IS!AN18</f>
        <v>0</v>
      </c>
      <c r="AO18" s="62">
        <f>IS!AO18</f>
        <v>0</v>
      </c>
      <c r="AP18" s="62">
        <f>IS!AP18</f>
        <v>0</v>
      </c>
      <c r="AQ18" s="62">
        <f>IS!AQ18</f>
        <v>0</v>
      </c>
      <c r="AR18" s="63">
        <f>SUM(AR13:AR17)</f>
        <v>92174.623364739251</v>
      </c>
      <c r="AS18" s="53"/>
      <c r="AT18" s="63">
        <f>SUM(AT13:AT17)</f>
        <v>95014.818036205557</v>
      </c>
      <c r="AU18" s="53"/>
      <c r="AV18" s="63">
        <f>SUM(AV13:AV17)</f>
        <v>98369.944201015605</v>
      </c>
      <c r="AW18" s="53"/>
      <c r="AX18" s="63">
        <f>SUM(AX13:AX17)</f>
        <v>97709.071119495551</v>
      </c>
    </row>
    <row r="19" spans="2:50" ht="15" customHeight="1">
      <c r="AG19" s="205"/>
    </row>
    <row r="20" spans="2:50" ht="15" customHeight="1">
      <c r="B20" s="45" t="s">
        <v>256</v>
      </c>
      <c r="AG20" s="205"/>
    </row>
    <row r="21" spans="2:50" ht="15" customHeight="1">
      <c r="B21" s="56" t="s">
        <v>257</v>
      </c>
      <c r="D21" s="46"/>
      <c r="E21" s="46"/>
      <c r="F21" s="46"/>
      <c r="G21" s="46"/>
      <c r="H21" s="47">
        <v>48404</v>
      </c>
      <c r="I21" s="48"/>
      <c r="J21" s="46"/>
      <c r="K21" s="46"/>
      <c r="L21" s="46"/>
      <c r="M21" s="46"/>
      <c r="N21" s="47">
        <v>58792</v>
      </c>
      <c r="O21" s="47"/>
      <c r="P21" s="46"/>
      <c r="Q21" s="46"/>
      <c r="R21" s="46"/>
      <c r="S21" s="46"/>
      <c r="T21" s="47">
        <v>64941</v>
      </c>
      <c r="U21" s="47"/>
      <c r="V21" s="46"/>
      <c r="W21" s="46"/>
      <c r="X21" s="46"/>
      <c r="Y21" s="46"/>
      <c r="Z21" s="47">
        <v>64890</v>
      </c>
      <c r="AA21" s="47"/>
      <c r="AB21" s="46"/>
      <c r="AC21" s="46"/>
      <c r="AD21" s="46"/>
      <c r="AE21" s="46"/>
      <c r="AF21" s="47">
        <v>63531</v>
      </c>
      <c r="AG21" s="49"/>
      <c r="AH21" s="46"/>
      <c r="AI21" s="46"/>
      <c r="AJ21" s="50"/>
      <c r="AK21" s="50"/>
      <c r="AL21" s="47">
        <f>FCFF!G48</f>
        <v>64274.068396625175</v>
      </c>
      <c r="AM21" s="51"/>
      <c r="AN21" s="50"/>
      <c r="AO21" s="50"/>
      <c r="AP21" s="50"/>
      <c r="AQ21" s="50"/>
      <c r="AR21" s="47">
        <f>FCFF!H48</f>
        <v>65667.9848954216</v>
      </c>
      <c r="AS21" s="51"/>
      <c r="AT21" s="52">
        <f>FCFF!J48</f>
        <v>67261.050981194494</v>
      </c>
      <c r="AU21" s="53"/>
      <c r="AV21" s="52">
        <f>FCFF!K48</f>
        <v>69148.065029432721</v>
      </c>
      <c r="AW21" s="53"/>
      <c r="AX21" s="52">
        <f>FCFF!L48</f>
        <v>67982.178585487942</v>
      </c>
    </row>
    <row r="22" spans="2:50" ht="15" customHeight="1">
      <c r="B22" s="56" t="s">
        <v>258</v>
      </c>
      <c r="D22" s="46"/>
      <c r="E22" s="46"/>
      <c r="F22" s="46"/>
      <c r="G22" s="46"/>
      <c r="H22" s="47">
        <v>20813</v>
      </c>
      <c r="I22" s="48"/>
      <c r="J22" s="46"/>
      <c r="K22" s="46"/>
      <c r="L22" s="46"/>
      <c r="M22" s="46"/>
      <c r="N22" s="47">
        <v>25167</v>
      </c>
      <c r="O22" s="47"/>
      <c r="P22" s="46"/>
      <c r="Q22" s="46"/>
      <c r="R22" s="46"/>
      <c r="S22" s="46"/>
      <c r="T22" s="47">
        <v>28571</v>
      </c>
      <c r="U22" s="47"/>
      <c r="V22" s="46"/>
      <c r="W22" s="46"/>
      <c r="X22" s="46"/>
      <c r="Y22" s="46"/>
      <c r="Z22" s="47">
        <v>25265</v>
      </c>
      <c r="AA22" s="47"/>
      <c r="AB22" s="46"/>
      <c r="AC22" s="46"/>
      <c r="AD22" s="46"/>
      <c r="AE22" s="46"/>
      <c r="AF22" s="47">
        <v>24162</v>
      </c>
      <c r="AG22" s="49"/>
      <c r="AH22" s="46"/>
      <c r="AI22" s="46"/>
      <c r="AJ22" s="50"/>
      <c r="AK22" s="50"/>
      <c r="AL22" s="47">
        <f>FCFF!G59</f>
        <v>24340.677800000001</v>
      </c>
      <c r="AM22" s="51"/>
      <c r="AN22" s="50"/>
      <c r="AO22" s="50"/>
      <c r="AP22" s="50"/>
      <c r="AQ22" s="50"/>
      <c r="AR22" s="47">
        <f>FCFF!H59</f>
        <v>25421.691687295192</v>
      </c>
      <c r="AS22" s="51"/>
      <c r="AT22" s="52">
        <f>FCFF!J59</f>
        <v>26623.95868669734</v>
      </c>
      <c r="AU22" s="53"/>
      <c r="AV22" s="52">
        <f>FCFF!K59</f>
        <v>27946.063816245634</v>
      </c>
      <c r="AW22" s="53"/>
      <c r="AX22" s="52">
        <f>FCFF!L59</f>
        <v>28485.253158257445</v>
      </c>
    </row>
    <row r="23" spans="2:50" ht="15" customHeight="1">
      <c r="B23" s="56"/>
      <c r="D23" s="46"/>
      <c r="E23" s="46"/>
      <c r="F23" s="46"/>
      <c r="G23" s="46"/>
      <c r="H23" s="47"/>
      <c r="I23" s="48"/>
      <c r="J23" s="46"/>
      <c r="K23" s="46"/>
      <c r="L23" s="46"/>
      <c r="M23" s="46"/>
      <c r="N23" s="47"/>
      <c r="O23" s="47"/>
      <c r="P23" s="46"/>
      <c r="Q23" s="46"/>
      <c r="R23" s="46"/>
      <c r="S23" s="46"/>
      <c r="T23" s="47"/>
      <c r="U23" s="47"/>
      <c r="V23" s="46"/>
      <c r="W23" s="46"/>
      <c r="X23" s="46"/>
      <c r="Y23" s="46"/>
      <c r="Z23" s="47"/>
      <c r="AA23" s="47"/>
      <c r="AB23" s="46"/>
      <c r="AC23" s="46"/>
      <c r="AD23" s="46"/>
      <c r="AE23" s="46"/>
      <c r="AF23" s="47"/>
      <c r="AG23" s="49"/>
      <c r="AH23" s="46"/>
      <c r="AI23" s="46"/>
      <c r="AJ23" s="50"/>
      <c r="AK23" s="50"/>
      <c r="AL23" s="47"/>
      <c r="AM23" s="51"/>
      <c r="AN23" s="50"/>
      <c r="AO23" s="50"/>
      <c r="AP23" s="50"/>
      <c r="AQ23" s="50"/>
      <c r="AR23" s="47"/>
      <c r="AS23" s="51"/>
      <c r="AT23" s="52"/>
      <c r="AU23" s="53"/>
      <c r="AV23" s="52"/>
      <c r="AW23" s="53"/>
      <c r="AX23" s="52"/>
    </row>
    <row r="24" spans="2:50" ht="15" customHeight="1">
      <c r="B24" s="56"/>
      <c r="D24" s="46"/>
      <c r="E24" s="46"/>
      <c r="F24" s="46"/>
      <c r="G24" s="46"/>
      <c r="H24" s="57"/>
      <c r="I24" s="48"/>
      <c r="J24" s="46"/>
      <c r="K24" s="46"/>
      <c r="L24" s="46"/>
      <c r="M24" s="46"/>
      <c r="N24" s="57"/>
      <c r="O24" s="57"/>
      <c r="P24" s="46"/>
      <c r="Q24" s="46"/>
      <c r="R24" s="46"/>
      <c r="S24" s="46"/>
      <c r="T24" s="57"/>
      <c r="U24" s="57"/>
      <c r="V24" s="46"/>
      <c r="W24" s="46"/>
      <c r="X24" s="46"/>
      <c r="Y24" s="46"/>
      <c r="Z24" s="57"/>
      <c r="AA24" s="57"/>
      <c r="AB24" s="46"/>
      <c r="AC24" s="46"/>
      <c r="AD24" s="46"/>
      <c r="AE24" s="46"/>
      <c r="AF24" s="57"/>
      <c r="AG24" s="49"/>
      <c r="AH24" s="46"/>
      <c r="AI24" s="46"/>
      <c r="AJ24" s="50"/>
      <c r="AK24" s="50"/>
      <c r="AL24" s="57"/>
      <c r="AM24" s="51"/>
      <c r="AN24" s="50"/>
      <c r="AO24" s="50"/>
      <c r="AP24" s="50"/>
      <c r="AQ24" s="50"/>
      <c r="AR24" s="57"/>
      <c r="AS24" s="51"/>
      <c r="AT24" s="58"/>
      <c r="AU24" s="53"/>
      <c r="AV24" s="58"/>
      <c r="AW24" s="53"/>
      <c r="AX24" s="58"/>
    </row>
    <row r="25" spans="2:50" ht="15" customHeight="1">
      <c r="B25" s="56"/>
      <c r="D25" s="46"/>
      <c r="E25" s="46"/>
      <c r="F25" s="46"/>
      <c r="G25" s="46"/>
      <c r="H25" s="57"/>
      <c r="I25" s="48"/>
      <c r="J25" s="46"/>
      <c r="K25" s="46"/>
      <c r="L25" s="46"/>
      <c r="M25" s="46"/>
      <c r="N25" s="57"/>
      <c r="O25" s="57"/>
      <c r="P25" s="46"/>
      <c r="Q25" s="46"/>
      <c r="R25" s="46"/>
      <c r="S25" s="46"/>
      <c r="T25" s="57"/>
      <c r="U25" s="57"/>
      <c r="V25" s="46"/>
      <c r="W25" s="46"/>
      <c r="X25" s="46"/>
      <c r="Y25" s="46"/>
      <c r="Z25" s="57"/>
      <c r="AA25" s="57"/>
      <c r="AB25" s="46"/>
      <c r="AC25" s="46"/>
      <c r="AD25" s="46"/>
      <c r="AE25" s="46"/>
      <c r="AF25" s="57"/>
      <c r="AG25" s="49"/>
      <c r="AH25" s="46"/>
      <c r="AI25" s="46"/>
      <c r="AJ25" s="50"/>
      <c r="AK25" s="50"/>
      <c r="AL25" s="57"/>
      <c r="AM25" s="51"/>
      <c r="AN25" s="50"/>
      <c r="AO25" s="50"/>
      <c r="AP25" s="50"/>
      <c r="AQ25" s="50"/>
      <c r="AR25" s="57"/>
      <c r="AS25" s="51"/>
      <c r="AT25" s="58"/>
      <c r="AU25" s="53"/>
      <c r="AV25" s="58"/>
      <c r="AW25" s="53"/>
      <c r="AX25" s="58"/>
    </row>
    <row r="26" spans="2:50" ht="15" customHeight="1">
      <c r="B26" s="59" t="s">
        <v>255</v>
      </c>
      <c r="D26" s="62">
        <f>IS!D18</f>
        <v>17048</v>
      </c>
      <c r="E26" s="62">
        <f>IS!E18</f>
        <v>17324</v>
      </c>
      <c r="F26" s="62">
        <f>IS!F18</f>
        <v>17487</v>
      </c>
      <c r="G26" s="62">
        <f>IS!G18</f>
        <v>17358</v>
      </c>
      <c r="H26" s="63">
        <f>IS!H18</f>
        <v>69217</v>
      </c>
      <c r="I26" s="96"/>
      <c r="J26" s="62">
        <f>IS!J18</f>
        <v>19321</v>
      </c>
      <c r="K26" s="62">
        <f>IS!K18</f>
        <v>20563</v>
      </c>
      <c r="L26" s="62">
        <f>IS!L18</f>
        <v>21510</v>
      </c>
      <c r="M26" s="62">
        <f>IS!M18</f>
        <v>22565</v>
      </c>
      <c r="N26" s="63">
        <f>IS!N18</f>
        <v>83959</v>
      </c>
      <c r="O26" s="52"/>
      <c r="P26" s="62">
        <f>IS!P18</f>
        <v>22003</v>
      </c>
      <c r="Q26" s="62">
        <f>IS!Q18</f>
        <v>23474</v>
      </c>
      <c r="R26" s="62">
        <f>IS!R18</f>
        <v>23641</v>
      </c>
      <c r="S26" s="62">
        <f>IS!S18</f>
        <v>24394</v>
      </c>
      <c r="T26" s="63">
        <f>IS!T18</f>
        <v>93512</v>
      </c>
      <c r="U26" s="52"/>
      <c r="V26" s="62">
        <f>IS!V18</f>
        <v>23242</v>
      </c>
      <c r="W26" s="62">
        <f>IS!W18</f>
        <v>22814</v>
      </c>
      <c r="X26" s="62">
        <f>IS!X18</f>
        <v>22169</v>
      </c>
      <c r="Y26" s="62">
        <f>IS!Y18</f>
        <v>21930</v>
      </c>
      <c r="Z26" s="63">
        <f>IS!Z18</f>
        <v>90155</v>
      </c>
      <c r="AA26" s="52"/>
      <c r="AB26" s="62">
        <f>IS!AB18</f>
        <v>21681</v>
      </c>
      <c r="AC26" s="62">
        <f>IS!AC18</f>
        <v>22165</v>
      </c>
      <c r="AD26" s="62">
        <f>IS!AD18</f>
        <v>21738</v>
      </c>
      <c r="AE26" s="62">
        <f>IS!AE18</f>
        <v>22109</v>
      </c>
      <c r="AF26" s="63">
        <f>IS!AF18</f>
        <v>87693</v>
      </c>
      <c r="AG26" s="427"/>
      <c r="AH26" s="62">
        <f>IS!AH18</f>
        <v>21579</v>
      </c>
      <c r="AI26" s="62">
        <f>IS!AI18</f>
        <v>21967</v>
      </c>
      <c r="AJ26" s="62">
        <f>IS!AJ18</f>
        <v>0</v>
      </c>
      <c r="AK26" s="62">
        <f>IS!AK18</f>
        <v>0</v>
      </c>
      <c r="AL26" s="63">
        <f>SUM(AL21:AL22)</f>
        <v>88614.746196625172</v>
      </c>
      <c r="AM26" s="53"/>
      <c r="AN26" s="62">
        <f>IS!AN18</f>
        <v>0</v>
      </c>
      <c r="AO26" s="62">
        <f>IS!AO18</f>
        <v>0</v>
      </c>
      <c r="AP26" s="62">
        <f>IS!AP18</f>
        <v>0</v>
      </c>
      <c r="AQ26" s="62">
        <f>IS!AQ18</f>
        <v>0</v>
      </c>
      <c r="AR26" s="63">
        <f>SUM(AR21:AR22)</f>
        <v>91089.676582716784</v>
      </c>
      <c r="AS26" s="53"/>
      <c r="AT26" s="63">
        <f>SUM(AT21:AT22)</f>
        <v>93885.009667891834</v>
      </c>
      <c r="AU26" s="53"/>
      <c r="AV26" s="63">
        <f>SUM(AV21:AV22)</f>
        <v>97094.128845678351</v>
      </c>
      <c r="AW26" s="53"/>
      <c r="AX26" s="63">
        <f>SUM(AX21:AX22)</f>
        <v>96467.431743745386</v>
      </c>
    </row>
    <row r="27" spans="2:50" ht="15" customHeight="1">
      <c r="AG27" s="205"/>
    </row>
    <row r="28" spans="2:50" ht="15" customHeight="1">
      <c r="B28" s="97" t="s">
        <v>259</v>
      </c>
      <c r="AG28" s="205"/>
    </row>
    <row r="29" spans="2:50" ht="15" customHeight="1">
      <c r="B29" s="56" t="s">
        <v>260</v>
      </c>
      <c r="D29" s="46"/>
      <c r="E29" s="46"/>
      <c r="F29" s="46"/>
      <c r="G29" s="46"/>
      <c r="J29" s="46"/>
      <c r="K29" s="46"/>
      <c r="L29" s="46"/>
      <c r="M29" s="46"/>
      <c r="P29" s="46"/>
      <c r="Q29" s="46"/>
      <c r="R29" s="46"/>
      <c r="S29" s="46"/>
      <c r="V29" s="46"/>
      <c r="W29" s="46"/>
      <c r="X29" s="46"/>
      <c r="Y29" s="46"/>
      <c r="AB29" s="46"/>
      <c r="AC29" s="46"/>
      <c r="AD29" s="46"/>
      <c r="AE29" s="46"/>
      <c r="AG29" s="205"/>
      <c r="AH29" s="46"/>
      <c r="AI29" s="46"/>
      <c r="AJ29" s="46"/>
      <c r="AK29" s="46"/>
      <c r="AN29" s="46"/>
      <c r="AO29" s="46"/>
      <c r="AP29" s="46"/>
      <c r="AQ29" s="46"/>
    </row>
    <row r="30" spans="2:50" ht="15" customHeight="1">
      <c r="B30" s="56" t="s">
        <v>261</v>
      </c>
      <c r="D30" s="46"/>
      <c r="E30" s="46"/>
      <c r="F30" s="46"/>
      <c r="G30" s="46"/>
      <c r="J30" s="46"/>
      <c r="K30" s="46"/>
      <c r="L30" s="46"/>
      <c r="M30" s="46"/>
      <c r="P30" s="46"/>
      <c r="Q30" s="46"/>
      <c r="R30" s="46"/>
      <c r="S30" s="46"/>
      <c r="V30" s="46"/>
      <c r="W30" s="46"/>
      <c r="X30" s="46"/>
      <c r="Y30" s="46"/>
      <c r="AB30" s="46"/>
      <c r="AC30" s="46"/>
      <c r="AD30" s="46"/>
      <c r="AE30" s="46"/>
      <c r="AG30" s="205"/>
      <c r="AH30" s="46"/>
      <c r="AI30" s="46"/>
      <c r="AJ30" s="46"/>
      <c r="AK30" s="46"/>
      <c r="AN30" s="46"/>
      <c r="AO30" s="46"/>
      <c r="AP30" s="46"/>
      <c r="AQ30" s="46"/>
      <c r="AR30" s="294"/>
      <c r="AV30" s="572"/>
    </row>
    <row r="31" spans="2:50" ht="15" customHeight="1">
      <c r="B31" s="56" t="s">
        <v>262</v>
      </c>
      <c r="D31" s="46"/>
      <c r="E31" s="46"/>
      <c r="F31" s="46"/>
      <c r="G31" s="46"/>
      <c r="J31" s="46"/>
      <c r="K31" s="46"/>
      <c r="L31" s="46"/>
      <c r="M31" s="46"/>
      <c r="P31" s="46"/>
      <c r="Q31" s="46"/>
      <c r="R31" s="46"/>
      <c r="S31" s="46"/>
      <c r="V31" s="46"/>
      <c r="W31" s="46"/>
      <c r="X31" s="46"/>
      <c r="Y31" s="46"/>
      <c r="AB31" s="46"/>
      <c r="AC31" s="46"/>
      <c r="AD31" s="46"/>
      <c r="AE31" s="46"/>
      <c r="AG31" s="205"/>
      <c r="AH31" s="46"/>
      <c r="AI31" s="46"/>
      <c r="AJ31" s="46"/>
      <c r="AK31" s="46"/>
      <c r="AN31" s="46"/>
      <c r="AO31" s="46"/>
      <c r="AP31" s="46"/>
      <c r="AQ31" s="46"/>
    </row>
    <row r="32" spans="2:50" ht="15" customHeight="1">
      <c r="B32" s="56" t="s">
        <v>263</v>
      </c>
      <c r="D32" s="46"/>
      <c r="E32" s="46"/>
      <c r="F32" s="46"/>
      <c r="G32" s="46"/>
      <c r="J32" s="46"/>
      <c r="K32" s="46"/>
      <c r="L32" s="46"/>
      <c r="M32" s="46"/>
      <c r="P32" s="46"/>
      <c r="Q32" s="46"/>
      <c r="R32" s="46"/>
      <c r="S32" s="46"/>
      <c r="V32" s="46"/>
      <c r="W32" s="46"/>
      <c r="X32" s="46"/>
      <c r="Y32" s="46"/>
      <c r="AB32" s="46"/>
      <c r="AC32" s="46"/>
      <c r="AD32" s="46"/>
      <c r="AE32" s="46"/>
      <c r="AG32" s="205"/>
      <c r="AH32" s="46"/>
      <c r="AI32" s="46"/>
      <c r="AJ32" s="46"/>
      <c r="AK32" s="46"/>
      <c r="AN32" s="46"/>
      <c r="AO32" s="46"/>
      <c r="AP32" s="46"/>
      <c r="AQ32" s="46"/>
    </row>
    <row r="33" spans="1:50" ht="15" customHeight="1">
      <c r="B33" s="56" t="s">
        <v>264</v>
      </c>
      <c r="D33" s="46"/>
      <c r="E33" s="46"/>
      <c r="F33" s="46"/>
      <c r="G33" s="46"/>
      <c r="J33" s="46"/>
      <c r="K33" s="46"/>
      <c r="L33" s="46"/>
      <c r="M33" s="46"/>
      <c r="P33" s="46"/>
      <c r="Q33" s="46"/>
      <c r="R33" s="46"/>
      <c r="S33" s="46"/>
      <c r="V33" s="46"/>
      <c r="W33" s="46"/>
      <c r="X33" s="46"/>
      <c r="Y33" s="46"/>
      <c r="AB33" s="46"/>
      <c r="AC33" s="46"/>
      <c r="AD33" s="46"/>
      <c r="AE33" s="46"/>
      <c r="AG33" s="205"/>
      <c r="AH33" s="46"/>
      <c r="AI33" s="46"/>
      <c r="AJ33" s="46"/>
      <c r="AK33" s="46"/>
      <c r="AN33" s="46"/>
      <c r="AO33" s="46"/>
      <c r="AP33" s="46"/>
      <c r="AQ33" s="46"/>
    </row>
    <row r="35" spans="1:50" ht="15" customHeight="1">
      <c r="A35" s="44" t="s">
        <v>37</v>
      </c>
      <c r="B35" s="161" t="s">
        <v>265</v>
      </c>
      <c r="C35" s="164"/>
      <c r="D35" s="164"/>
      <c r="E35" s="164"/>
      <c r="F35" s="164"/>
      <c r="G35" s="164"/>
      <c r="H35" s="164"/>
      <c r="I35" s="164"/>
      <c r="J35" s="164"/>
      <c r="K35" s="164"/>
      <c r="L35" s="164"/>
      <c r="M35" s="164"/>
      <c r="N35" s="164"/>
      <c r="O35" s="164"/>
      <c r="P35" s="164"/>
      <c r="Q35" s="164"/>
      <c r="R35" s="164"/>
      <c r="S35" s="164"/>
      <c r="T35" s="164"/>
      <c r="U35" s="164"/>
      <c r="V35" s="164"/>
      <c r="W35" s="164"/>
      <c r="X35" s="164"/>
      <c r="Y35" s="164"/>
      <c r="Z35" s="164"/>
      <c r="AA35" s="164"/>
      <c r="AB35" s="164"/>
      <c r="AC35" s="164"/>
      <c r="AD35" s="164"/>
      <c r="AE35" s="164"/>
      <c r="AF35" s="164"/>
      <c r="AG35" s="164"/>
      <c r="AH35" s="164"/>
      <c r="AI35" s="164"/>
      <c r="AJ35" s="164"/>
      <c r="AK35" s="164"/>
      <c r="AL35" s="164"/>
      <c r="AM35" s="164"/>
      <c r="AN35" s="164"/>
      <c r="AO35" s="164"/>
      <c r="AP35" s="164"/>
      <c r="AQ35" s="164"/>
      <c r="AR35" s="164"/>
      <c r="AS35" s="164"/>
      <c r="AT35" s="164"/>
      <c r="AU35" s="164"/>
      <c r="AV35" s="164"/>
      <c r="AW35" s="164"/>
      <c r="AX35" s="164"/>
    </row>
    <row r="36" spans="1:50" ht="15" customHeight="1">
      <c r="B36" s="164"/>
      <c r="C36" s="164"/>
      <c r="D36" s="164"/>
      <c r="E36" s="164"/>
      <c r="F36" s="164"/>
      <c r="G36" s="164"/>
      <c r="H36" s="164"/>
      <c r="I36" s="164"/>
      <c r="J36" s="164"/>
      <c r="K36" s="164"/>
      <c r="L36" s="164"/>
      <c r="M36" s="164"/>
      <c r="N36" s="164"/>
      <c r="O36" s="164"/>
      <c r="P36" s="164"/>
      <c r="Q36" s="164"/>
      <c r="R36" s="164"/>
      <c r="S36" s="164"/>
      <c r="T36" s="164"/>
      <c r="U36" s="164"/>
      <c r="V36" s="164"/>
      <c r="W36" s="164"/>
      <c r="X36" s="164"/>
      <c r="Y36" s="164"/>
      <c r="Z36" s="164"/>
      <c r="AA36" s="164"/>
      <c r="AB36" s="164"/>
      <c r="AC36" s="164"/>
      <c r="AD36" s="164"/>
      <c r="AE36" s="164"/>
      <c r="AF36" s="164"/>
      <c r="AG36" s="164"/>
      <c r="AH36" s="164"/>
      <c r="AI36" s="164"/>
      <c r="AJ36" s="164"/>
      <c r="AK36" s="164"/>
      <c r="AL36" s="164"/>
      <c r="AM36" s="164"/>
      <c r="AN36" s="164"/>
      <c r="AO36" s="164"/>
      <c r="AP36" s="164"/>
      <c r="AQ36" s="164"/>
      <c r="AR36" s="164"/>
      <c r="AS36" s="164"/>
      <c r="AT36" s="164"/>
      <c r="AU36" s="164"/>
      <c r="AV36" s="164"/>
      <c r="AW36" s="164"/>
      <c r="AX36" s="164"/>
    </row>
    <row r="37" spans="1:50" ht="15" customHeight="1">
      <c r="B37" s="164"/>
      <c r="C37" s="164"/>
      <c r="D37" s="164"/>
      <c r="E37" s="164"/>
      <c r="F37" s="164"/>
      <c r="G37" s="164"/>
      <c r="H37" s="164"/>
      <c r="I37" s="164"/>
      <c r="J37" s="164"/>
      <c r="K37" s="164"/>
      <c r="L37" s="164"/>
      <c r="M37" s="164"/>
      <c r="N37" s="164"/>
      <c r="O37" s="164"/>
      <c r="P37" s="164"/>
      <c r="Q37" s="164"/>
      <c r="R37" s="164"/>
      <c r="S37" s="164"/>
      <c r="T37" s="164"/>
      <c r="U37" s="164"/>
      <c r="V37" s="164"/>
      <c r="W37" s="164"/>
      <c r="X37" s="164"/>
      <c r="Y37" s="164"/>
      <c r="Z37" s="164"/>
      <c r="AA37" s="164"/>
      <c r="AB37" s="164"/>
      <c r="AC37" s="164"/>
      <c r="AD37" s="164"/>
      <c r="AE37" s="164"/>
      <c r="AF37" s="164"/>
      <c r="AG37" s="164"/>
      <c r="AH37" s="164"/>
      <c r="AI37" s="164"/>
      <c r="AJ37" s="164"/>
      <c r="AK37" s="164"/>
      <c r="AL37" s="164"/>
      <c r="AM37" s="164"/>
      <c r="AN37" s="164"/>
      <c r="AO37" s="164"/>
      <c r="AP37" s="164"/>
      <c r="AQ37" s="164"/>
      <c r="AR37" s="164"/>
      <c r="AS37" s="164"/>
      <c r="AT37" s="164"/>
      <c r="AU37" s="164"/>
      <c r="AV37" s="164"/>
      <c r="AW37" s="164"/>
      <c r="AX37" s="164"/>
    </row>
    <row r="38" spans="1:50" ht="4.3499999999999996" customHeight="1">
      <c r="B38" s="176"/>
      <c r="C38" s="176"/>
      <c r="D38" s="176"/>
      <c r="E38" s="176"/>
      <c r="F38" s="176"/>
      <c r="G38" s="176"/>
      <c r="H38" s="176"/>
      <c r="I38" s="176"/>
      <c r="J38" s="176"/>
      <c r="K38" s="176"/>
      <c r="L38" s="176"/>
      <c r="M38" s="176"/>
      <c r="N38" s="176"/>
      <c r="O38" s="176"/>
      <c r="P38" s="176"/>
      <c r="Q38" s="176"/>
      <c r="R38" s="176"/>
      <c r="S38" s="176"/>
      <c r="T38" s="176"/>
      <c r="U38" s="176"/>
      <c r="V38" s="176"/>
      <c r="W38" s="176"/>
      <c r="X38" s="176"/>
      <c r="Y38" s="176"/>
      <c r="Z38" s="176"/>
      <c r="AA38" s="176"/>
      <c r="AB38" s="176"/>
      <c r="AC38" s="176"/>
      <c r="AD38" s="176"/>
      <c r="AE38" s="176"/>
      <c r="AF38" s="176"/>
      <c r="AG38" s="176"/>
      <c r="AH38" s="176"/>
      <c r="AI38" s="176"/>
      <c r="AJ38" s="176"/>
      <c r="AK38" s="176"/>
      <c r="AL38" s="176"/>
      <c r="AM38" s="176"/>
      <c r="AN38" s="176"/>
      <c r="AO38" s="176"/>
      <c r="AP38" s="176"/>
      <c r="AQ38" s="176"/>
      <c r="AR38" s="176"/>
      <c r="AS38" s="176"/>
      <c r="AT38" s="176"/>
      <c r="AU38" s="176"/>
      <c r="AV38" s="176"/>
      <c r="AW38" s="176"/>
      <c r="AX38" s="176"/>
    </row>
    <row r="39" spans="1:50" ht="4.3499999999999996" customHeight="1"/>
    <row r="40" spans="1:50" s="23" customFormat="1" ht="60" customHeight="1">
      <c r="B40" s="462" t="s">
        <v>266</v>
      </c>
      <c r="C40" s="434"/>
      <c r="D40" s="444"/>
      <c r="E40" s="444"/>
      <c r="F40" s="444"/>
      <c r="G40" s="444"/>
      <c r="H40" s="778" t="s">
        <v>267</v>
      </c>
      <c r="I40" s="778"/>
      <c r="J40" s="778"/>
      <c r="K40" s="778"/>
      <c r="L40" s="778"/>
      <c r="M40" s="778"/>
      <c r="N40" s="778"/>
      <c r="O40" s="778"/>
      <c r="P40" s="778"/>
      <c r="Q40" s="778"/>
      <c r="R40" s="778"/>
      <c r="S40" s="778"/>
      <c r="T40" s="778"/>
      <c r="U40" s="778"/>
      <c r="V40" s="778"/>
      <c r="W40" s="778"/>
      <c r="X40" s="778"/>
      <c r="Y40" s="778"/>
      <c r="Z40" s="778"/>
      <c r="AA40" s="778"/>
      <c r="AB40" s="778"/>
      <c r="AC40" s="778"/>
      <c r="AD40" s="778"/>
      <c r="AE40" s="778"/>
      <c r="AF40" s="778"/>
      <c r="AG40" s="778"/>
      <c r="AH40" s="778"/>
      <c r="AI40" s="778"/>
      <c r="AJ40" s="778"/>
      <c r="AK40" s="778"/>
      <c r="AL40" s="778"/>
      <c r="AM40" s="778"/>
      <c r="AN40" s="778"/>
      <c r="AO40" s="778"/>
      <c r="AP40" s="778"/>
      <c r="AQ40" s="778"/>
      <c r="AR40" s="778"/>
      <c r="AS40" s="778"/>
      <c r="AT40" s="778"/>
      <c r="AU40" s="778"/>
      <c r="AV40" s="778"/>
      <c r="AW40" s="778"/>
      <c r="AX40" s="778"/>
    </row>
    <row r="41" spans="1:50" ht="60" customHeight="1">
      <c r="B41" s="462" t="s">
        <v>268</v>
      </c>
      <c r="C41" s="434"/>
      <c r="D41" s="444"/>
      <c r="E41" s="444"/>
      <c r="F41" s="444"/>
      <c r="G41" s="444"/>
      <c r="H41" s="778" t="s">
        <v>269</v>
      </c>
      <c r="I41" s="778"/>
      <c r="J41" s="778"/>
      <c r="K41" s="778"/>
      <c r="L41" s="778"/>
      <c r="M41" s="778"/>
      <c r="N41" s="778"/>
      <c r="O41" s="778"/>
      <c r="P41" s="778"/>
      <c r="Q41" s="778"/>
      <c r="R41" s="778"/>
      <c r="S41" s="778"/>
      <c r="T41" s="778"/>
      <c r="U41" s="778"/>
      <c r="V41" s="778"/>
      <c r="W41" s="778"/>
      <c r="X41" s="778"/>
      <c r="Y41" s="778"/>
      <c r="Z41" s="778"/>
      <c r="AA41" s="778"/>
      <c r="AB41" s="778"/>
      <c r="AC41" s="778"/>
      <c r="AD41" s="778"/>
      <c r="AE41" s="778"/>
      <c r="AF41" s="778"/>
      <c r="AG41" s="778"/>
      <c r="AH41" s="778"/>
      <c r="AI41" s="778"/>
      <c r="AJ41" s="778"/>
      <c r="AK41" s="778"/>
      <c r="AL41" s="778"/>
      <c r="AM41" s="778"/>
      <c r="AN41" s="778"/>
      <c r="AO41" s="778"/>
      <c r="AP41" s="778"/>
      <c r="AQ41" s="778"/>
      <c r="AR41" s="778"/>
      <c r="AS41" s="778"/>
      <c r="AT41" s="778"/>
      <c r="AU41" s="778"/>
      <c r="AV41" s="778"/>
      <c r="AW41" s="778"/>
      <c r="AX41" s="778"/>
    </row>
    <row r="42" spans="1:50" ht="60" customHeight="1">
      <c r="B42" s="462" t="s">
        <v>270</v>
      </c>
      <c r="C42" s="205"/>
      <c r="H42" s="778" t="s">
        <v>271</v>
      </c>
      <c r="I42" s="778"/>
      <c r="J42" s="778"/>
      <c r="K42" s="778"/>
      <c r="L42" s="778"/>
      <c r="M42" s="778"/>
      <c r="N42" s="778"/>
      <c r="O42" s="778"/>
      <c r="P42" s="778"/>
      <c r="Q42" s="778"/>
      <c r="R42" s="778"/>
      <c r="S42" s="778"/>
      <c r="T42" s="778"/>
      <c r="U42" s="778"/>
      <c r="V42" s="778"/>
      <c r="W42" s="778"/>
      <c r="X42" s="778"/>
      <c r="Y42" s="778"/>
      <c r="Z42" s="778"/>
      <c r="AA42" s="778"/>
      <c r="AB42" s="778"/>
      <c r="AC42" s="778"/>
      <c r="AD42" s="778"/>
      <c r="AE42" s="778"/>
      <c r="AF42" s="778"/>
      <c r="AG42" s="778"/>
      <c r="AH42" s="778"/>
      <c r="AI42" s="778"/>
      <c r="AJ42" s="778"/>
      <c r="AK42" s="778"/>
      <c r="AL42" s="778"/>
      <c r="AM42" s="778"/>
      <c r="AN42" s="778"/>
      <c r="AO42" s="778"/>
      <c r="AP42" s="778"/>
      <c r="AQ42" s="778"/>
      <c r="AR42" s="778"/>
      <c r="AS42" s="778"/>
      <c r="AT42" s="778"/>
      <c r="AU42" s="778"/>
      <c r="AV42" s="778"/>
      <c r="AW42" s="778"/>
      <c r="AX42" s="778"/>
    </row>
    <row r="43" spans="1:50" ht="75" customHeight="1">
      <c r="B43" s="462" t="s">
        <v>272</v>
      </c>
      <c r="C43" s="205"/>
      <c r="H43" s="778" t="s">
        <v>273</v>
      </c>
      <c r="I43" s="778"/>
      <c r="J43" s="778"/>
      <c r="K43" s="778"/>
      <c r="L43" s="778"/>
      <c r="M43" s="778"/>
      <c r="N43" s="778"/>
      <c r="O43" s="778"/>
      <c r="P43" s="778"/>
      <c r="Q43" s="778"/>
      <c r="R43" s="778"/>
      <c r="S43" s="778"/>
      <c r="T43" s="778"/>
      <c r="U43" s="778"/>
      <c r="V43" s="778"/>
      <c r="W43" s="778"/>
      <c r="X43" s="778"/>
      <c r="Y43" s="778"/>
      <c r="Z43" s="778"/>
      <c r="AA43" s="778"/>
      <c r="AB43" s="778"/>
      <c r="AC43" s="778"/>
      <c r="AD43" s="778"/>
      <c r="AE43" s="778"/>
      <c r="AF43" s="778"/>
      <c r="AG43" s="778"/>
      <c r="AH43" s="778"/>
      <c r="AI43" s="778"/>
      <c r="AJ43" s="778"/>
      <c r="AK43" s="778"/>
      <c r="AL43" s="778"/>
      <c r="AM43" s="778"/>
      <c r="AN43" s="778"/>
      <c r="AO43" s="778"/>
      <c r="AP43" s="778"/>
      <c r="AQ43" s="778"/>
      <c r="AR43" s="778"/>
      <c r="AS43" s="778"/>
      <c r="AT43" s="778"/>
      <c r="AU43" s="778"/>
      <c r="AV43" s="778"/>
      <c r="AW43" s="778"/>
      <c r="AX43" s="778"/>
    </row>
    <row r="44" spans="1:50" ht="60" customHeight="1">
      <c r="B44" s="462"/>
      <c r="C44" s="205"/>
      <c r="H44" s="778"/>
      <c r="I44" s="778"/>
      <c r="J44" s="778"/>
      <c r="K44" s="778"/>
      <c r="L44" s="778"/>
      <c r="M44" s="778"/>
      <c r="N44" s="778"/>
      <c r="O44" s="778"/>
      <c r="P44" s="778"/>
      <c r="Q44" s="778"/>
      <c r="R44" s="778"/>
      <c r="S44" s="778"/>
      <c r="T44" s="778"/>
      <c r="U44" s="778"/>
      <c r="V44" s="778"/>
      <c r="W44" s="778"/>
      <c r="X44" s="778"/>
      <c r="Y44" s="778"/>
      <c r="Z44" s="778"/>
      <c r="AA44" s="778"/>
      <c r="AB44" s="778"/>
      <c r="AC44" s="778"/>
      <c r="AD44" s="778"/>
      <c r="AE44" s="778"/>
      <c r="AF44" s="778"/>
      <c r="AG44" s="778"/>
      <c r="AH44" s="778"/>
      <c r="AI44" s="778"/>
      <c r="AJ44" s="778"/>
      <c r="AK44" s="778"/>
      <c r="AL44" s="778"/>
      <c r="AM44" s="778"/>
      <c r="AN44" s="778"/>
      <c r="AO44" s="778"/>
      <c r="AP44" s="778"/>
      <c r="AQ44" s="778"/>
      <c r="AR44" s="778"/>
      <c r="AS44" s="778"/>
      <c r="AT44" s="778"/>
      <c r="AU44" s="778"/>
      <c r="AV44" s="778"/>
      <c r="AW44" s="778"/>
      <c r="AX44" s="778"/>
    </row>
    <row r="45" spans="1:50" ht="60" customHeight="1">
      <c r="B45" s="462"/>
      <c r="C45" s="205"/>
      <c r="H45" s="778"/>
      <c r="I45" s="778"/>
      <c r="J45" s="778"/>
      <c r="K45" s="778"/>
      <c r="L45" s="778"/>
      <c r="M45" s="778"/>
      <c r="N45" s="778"/>
      <c r="O45" s="778"/>
      <c r="P45" s="778"/>
      <c r="Q45" s="778"/>
      <c r="R45" s="778"/>
      <c r="S45" s="778"/>
      <c r="T45" s="778"/>
      <c r="U45" s="778"/>
      <c r="V45" s="778"/>
      <c r="W45" s="778"/>
      <c r="X45" s="778"/>
      <c r="Y45" s="778"/>
      <c r="Z45" s="778"/>
      <c r="AA45" s="778"/>
      <c r="AB45" s="778"/>
      <c r="AC45" s="778"/>
      <c r="AD45" s="778"/>
      <c r="AE45" s="778"/>
      <c r="AF45" s="778"/>
      <c r="AG45" s="778"/>
      <c r="AH45" s="778"/>
      <c r="AI45" s="778"/>
      <c r="AJ45" s="778"/>
      <c r="AK45" s="778"/>
      <c r="AL45" s="778"/>
      <c r="AM45" s="778"/>
      <c r="AN45" s="778"/>
      <c r="AO45" s="778"/>
      <c r="AP45" s="778"/>
      <c r="AQ45" s="778"/>
      <c r="AR45" s="778"/>
      <c r="AS45" s="778"/>
      <c r="AT45" s="778"/>
      <c r="AU45" s="778"/>
      <c r="AV45" s="778"/>
      <c r="AW45" s="778"/>
      <c r="AX45" s="778"/>
    </row>
    <row r="46" spans="1:50" ht="60" customHeight="1">
      <c r="B46" s="462"/>
      <c r="C46" s="205"/>
      <c r="H46" s="778"/>
      <c r="I46" s="778"/>
      <c r="J46" s="778"/>
      <c r="K46" s="778"/>
      <c r="L46" s="778"/>
      <c r="M46" s="778"/>
      <c r="N46" s="778"/>
      <c r="O46" s="778"/>
      <c r="P46" s="778"/>
      <c r="Q46" s="778"/>
      <c r="R46" s="778"/>
      <c r="S46" s="778"/>
      <c r="T46" s="778"/>
      <c r="U46" s="778"/>
      <c r="V46" s="778"/>
      <c r="W46" s="778"/>
      <c r="X46" s="778"/>
      <c r="Y46" s="778"/>
      <c r="Z46" s="778"/>
      <c r="AA46" s="778"/>
      <c r="AB46" s="778"/>
      <c r="AC46" s="778"/>
      <c r="AD46" s="778"/>
      <c r="AE46" s="778"/>
      <c r="AF46" s="778"/>
      <c r="AG46" s="778"/>
      <c r="AH46" s="778"/>
      <c r="AI46" s="778"/>
      <c r="AJ46" s="778"/>
      <c r="AK46" s="778"/>
      <c r="AL46" s="778"/>
      <c r="AM46" s="778"/>
      <c r="AN46" s="778"/>
      <c r="AO46" s="778"/>
      <c r="AP46" s="778"/>
      <c r="AQ46" s="778"/>
      <c r="AR46" s="778"/>
      <c r="AS46" s="778"/>
      <c r="AT46" s="778"/>
      <c r="AU46" s="778"/>
      <c r="AV46" s="778"/>
      <c r="AW46" s="778"/>
      <c r="AX46" s="778"/>
    </row>
  </sheetData>
  <mergeCells count="14">
    <mergeCell ref="H46:AX46"/>
    <mergeCell ref="H41:AX41"/>
    <mergeCell ref="H42:AX42"/>
    <mergeCell ref="H43:AX43"/>
    <mergeCell ref="H44:AX44"/>
    <mergeCell ref="H45:AX45"/>
    <mergeCell ref="AN8:AR8"/>
    <mergeCell ref="H40:AX40"/>
    <mergeCell ref="D8:H8"/>
    <mergeCell ref="J8:N8"/>
    <mergeCell ref="P8:T8"/>
    <mergeCell ref="V8:Z8"/>
    <mergeCell ref="AB8:AF8"/>
    <mergeCell ref="AH8:AL8"/>
  </mergeCells>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39997558519241921"/>
  </sheetPr>
  <dimension ref="B1:Z55"/>
  <sheetViews>
    <sheetView showGridLines="0" topLeftCell="B6" zoomScaleNormal="100" workbookViewId="0">
      <selection activeCell="G20" sqref="G20"/>
    </sheetView>
  </sheetViews>
  <sheetFormatPr defaultColWidth="9" defaultRowHeight="15" customHeight="1"/>
  <cols>
    <col min="1" max="1" width="2.125" style="457" customWidth="1"/>
    <col min="2" max="2" width="28.125" style="457" customWidth="1"/>
    <col min="3" max="4" width="10.625" style="457" customWidth="1"/>
    <col min="5" max="5" width="8.625" style="457" customWidth="1"/>
    <col min="6" max="7" width="11.625" style="457" customWidth="1"/>
    <col min="8" max="8" width="1.625" style="457" customWidth="1"/>
    <col min="9" max="17" width="9.625" style="457" customWidth="1"/>
    <col min="18" max="18" width="1.625" style="457" customWidth="1"/>
    <col min="19" max="20" width="8.625" style="457" customWidth="1"/>
    <col min="21" max="21" width="1.625" style="457" customWidth="1"/>
    <col min="22" max="24" width="9.625" style="457" customWidth="1"/>
    <col min="25" max="25" width="1.625" style="457" customWidth="1"/>
    <col min="26" max="26" width="8.625" style="457" customWidth="1"/>
    <col min="27" max="16384" width="9" style="457"/>
  </cols>
  <sheetData>
    <row r="1" spans="2:26" s="468" customFormat="1" ht="15" customHeight="1"/>
    <row r="2" spans="2:26" s="468" customFormat="1" ht="15" customHeight="1"/>
    <row r="3" spans="2:26" s="468" customFormat="1" ht="15" customHeight="1"/>
    <row r="4" spans="2:26" s="468" customFormat="1" ht="15" customHeight="1"/>
    <row r="5" spans="2:26" s="455" customFormat="1" ht="4.3499999999999996" customHeight="1">
      <c r="B5" s="36"/>
      <c r="C5" s="36"/>
      <c r="D5" s="36"/>
      <c r="E5" s="36"/>
      <c r="F5" s="36"/>
      <c r="G5" s="36"/>
      <c r="H5" s="36"/>
      <c r="I5" s="36"/>
      <c r="J5" s="36"/>
      <c r="K5" s="36"/>
      <c r="L5" s="36"/>
      <c r="M5" s="36"/>
      <c r="N5" s="36"/>
      <c r="O5" s="36"/>
      <c r="P5" s="36"/>
      <c r="Q5" s="36"/>
      <c r="R5" s="36"/>
      <c r="S5" s="36"/>
      <c r="T5" s="36"/>
      <c r="U5" s="36"/>
      <c r="V5" s="36"/>
      <c r="W5" s="36"/>
      <c r="X5" s="36"/>
      <c r="Y5" s="36"/>
      <c r="Z5" s="36"/>
    </row>
    <row r="7" spans="2:26" s="456" customFormat="1" ht="15" customHeight="1">
      <c r="B7" s="508" t="s">
        <v>274</v>
      </c>
      <c r="C7" s="373"/>
      <c r="D7" s="509" t="s">
        <v>275</v>
      </c>
      <c r="E7" s="509" t="s">
        <v>276</v>
      </c>
      <c r="F7" s="509"/>
      <c r="G7" s="509"/>
      <c r="H7" s="509"/>
      <c r="I7" s="780" t="s">
        <v>277</v>
      </c>
      <c r="J7" s="780"/>
      <c r="K7" s="780"/>
      <c r="L7" s="780"/>
      <c r="M7" s="780"/>
      <c r="N7" s="780"/>
      <c r="O7" s="780"/>
      <c r="P7" s="780"/>
      <c r="Q7" s="780"/>
      <c r="R7" s="509"/>
      <c r="S7" s="509" t="s">
        <v>278</v>
      </c>
      <c r="T7" s="509" t="s">
        <v>279</v>
      </c>
      <c r="U7" s="509"/>
      <c r="V7" s="780" t="s">
        <v>280</v>
      </c>
      <c r="W7" s="780"/>
      <c r="X7" s="780"/>
      <c r="Y7" s="509"/>
      <c r="Z7" s="509" t="s">
        <v>281</v>
      </c>
    </row>
    <row r="8" spans="2:26" s="456" customFormat="1" ht="15" customHeight="1">
      <c r="B8" s="373"/>
      <c r="C8" s="373"/>
      <c r="D8" s="509" t="s">
        <v>282</v>
      </c>
      <c r="E8" s="509" t="s">
        <v>283</v>
      </c>
      <c r="F8" s="509" t="s">
        <v>284</v>
      </c>
      <c r="G8" s="509" t="s">
        <v>285</v>
      </c>
      <c r="H8" s="509"/>
      <c r="I8" s="509" t="s">
        <v>278</v>
      </c>
      <c r="J8" s="421">
        <v>2025</v>
      </c>
      <c r="K8" s="421">
        <v>2026</v>
      </c>
      <c r="L8" s="509" t="s">
        <v>278</v>
      </c>
      <c r="M8" s="509" t="s">
        <v>286</v>
      </c>
      <c r="N8" s="509" t="s">
        <v>287</v>
      </c>
      <c r="O8" s="509" t="s">
        <v>278</v>
      </c>
      <c r="P8" s="509" t="s">
        <v>286</v>
      </c>
      <c r="Q8" s="509" t="s">
        <v>287</v>
      </c>
      <c r="R8" s="509"/>
      <c r="S8" s="509" t="s">
        <v>288</v>
      </c>
      <c r="T8" s="509" t="s">
        <v>289</v>
      </c>
      <c r="U8" s="509"/>
      <c r="V8" s="509" t="s">
        <v>278</v>
      </c>
      <c r="W8" s="509" t="s">
        <v>286</v>
      </c>
      <c r="X8" s="509" t="s">
        <v>287</v>
      </c>
      <c r="Y8" s="509"/>
      <c r="Z8" s="509" t="s">
        <v>290</v>
      </c>
    </row>
    <row r="9" spans="2:26" s="456" customFormat="1" ht="15" customHeight="1">
      <c r="B9" s="373" t="s">
        <v>291</v>
      </c>
      <c r="C9" s="373" t="s">
        <v>13</v>
      </c>
      <c r="D9" s="509" t="s">
        <v>292</v>
      </c>
      <c r="E9" s="509" t="s">
        <v>293</v>
      </c>
      <c r="F9" s="509" t="s">
        <v>294</v>
      </c>
      <c r="G9" s="509" t="s">
        <v>294</v>
      </c>
      <c r="H9" s="509"/>
      <c r="I9" s="509" t="s">
        <v>295</v>
      </c>
      <c r="J9" s="509" t="s">
        <v>295</v>
      </c>
      <c r="K9" s="509" t="s">
        <v>295</v>
      </c>
      <c r="L9" s="509" t="s">
        <v>288</v>
      </c>
      <c r="M9" s="509" t="s">
        <v>288</v>
      </c>
      <c r="N9" s="509" t="s">
        <v>288</v>
      </c>
      <c r="O9" s="509" t="s">
        <v>296</v>
      </c>
      <c r="P9" s="509" t="s">
        <v>296</v>
      </c>
      <c r="Q9" s="509" t="s">
        <v>296</v>
      </c>
      <c r="R9" s="509"/>
      <c r="S9" s="509" t="s">
        <v>297</v>
      </c>
      <c r="T9" s="509" t="s">
        <v>288</v>
      </c>
      <c r="U9" s="509"/>
      <c r="V9" s="509" t="s">
        <v>290</v>
      </c>
      <c r="W9" s="509" t="s">
        <v>290</v>
      </c>
      <c r="X9" s="509" t="s">
        <v>290</v>
      </c>
      <c r="Y9" s="509"/>
      <c r="Z9" s="509" t="s">
        <v>298</v>
      </c>
    </row>
    <row r="10" spans="2:26" ht="4.3499999999999996" customHeight="1">
      <c r="B10" s="36"/>
      <c r="C10" s="36"/>
      <c r="D10" s="36"/>
      <c r="E10" s="36"/>
      <c r="F10" s="36"/>
      <c r="G10" s="36"/>
      <c r="H10" s="36"/>
      <c r="I10" s="36"/>
      <c r="J10" s="36"/>
      <c r="K10" s="36"/>
      <c r="L10" s="36"/>
      <c r="M10" s="36"/>
      <c r="N10" s="36"/>
      <c r="O10" s="36"/>
      <c r="P10" s="36"/>
      <c r="Q10" s="36"/>
      <c r="R10" s="36"/>
      <c r="S10" s="36"/>
      <c r="T10" s="36"/>
      <c r="U10" s="36"/>
      <c r="V10" s="36"/>
      <c r="W10" s="36"/>
      <c r="X10" s="36"/>
      <c r="Y10" s="36"/>
      <c r="Z10" s="36"/>
    </row>
    <row r="11" spans="2:26" ht="4.3499999999999996" customHeight="1">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2:26" s="458" customFormat="1" ht="15" customHeight="1">
      <c r="B12" s="373" t="s">
        <v>299</v>
      </c>
      <c r="C12" s="32"/>
      <c r="D12" s="32"/>
      <c r="E12" s="32"/>
      <c r="F12" s="32"/>
      <c r="G12" s="32"/>
      <c r="H12" s="32"/>
      <c r="I12" s="32"/>
      <c r="J12" s="32"/>
      <c r="K12" s="32"/>
      <c r="L12" s="32"/>
      <c r="M12" s="32"/>
      <c r="N12" s="32"/>
      <c r="O12" s="32"/>
      <c r="P12" s="32"/>
      <c r="Q12" s="32"/>
      <c r="R12" s="32"/>
      <c r="S12" s="32"/>
      <c r="T12" s="32"/>
      <c r="U12" s="32"/>
      <c r="V12" s="32"/>
      <c r="W12" s="32"/>
      <c r="X12" s="32"/>
      <c r="Y12" s="32"/>
      <c r="Z12" s="32"/>
    </row>
    <row r="13" spans="2:26" ht="4.3499999999999996" customHeight="1">
      <c r="B13" s="36"/>
      <c r="C13" s="36"/>
      <c r="D13" s="36"/>
      <c r="E13" s="36"/>
      <c r="F13" s="36"/>
      <c r="G13" s="36"/>
      <c r="H13" s="36"/>
      <c r="I13" s="36"/>
      <c r="J13" s="36"/>
      <c r="K13" s="36"/>
      <c r="L13" s="36"/>
      <c r="M13" s="36"/>
      <c r="N13" s="36"/>
      <c r="O13" s="36"/>
      <c r="P13" s="36"/>
      <c r="Q13" s="36"/>
      <c r="R13" s="36"/>
      <c r="S13" s="36"/>
      <c r="T13" s="36"/>
      <c r="U13" s="36"/>
      <c r="V13" s="36"/>
      <c r="W13" s="36"/>
      <c r="X13" s="36"/>
      <c r="Y13" s="36"/>
      <c r="Z13" s="36"/>
    </row>
    <row r="14" spans="2:26" ht="4.3499999999999996" customHeight="1">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2:26" ht="15" customHeight="1">
      <c r="B15" s="23" t="s">
        <v>300</v>
      </c>
      <c r="C15" s="23" t="s">
        <v>301</v>
      </c>
      <c r="D15" s="510" t="s">
        <v>302</v>
      </c>
      <c r="E15" s="416">
        <v>0.56947796703675613</v>
      </c>
      <c r="F15" s="511">
        <v>69992.301036360004</v>
      </c>
      <c r="G15" s="511">
        <v>108237.026</v>
      </c>
      <c r="H15" s="23"/>
      <c r="I15" s="512">
        <v>1.1984656251038057</v>
      </c>
      <c r="J15" s="512">
        <v>1.2360010734228868</v>
      </c>
      <c r="K15" s="513">
        <v>1.2331078269864815</v>
      </c>
      <c r="L15" s="512">
        <v>7.6611711494903734</v>
      </c>
      <c r="M15" s="512">
        <v>9.4897374994941845</v>
      </c>
      <c r="N15" s="513">
        <v>8.9021693465476819</v>
      </c>
      <c r="O15" s="512">
        <v>11.342033532432149</v>
      </c>
      <c r="P15" s="512">
        <v>13.921531359078189</v>
      </c>
      <c r="Q15" s="513">
        <v>12.673715433564288</v>
      </c>
      <c r="R15" s="23"/>
      <c r="S15" s="419">
        <v>0.15643373600699789</v>
      </c>
      <c r="T15" s="512">
        <v>2.22650955021565</v>
      </c>
      <c r="U15" s="514"/>
      <c r="V15" s="512">
        <v>10.593658398117149</v>
      </c>
      <c r="W15" s="512">
        <v>12.795748129625983</v>
      </c>
      <c r="X15" s="512">
        <v>11.741772508818521</v>
      </c>
      <c r="Y15" s="514"/>
      <c r="Z15" s="419">
        <v>8.3500503468499465E-2</v>
      </c>
    </row>
    <row r="16" spans="2:26" ht="15" customHeight="1">
      <c r="B16" s="23" t="s">
        <v>303</v>
      </c>
      <c r="C16" s="23" t="s">
        <v>304</v>
      </c>
      <c r="D16" s="510" t="s">
        <v>305</v>
      </c>
      <c r="E16" s="416">
        <v>0.85440180586907455</v>
      </c>
      <c r="F16" s="511">
        <v>45648</v>
      </c>
      <c r="G16" s="511">
        <v>69272</v>
      </c>
      <c r="H16" s="23"/>
      <c r="I16" s="512">
        <v>0.82534462832564848</v>
      </c>
      <c r="J16" s="512">
        <v>0.82475082491410678</v>
      </c>
      <c r="K16" s="513">
        <v>0.80447903154066014</v>
      </c>
      <c r="L16" s="512">
        <v>6.2177542410914644</v>
      </c>
      <c r="M16" s="512">
        <v>6.40659455547065</v>
      </c>
      <c r="N16" s="513">
        <v>6.1294025378567021</v>
      </c>
      <c r="O16" s="512">
        <v>10.941715368820091</v>
      </c>
      <c r="P16" s="512">
        <v>11.553119131008579</v>
      </c>
      <c r="Q16" s="513">
        <v>10.853427340383861</v>
      </c>
      <c r="R16" s="23"/>
      <c r="S16" s="419">
        <v>0.13273998880032409</v>
      </c>
      <c r="T16" s="512">
        <v>2.318255105696883</v>
      </c>
      <c r="U16" s="514"/>
      <c r="V16" s="512">
        <v>13.297212269509744</v>
      </c>
      <c r="W16" s="512">
        <v>13.231478675608374</v>
      </c>
      <c r="X16" s="512">
        <v>12.348581071506782</v>
      </c>
      <c r="Y16" s="514"/>
      <c r="Z16" s="419">
        <v>8.3904072887710068E-2</v>
      </c>
    </row>
    <row r="17" spans="2:26" ht="15" customHeight="1">
      <c r="B17" s="23" t="s">
        <v>306</v>
      </c>
      <c r="C17" s="23" t="s">
        <v>307</v>
      </c>
      <c r="D17" s="510" t="s">
        <v>308</v>
      </c>
      <c r="E17" s="416">
        <v>0.60283839986279641</v>
      </c>
      <c r="F17" s="511">
        <v>30157.025978130001</v>
      </c>
      <c r="G17" s="511">
        <v>34325.627821800001</v>
      </c>
      <c r="H17" s="23"/>
      <c r="I17" s="512">
        <v>6.0875915820922204</v>
      </c>
      <c r="J17" s="512">
        <v>6.1681775729573882</v>
      </c>
      <c r="K17" s="513">
        <v>5.8103826486488979</v>
      </c>
      <c r="L17" s="512">
        <v>19.200108638352642</v>
      </c>
      <c r="M17" s="512">
        <v>19.957287773979175</v>
      </c>
      <c r="N17" s="513">
        <v>18.144253053330146</v>
      </c>
      <c r="O17" s="512">
        <v>23.961960217800286</v>
      </c>
      <c r="P17" s="512">
        <v>25.291841787112332</v>
      </c>
      <c r="Q17" s="513">
        <v>22.578598698786102</v>
      </c>
      <c r="R17" s="23"/>
      <c r="S17" s="419">
        <v>0.31706026756182626</v>
      </c>
      <c r="T17" s="512">
        <v>9.5121226517240975E-2</v>
      </c>
      <c r="U17" s="514"/>
      <c r="V17" s="512">
        <v>27.527026180372783</v>
      </c>
      <c r="W17" s="512">
        <v>29.527552250605723</v>
      </c>
      <c r="X17" s="512">
        <v>26.43140000473527</v>
      </c>
      <c r="Y17" s="514"/>
      <c r="Z17" s="419">
        <v>0.13447900840869997</v>
      </c>
    </row>
    <row r="18" spans="2:26" ht="15" customHeight="1">
      <c r="B18" s="23" t="s">
        <v>309</v>
      </c>
      <c r="C18" s="23" t="s">
        <v>310</v>
      </c>
      <c r="D18" s="510" t="s">
        <v>311</v>
      </c>
      <c r="E18" s="416">
        <v>0.78782608695652179</v>
      </c>
      <c r="F18" s="511">
        <v>15316.725325394998</v>
      </c>
      <c r="G18" s="511">
        <v>18844.22</v>
      </c>
      <c r="H18" s="23"/>
      <c r="I18" s="512">
        <v>2.3531743256743258</v>
      </c>
      <c r="J18" s="512">
        <v>2.3324460030943786</v>
      </c>
      <c r="K18" s="513">
        <v>2.2411805982279129</v>
      </c>
      <c r="L18" s="512">
        <v>15.799631089125514</v>
      </c>
      <c r="M18" s="512">
        <v>14.853385403604296</v>
      </c>
      <c r="N18" s="513">
        <v>13.331173708920232</v>
      </c>
      <c r="O18" s="512">
        <v>27.401803111822016</v>
      </c>
      <c r="P18" s="512">
        <v>23.899986341463418</v>
      </c>
      <c r="Q18" s="513">
        <v>21.015257785021877</v>
      </c>
      <c r="R18" s="23"/>
      <c r="S18" s="419">
        <v>0.14893856143856143</v>
      </c>
      <c r="T18" s="512">
        <v>3.537351443123939</v>
      </c>
      <c r="U18" s="514"/>
      <c r="V18" s="512">
        <v>42.251059019018612</v>
      </c>
      <c r="W18" s="512">
        <v>35.914433936597511</v>
      </c>
      <c r="X18" s="512">
        <v>28.930334440673811</v>
      </c>
      <c r="Y18" s="514"/>
      <c r="Z18" s="419">
        <v>0.21415027633175066</v>
      </c>
    </row>
    <row r="19" spans="2:26" ht="15" customHeight="1">
      <c r="B19" s="23" t="s">
        <v>312</v>
      </c>
      <c r="C19" s="23" t="s">
        <v>313</v>
      </c>
      <c r="D19" s="510" t="s">
        <v>314</v>
      </c>
      <c r="E19" s="416">
        <v>0.6696606786427145</v>
      </c>
      <c r="F19" s="511">
        <v>13427.028267510001</v>
      </c>
      <c r="G19" s="511">
        <v>15568.8357516</v>
      </c>
      <c r="H19" s="23"/>
      <c r="I19" s="512">
        <v>1.2905103634488198</v>
      </c>
      <c r="J19" s="512">
        <v>1.2990691767223177</v>
      </c>
      <c r="K19" s="513">
        <v>1.239145196441227</v>
      </c>
      <c r="L19" s="512">
        <v>9.8336030891318238</v>
      </c>
      <c r="M19" s="512">
        <v>10.158833583600204</v>
      </c>
      <c r="N19" s="513">
        <v>9.2032526610443153</v>
      </c>
      <c r="O19" s="512">
        <v>18.683664134042814</v>
      </c>
      <c r="P19" s="512">
        <v>19.367234646680142</v>
      </c>
      <c r="Q19" s="513">
        <v>16.657099591583453</v>
      </c>
      <c r="R19" s="23"/>
      <c r="S19" s="419">
        <v>0.13123474191012469</v>
      </c>
      <c r="T19" s="512">
        <v>1.1042469604243426</v>
      </c>
      <c r="U19" s="514"/>
      <c r="V19" s="512">
        <v>23.368823228129759</v>
      </c>
      <c r="W19" s="512">
        <v>24.739918080839196</v>
      </c>
      <c r="X19" s="512">
        <v>20.927709662431457</v>
      </c>
      <c r="Y19" s="514"/>
      <c r="Z19" s="419">
        <v>0.17269072741639468</v>
      </c>
    </row>
    <row r="20" spans="2:26" ht="15" customHeight="1">
      <c r="B20" s="23"/>
      <c r="C20" s="23"/>
      <c r="D20" s="23"/>
      <c r="E20" s="23"/>
      <c r="F20" s="744">
        <f>SUM(F15:F19)</f>
        <v>174541.08060739501</v>
      </c>
      <c r="G20" s="23"/>
      <c r="H20" s="23"/>
      <c r="I20" s="23"/>
      <c r="J20" s="23"/>
      <c r="K20" s="514"/>
      <c r="L20" s="23"/>
      <c r="M20" s="23"/>
      <c r="N20" s="514"/>
      <c r="O20" s="23"/>
      <c r="P20" s="23"/>
      <c r="Q20" s="514"/>
      <c r="R20" s="23"/>
      <c r="S20" s="23"/>
      <c r="T20" s="23"/>
      <c r="U20" s="514"/>
      <c r="V20" s="23"/>
      <c r="W20" s="23"/>
      <c r="X20" s="23"/>
      <c r="Y20" s="514"/>
      <c r="Z20" s="23"/>
    </row>
    <row r="21" spans="2:26" ht="15" customHeight="1">
      <c r="B21" s="515" t="s">
        <v>315</v>
      </c>
      <c r="C21" s="516"/>
      <c r="D21" s="516"/>
      <c r="E21" s="516"/>
      <c r="F21" s="516"/>
      <c r="G21" s="516"/>
      <c r="H21" s="516"/>
      <c r="I21" s="517">
        <v>3.2437587570717894</v>
      </c>
      <c r="J21" s="517">
        <v>3.266564250924695</v>
      </c>
      <c r="K21" s="517">
        <v>3.0969028144393458</v>
      </c>
      <c r="L21" s="517">
        <v>14.944447605536661</v>
      </c>
      <c r="M21" s="517">
        <v>14.989835587061224</v>
      </c>
      <c r="N21" s="517">
        <v>13.559559807764899</v>
      </c>
      <c r="O21" s="517">
        <v>23.349142487888372</v>
      </c>
      <c r="P21" s="517">
        <v>22.8530209250853</v>
      </c>
      <c r="Q21" s="517">
        <v>20.08365202513048</v>
      </c>
      <c r="R21" s="517" t="e">
        <v>#DIV/0!</v>
      </c>
      <c r="S21" s="517">
        <v>0.19907785697017077</v>
      </c>
      <c r="T21" s="517">
        <v>1.5789065433551741</v>
      </c>
      <c r="U21" s="517" t="e">
        <v>#DIV/0!</v>
      </c>
      <c r="V21" s="517">
        <v>31.048969475840384</v>
      </c>
      <c r="W21" s="517">
        <v>30.060634756014149</v>
      </c>
      <c r="X21" s="517">
        <v>25.429814702613513</v>
      </c>
      <c r="Y21" s="517" t="e">
        <v>#DIV/0!</v>
      </c>
      <c r="Z21" s="517">
        <v>0.1737733373856151</v>
      </c>
    </row>
    <row r="22" spans="2:26" ht="15" customHeight="1">
      <c r="B22" s="521" t="s">
        <v>316</v>
      </c>
      <c r="C22" s="522"/>
      <c r="D22" s="522"/>
      <c r="E22" s="522"/>
      <c r="F22" s="522"/>
      <c r="G22" s="522"/>
      <c r="H22" s="522"/>
      <c r="I22" s="523">
        <v>1.2905103634488198</v>
      </c>
      <c r="J22" s="523">
        <v>1.2990691767223177</v>
      </c>
      <c r="K22" s="524">
        <v>1.239145196441227</v>
      </c>
      <c r="L22" s="523">
        <v>9.8336030891318238</v>
      </c>
      <c r="M22" s="523">
        <v>10.158833583600204</v>
      </c>
      <c r="N22" s="524">
        <v>9.2032526610443153</v>
      </c>
      <c r="O22" s="523">
        <v>18.683664134042814</v>
      </c>
      <c r="P22" s="523">
        <v>19.367234646680142</v>
      </c>
      <c r="Q22" s="524">
        <v>16.657099591583453</v>
      </c>
      <c r="R22" s="522"/>
      <c r="S22" s="525">
        <v>0.14893856143856143</v>
      </c>
      <c r="T22" s="523">
        <v>2.22650955021565</v>
      </c>
      <c r="U22" s="526"/>
      <c r="V22" s="523">
        <v>23.368823228129759</v>
      </c>
      <c r="W22" s="523">
        <v>24.739918080839196</v>
      </c>
      <c r="X22" s="523">
        <v>20.927709662431457</v>
      </c>
      <c r="Y22" s="526"/>
      <c r="Z22" s="525">
        <v>0.13447900840869997</v>
      </c>
    </row>
    <row r="24" spans="2:26" s="458" customFormat="1" ht="15" customHeight="1">
      <c r="B24" s="373" t="s">
        <v>317</v>
      </c>
      <c r="C24" s="32"/>
      <c r="D24" s="32"/>
      <c r="E24" s="32"/>
      <c r="F24" s="32"/>
      <c r="G24" s="32"/>
      <c r="H24" s="32"/>
      <c r="I24" s="32"/>
      <c r="J24" s="32"/>
      <c r="K24" s="32"/>
      <c r="L24" s="32"/>
      <c r="M24" s="32"/>
      <c r="N24" s="32"/>
      <c r="O24" s="32"/>
      <c r="P24" s="32"/>
      <c r="Q24" s="32"/>
      <c r="R24" s="32"/>
      <c r="S24" s="32"/>
      <c r="T24" s="32"/>
      <c r="U24" s="32"/>
      <c r="V24" s="32"/>
      <c r="W24" s="32"/>
      <c r="X24" s="32"/>
      <c r="Y24" s="32"/>
      <c r="Z24" s="32"/>
    </row>
    <row r="25" spans="2:26" ht="4.3499999999999996" customHeight="1">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spans="2:26" ht="4.3499999999999996" customHeight="1">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2:26" ht="15" customHeight="1">
      <c r="B27" s="23" t="s">
        <v>318</v>
      </c>
      <c r="C27" s="23" t="s">
        <v>319</v>
      </c>
      <c r="D27" s="510" t="s">
        <v>320</v>
      </c>
      <c r="E27" s="416">
        <v>0.8995134421903348</v>
      </c>
      <c r="F27" s="511">
        <v>2326550.5739605501</v>
      </c>
      <c r="G27" s="511">
        <v>2397434.4</v>
      </c>
      <c r="H27" s="23"/>
      <c r="I27" s="512">
        <v>3.5780573639107036</v>
      </c>
      <c r="J27" s="512">
        <v>3.3826589569779122</v>
      </c>
      <c r="K27" s="513">
        <v>3.0640143519439453</v>
      </c>
      <c r="L27" s="512">
        <v>16.239589782495308</v>
      </c>
      <c r="M27" s="512">
        <v>14.407115356677505</v>
      </c>
      <c r="N27" s="513">
        <v>12.172073402530312</v>
      </c>
      <c r="O27" s="512">
        <v>31.466523165769786</v>
      </c>
      <c r="P27" s="512">
        <v>29.960901226073972</v>
      </c>
      <c r="Q27" s="513">
        <v>24.538649686660325</v>
      </c>
      <c r="R27" s="23"/>
      <c r="S27" s="419">
        <v>0.2203292947564168</v>
      </c>
      <c r="T27" s="512">
        <v>1.0290457836874869</v>
      </c>
      <c r="U27" s="514"/>
      <c r="V27" s="512">
        <v>32.896140297829795</v>
      </c>
      <c r="W27" s="512">
        <v>26.24313369887237</v>
      </c>
      <c r="X27" s="512">
        <v>22.666832200870143</v>
      </c>
      <c r="Y27" s="514"/>
      <c r="Z27" s="419">
        <v>0.18305781872633231</v>
      </c>
    </row>
    <row r="28" spans="2:26" ht="15" hidden="1" customHeight="1">
      <c r="B28" s="23" t="s">
        <v>321</v>
      </c>
      <c r="C28" s="23" t="s">
        <v>322</v>
      </c>
      <c r="D28" s="510" t="s">
        <v>323</v>
      </c>
      <c r="E28" s="416">
        <v>0.96154771451483556</v>
      </c>
      <c r="F28" s="511">
        <v>686163.33521555993</v>
      </c>
      <c r="G28" s="511" t="s">
        <v>324</v>
      </c>
      <c r="H28" s="23"/>
      <c r="I28" s="512"/>
      <c r="J28" s="512"/>
      <c r="K28" s="513"/>
      <c r="L28" s="512"/>
      <c r="M28" s="512"/>
      <c r="N28" s="513"/>
      <c r="O28" s="512"/>
      <c r="P28" s="512"/>
      <c r="Q28" s="513"/>
      <c r="R28" s="23"/>
      <c r="S28" s="419">
        <v>6.2027959060374581E-2</v>
      </c>
      <c r="T28" s="512" t="s">
        <v>324</v>
      </c>
      <c r="U28" s="514"/>
      <c r="V28" s="512">
        <v>860.28502409172506</v>
      </c>
      <c r="W28" s="512">
        <v>809.15487643344329</v>
      </c>
      <c r="X28" s="512">
        <v>298.78938847683372</v>
      </c>
      <c r="Y28" s="514"/>
      <c r="Z28" s="419">
        <v>1.0278293251641331</v>
      </c>
    </row>
    <row r="29" spans="2:26" ht="15" customHeight="1">
      <c r="B29" s="23" t="s">
        <v>325</v>
      </c>
      <c r="C29" s="23" t="s">
        <v>326</v>
      </c>
      <c r="D29" s="510" t="s">
        <v>327</v>
      </c>
      <c r="E29" s="416">
        <v>0.93887682283586726</v>
      </c>
      <c r="F29" s="511">
        <v>209195.07162051738</v>
      </c>
      <c r="G29" s="511">
        <v>145090.54367667669</v>
      </c>
      <c r="H29" s="23"/>
      <c r="I29" s="512">
        <v>14.48877008954231</v>
      </c>
      <c r="J29" s="512">
        <v>12.870041912431384</v>
      </c>
      <c r="K29" s="513">
        <v>10.487759482714871</v>
      </c>
      <c r="L29" s="512">
        <v>111.01036241520788</v>
      </c>
      <c r="M29" s="512">
        <v>76.221855454372644</v>
      </c>
      <c r="N29" s="513">
        <v>57.728971058039448</v>
      </c>
      <c r="O29" s="512">
        <v>113.79650484445231</v>
      </c>
      <c r="P29" s="512">
        <v>77.726775235272314</v>
      </c>
      <c r="Q29" s="513">
        <v>58.619867455334663</v>
      </c>
      <c r="R29" s="23"/>
      <c r="S29" s="419">
        <v>0.13051727581386061</v>
      </c>
      <c r="T29" s="512">
        <v>0.89403453689167978</v>
      </c>
      <c r="U29" s="514"/>
      <c r="V29" s="512">
        <v>144.43785921204412</v>
      </c>
      <c r="W29" s="512">
        <v>109.16335667005141</v>
      </c>
      <c r="X29" s="512">
        <v>85.482301600120195</v>
      </c>
      <c r="Y29" s="514"/>
      <c r="Z29" s="419">
        <v>0.26643244438903269</v>
      </c>
    </row>
    <row r="30" spans="2:26" ht="15" customHeight="1">
      <c r="B30" s="23" t="s">
        <v>328</v>
      </c>
      <c r="C30" s="23" t="s">
        <v>329</v>
      </c>
      <c r="D30" s="510" t="s">
        <v>330</v>
      </c>
      <c r="E30" s="416">
        <v>0.98271656199719737</v>
      </c>
      <c r="F30" s="511">
        <v>451330.22178205359</v>
      </c>
      <c r="G30" s="511">
        <v>1467142.5044193682</v>
      </c>
      <c r="H30" s="23"/>
      <c r="I30" s="512">
        <v>1.4660239281621805</v>
      </c>
      <c r="J30" s="512">
        <v>1.4672227859594733</v>
      </c>
      <c r="K30" s="513">
        <v>1.4104007981281299</v>
      </c>
      <c r="L30" s="512">
        <v>8.9965691535300181</v>
      </c>
      <c r="M30" s="512">
        <v>7.1966845706658491</v>
      </c>
      <c r="N30" s="513">
        <v>8.5241546497641458</v>
      </c>
      <c r="O30" s="512">
        <v>12.126748201575152</v>
      </c>
      <c r="P30" s="512">
        <v>10.721424196356415</v>
      </c>
      <c r="Q30" s="513">
        <v>12.372651034875698</v>
      </c>
      <c r="R30" s="23"/>
      <c r="S30" s="419">
        <v>0.162953666352573</v>
      </c>
      <c r="T30" s="512">
        <v>1.2752777503049484</v>
      </c>
      <c r="U30" s="514"/>
      <c r="V30" s="512">
        <v>3.9466944641194113</v>
      </c>
      <c r="W30" s="512">
        <v>2.8871074878796676</v>
      </c>
      <c r="X30" s="512">
        <v>3.5768905395415307</v>
      </c>
      <c r="Y30" s="514"/>
      <c r="Z30" s="419">
        <v>7.7852734223877729E-2</v>
      </c>
    </row>
    <row r="31" spans="2:26" ht="15" customHeight="1">
      <c r="B31" s="23" t="s">
        <v>331</v>
      </c>
      <c r="C31" s="23" t="s">
        <v>332</v>
      </c>
      <c r="D31" s="510" t="s">
        <v>333</v>
      </c>
      <c r="E31" s="416">
        <v>0.75240485152655789</v>
      </c>
      <c r="F31" s="511">
        <v>51894.675030225895</v>
      </c>
      <c r="G31" s="511">
        <v>227251.83520000003</v>
      </c>
      <c r="H31" s="23"/>
      <c r="I31" s="512">
        <v>0.17962938958118435</v>
      </c>
      <c r="J31" s="512">
        <v>0.17157703080858119</v>
      </c>
      <c r="K31" s="513">
        <v>0.16139141774342181</v>
      </c>
      <c r="L31" s="512">
        <v>5.057796069528834</v>
      </c>
      <c r="M31" s="512">
        <v>8.8068452643001098</v>
      </c>
      <c r="N31" s="513">
        <v>5.2489523142425263</v>
      </c>
      <c r="O31" s="512">
        <v>6.3393169828163369</v>
      </c>
      <c r="P31" s="512">
        <v>23.065164037918926</v>
      </c>
      <c r="Q31" s="513">
        <v>8.4645988082611598</v>
      </c>
      <c r="R31" s="23"/>
      <c r="S31" s="419">
        <v>3.551534840706181E-2</v>
      </c>
      <c r="T31" s="512">
        <v>2.565204112796498</v>
      </c>
      <c r="U31" s="514"/>
      <c r="V31" s="512">
        <v>1.262641936832265</v>
      </c>
      <c r="W31" s="512">
        <v>1.8579804900863051</v>
      </c>
      <c r="X31" s="512">
        <v>1.3376820279186525</v>
      </c>
      <c r="Y31" s="514"/>
      <c r="Z31" s="419">
        <v>0.25958147257099107</v>
      </c>
    </row>
    <row r="32" spans="2:26" ht="15" customHeight="1">
      <c r="B32" s="23"/>
      <c r="C32" s="23"/>
      <c r="D32" s="23"/>
      <c r="E32" s="23"/>
      <c r="F32" s="23"/>
      <c r="G32" s="23"/>
      <c r="H32" s="23"/>
      <c r="I32" s="23"/>
      <c r="J32" s="23"/>
      <c r="K32" s="514"/>
      <c r="L32" s="23"/>
      <c r="M32" s="23"/>
      <c r="N32" s="514"/>
      <c r="O32" s="23"/>
      <c r="P32" s="23"/>
      <c r="Q32" s="514"/>
      <c r="R32" s="23"/>
      <c r="S32" s="23"/>
      <c r="T32" s="23"/>
      <c r="U32" s="514"/>
      <c r="V32" s="23"/>
      <c r="W32" s="23"/>
      <c r="X32" s="23"/>
      <c r="Y32" s="514"/>
      <c r="Z32" s="23"/>
    </row>
    <row r="33" spans="2:26" ht="15" customHeight="1">
      <c r="B33" s="515" t="s">
        <v>315</v>
      </c>
      <c r="C33" s="516"/>
      <c r="D33" s="516"/>
      <c r="E33" s="516"/>
      <c r="F33" s="516"/>
      <c r="G33" s="516"/>
      <c r="H33" s="516"/>
      <c r="I33" s="517">
        <v>4.9281201927990947</v>
      </c>
      <c r="J33" s="517">
        <v>4.472875171544338</v>
      </c>
      <c r="K33" s="518">
        <v>3.7808915126325924</v>
      </c>
      <c r="L33" s="517">
        <v>35.326079355190501</v>
      </c>
      <c r="M33" s="517">
        <v>26.658125161504028</v>
      </c>
      <c r="N33" s="518">
        <v>20.918537856144109</v>
      </c>
      <c r="O33" s="517">
        <v>40.932273298653399</v>
      </c>
      <c r="P33" s="517">
        <v>35.368566173905407</v>
      </c>
      <c r="Q33" s="518">
        <v>25.998941746282963</v>
      </c>
      <c r="R33" s="516"/>
      <c r="S33" s="519">
        <v>0.12226870887805737</v>
      </c>
      <c r="T33" s="517">
        <v>1.4408905459201533</v>
      </c>
      <c r="U33" s="520"/>
      <c r="V33" s="517">
        <v>208.56567200051012</v>
      </c>
      <c r="W33" s="517">
        <v>189.86129095606663</v>
      </c>
      <c r="X33" s="517">
        <v>82.370618969056849</v>
      </c>
      <c r="Y33" s="520"/>
      <c r="Z33" s="519">
        <v>0.36295075901487339</v>
      </c>
    </row>
    <row r="34" spans="2:26" ht="15" customHeight="1">
      <c r="B34" s="521" t="s">
        <v>316</v>
      </c>
      <c r="C34" s="522"/>
      <c r="D34" s="522"/>
      <c r="E34" s="522"/>
      <c r="F34" s="522"/>
      <c r="G34" s="522"/>
      <c r="H34" s="522"/>
      <c r="I34" s="523">
        <v>2.5220406460364417</v>
      </c>
      <c r="J34" s="523">
        <v>2.4249408714686926</v>
      </c>
      <c r="K34" s="524">
        <v>2.2372075750360376</v>
      </c>
      <c r="L34" s="523">
        <v>12.618079468012663</v>
      </c>
      <c r="M34" s="523">
        <v>11.606980310488808</v>
      </c>
      <c r="N34" s="524">
        <v>10.348114026147229</v>
      </c>
      <c r="O34" s="523">
        <v>21.79663568367247</v>
      </c>
      <c r="P34" s="523">
        <v>26.513032631996449</v>
      </c>
      <c r="Q34" s="524">
        <v>18.455650360768011</v>
      </c>
      <c r="R34" s="522"/>
      <c r="S34" s="525">
        <v>0.13051727581386061</v>
      </c>
      <c r="T34" s="523">
        <v>1.1521617669962176</v>
      </c>
      <c r="U34" s="526"/>
      <c r="V34" s="523">
        <v>32.896140297829795</v>
      </c>
      <c r="W34" s="523">
        <v>26.24313369887237</v>
      </c>
      <c r="X34" s="523">
        <v>22.666832200870143</v>
      </c>
      <c r="Y34" s="526"/>
      <c r="Z34" s="525">
        <v>0.25958147257099107</v>
      </c>
    </row>
    <row r="36" spans="2:26" s="458" customFormat="1" ht="15" customHeight="1">
      <c r="B36" s="373" t="s">
        <v>334</v>
      </c>
      <c r="C36" s="32"/>
      <c r="D36" s="32"/>
      <c r="E36" s="32"/>
      <c r="F36" s="32"/>
      <c r="G36" s="32"/>
      <c r="H36" s="32"/>
      <c r="I36" s="32"/>
      <c r="J36" s="32"/>
      <c r="K36" s="32"/>
      <c r="L36" s="32"/>
      <c r="M36" s="32"/>
      <c r="N36" s="32"/>
      <c r="O36" s="32"/>
      <c r="P36" s="32"/>
      <c r="Q36" s="32"/>
      <c r="R36" s="32"/>
      <c r="S36" s="32"/>
      <c r="T36" s="32"/>
      <c r="U36" s="32"/>
      <c r="V36" s="32"/>
      <c r="W36" s="32"/>
      <c r="X36" s="32"/>
      <c r="Y36" s="32"/>
      <c r="Z36" s="32"/>
    </row>
    <row r="37" spans="2:26" ht="4.3499999999999996" customHeight="1">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spans="2:26" ht="4.3499999999999996" customHeight="1">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2:26" ht="15" customHeight="1">
      <c r="B39" s="23" t="s">
        <v>335</v>
      </c>
      <c r="C39" s="23" t="s">
        <v>336</v>
      </c>
      <c r="D39" s="510" t="s">
        <v>337</v>
      </c>
      <c r="E39" s="416">
        <v>0.85260311020960111</v>
      </c>
      <c r="F39" s="511">
        <v>201179.374675</v>
      </c>
      <c r="G39" s="511">
        <v>27199.014661054687</v>
      </c>
      <c r="H39" s="23"/>
      <c r="I39" s="512">
        <v>0.47879688526158198</v>
      </c>
      <c r="J39" s="512">
        <v>0.52026156832132453</v>
      </c>
      <c r="K39" s="513">
        <v>0.5522004338330454</v>
      </c>
      <c r="L39" s="512">
        <v>2.0068630311410529</v>
      </c>
      <c r="M39" s="512">
        <v>3.0128880950853203</v>
      </c>
      <c r="N39" s="513">
        <v>4.5997519391718162</v>
      </c>
      <c r="O39" s="512">
        <v>3.834627754272478</v>
      </c>
      <c r="P39" s="512">
        <v>9.5032335438054449</v>
      </c>
      <c r="Q39" s="513">
        <v>-72.882094635079767</v>
      </c>
      <c r="R39" s="23"/>
      <c r="S39" s="419">
        <v>0.23857975249529106</v>
      </c>
      <c r="T39" s="512">
        <v>1.3079482439926062</v>
      </c>
      <c r="U39" s="514"/>
      <c r="V39" s="512">
        <v>29.140213949772878</v>
      </c>
      <c r="W39" s="512">
        <v>77.979524274196677</v>
      </c>
      <c r="X39" s="512">
        <v>-247.77310754972595</v>
      </c>
      <c r="Y39" s="514"/>
      <c r="Z39" s="419">
        <v>-1.548444790467709</v>
      </c>
    </row>
    <row r="40" spans="2:26" ht="15" customHeight="1">
      <c r="B40" s="23" t="s">
        <v>338</v>
      </c>
      <c r="C40" s="23" t="s">
        <v>339</v>
      </c>
      <c r="D40" s="510" t="s">
        <v>340</v>
      </c>
      <c r="E40" s="416">
        <v>0.6728395061728395</v>
      </c>
      <c r="F40" s="511">
        <v>18596.082581999999</v>
      </c>
      <c r="G40" s="511">
        <v>23224.963088</v>
      </c>
      <c r="H40" s="23"/>
      <c r="I40" s="512">
        <v>0.90274665091149375</v>
      </c>
      <c r="J40" s="512">
        <v>0.92618846770897101</v>
      </c>
      <c r="K40" s="513">
        <v>0.91627693456056125</v>
      </c>
      <c r="L40" s="512">
        <v>9.3535896447845346</v>
      </c>
      <c r="M40" s="512">
        <v>10.023505357243046</v>
      </c>
      <c r="N40" s="513">
        <v>9.7915061818335136</v>
      </c>
      <c r="O40" s="512">
        <v>14.362995106988251</v>
      </c>
      <c r="P40" s="512">
        <v>16.018320634526518</v>
      </c>
      <c r="Q40" s="513">
        <v>15.543930052538231</v>
      </c>
      <c r="R40" s="23"/>
      <c r="S40" s="419">
        <v>9.6513390601313795E-2</v>
      </c>
      <c r="T40" s="512">
        <v>1.3700724054706355</v>
      </c>
      <c r="U40" s="514"/>
      <c r="V40" s="512">
        <v>16.148358066801073</v>
      </c>
      <c r="W40" s="512">
        <v>18.053418074010622</v>
      </c>
      <c r="X40" s="512">
        <v>17.797297972977539</v>
      </c>
      <c r="Y40" s="514"/>
      <c r="Z40" s="419">
        <v>5.1829791110184376E-2</v>
      </c>
    </row>
    <row r="41" spans="2:26" ht="15" hidden="1" customHeight="1">
      <c r="B41" s="23" t="s">
        <v>341</v>
      </c>
      <c r="C41" s="23" t="s">
        <v>342</v>
      </c>
      <c r="D41" s="510" t="s">
        <v>343</v>
      </c>
      <c r="E41" s="416" t="e">
        <v>#VALUE!</v>
      </c>
      <c r="F41" s="511" t="s">
        <v>324</v>
      </c>
      <c r="G41" s="511" t="s">
        <v>344</v>
      </c>
      <c r="H41" s="23"/>
      <c r="I41" s="512"/>
      <c r="J41" s="512"/>
      <c r="K41" s="513"/>
      <c r="L41" s="512"/>
      <c r="M41" s="512"/>
      <c r="N41" s="513"/>
      <c r="O41" s="512"/>
      <c r="P41" s="512"/>
      <c r="Q41" s="513"/>
      <c r="R41" s="23"/>
      <c r="S41" s="419"/>
      <c r="T41" s="512"/>
      <c r="U41" s="514"/>
      <c r="V41" s="512"/>
      <c r="W41" s="512"/>
      <c r="X41" s="512"/>
      <c r="Y41" s="514"/>
      <c r="Z41" s="419"/>
    </row>
    <row r="42" spans="2:26" ht="15" customHeight="1">
      <c r="B42" s="23" t="s">
        <v>345</v>
      </c>
      <c r="C42" s="23" t="s">
        <v>346</v>
      </c>
      <c r="D42" s="510" t="s">
        <v>347</v>
      </c>
      <c r="E42" s="416">
        <v>0.93732193732193736</v>
      </c>
      <c r="F42" s="511">
        <v>855297</v>
      </c>
      <c r="G42" s="511">
        <v>1414876.4554900001</v>
      </c>
      <c r="H42" s="23"/>
      <c r="I42" s="512">
        <v>0.5442378852223243</v>
      </c>
      <c r="J42" s="512">
        <v>0.54166503997708282</v>
      </c>
      <c r="K42" s="513">
        <v>0.52807790985952752</v>
      </c>
      <c r="L42" s="512">
        <v>5.5340814010857917</v>
      </c>
      <c r="M42" s="512">
        <v>5.8111894900287302</v>
      </c>
      <c r="N42" s="513">
        <v>5.1401501871959123</v>
      </c>
      <c r="O42" s="512">
        <v>21.063485611415473</v>
      </c>
      <c r="P42" s="512">
        <v>23.243392804761452</v>
      </c>
      <c r="Q42" s="513">
        <v>15.829513519462898</v>
      </c>
      <c r="R42" s="23"/>
      <c r="S42" s="419">
        <v>9.8342949042192318E-2</v>
      </c>
      <c r="T42" s="512">
        <v>3.5195987916778022</v>
      </c>
      <c r="U42" s="514"/>
      <c r="V42" s="512">
        <v>24.278411596452379</v>
      </c>
      <c r="W42" s="512">
        <v>24.771961189589121</v>
      </c>
      <c r="X42" s="512">
        <v>15.034344063855796</v>
      </c>
      <c r="Y42" s="514"/>
      <c r="Z42" s="419">
        <v>0.2551216292123899</v>
      </c>
    </row>
    <row r="43" spans="2:26" ht="15" customHeight="1">
      <c r="B43" s="23" t="s">
        <v>348</v>
      </c>
      <c r="C43" s="23" t="s">
        <v>349</v>
      </c>
      <c r="D43" s="510" t="s">
        <v>350</v>
      </c>
      <c r="E43" s="416">
        <v>0.95284552845528447</v>
      </c>
      <c r="F43" s="511">
        <v>16953.957518400002</v>
      </c>
      <c r="G43" s="511">
        <v>14871.376499999997</v>
      </c>
      <c r="H43" s="23"/>
      <c r="I43" s="512">
        <v>1.3191867128413199</v>
      </c>
      <c r="J43" s="512">
        <v>1.3877502428983117</v>
      </c>
      <c r="K43" s="513">
        <v>1.3848492241790729</v>
      </c>
      <c r="L43" s="512">
        <v>12.649783561566927</v>
      </c>
      <c r="M43" s="512">
        <v>14.207190351086695</v>
      </c>
      <c r="N43" s="513">
        <v>14.446995992714022</v>
      </c>
      <c r="O43" s="512">
        <v>13.322955917371273</v>
      </c>
      <c r="P43" s="512">
        <v>15.050208387903318</v>
      </c>
      <c r="Q43" s="513">
        <v>15.426739107883813</v>
      </c>
      <c r="R43" s="23"/>
      <c r="S43" s="419">
        <v>0.10428531890848514</v>
      </c>
      <c r="T43" s="512">
        <v>0.49892695192251252</v>
      </c>
      <c r="U43" s="514"/>
      <c r="V43" s="512">
        <v>19.87985464523036</v>
      </c>
      <c r="W43" s="512">
        <v>22.566338695020359</v>
      </c>
      <c r="X43" s="512">
        <v>22.95534571332826</v>
      </c>
      <c r="Y43" s="514"/>
      <c r="Z43" s="419">
        <v>2.4269636198303468E-2</v>
      </c>
    </row>
    <row r="44" spans="2:26" ht="15" customHeight="1">
      <c r="B44" s="23"/>
      <c r="C44" s="23"/>
      <c r="D44" s="23"/>
      <c r="E44" s="23"/>
      <c r="F44" s="23"/>
      <c r="G44" s="23"/>
      <c r="H44" s="23"/>
      <c r="I44" s="23"/>
      <c r="J44" s="23"/>
      <c r="K44" s="527"/>
      <c r="L44" s="23"/>
      <c r="M44" s="23"/>
      <c r="N44" s="514"/>
      <c r="O44" s="23"/>
      <c r="P44" s="23"/>
      <c r="Q44" s="514"/>
      <c r="R44" s="23"/>
      <c r="S44" s="23"/>
      <c r="T44" s="23"/>
      <c r="U44" s="514"/>
      <c r="V44" s="23"/>
      <c r="W44" s="23"/>
      <c r="X44" s="23"/>
      <c r="Y44" s="514"/>
      <c r="Z44" s="23"/>
    </row>
    <row r="45" spans="2:26" ht="15" customHeight="1">
      <c r="B45" s="515" t="s">
        <v>315</v>
      </c>
      <c r="C45" s="516"/>
      <c r="D45" s="516"/>
      <c r="E45" s="516"/>
      <c r="F45" s="516"/>
      <c r="G45" s="516"/>
      <c r="H45" s="516"/>
      <c r="I45" s="517">
        <v>0.81124203355918001</v>
      </c>
      <c r="J45" s="517">
        <v>0.8439663297264226</v>
      </c>
      <c r="K45" s="517">
        <v>0.8453511256080517</v>
      </c>
      <c r="L45" s="517">
        <v>7.3860794096445765</v>
      </c>
      <c r="M45" s="517">
        <v>8.2636933233609469</v>
      </c>
      <c r="N45" s="517">
        <v>8.4946010752288164</v>
      </c>
      <c r="O45" s="517">
        <v>13.146016097511868</v>
      </c>
      <c r="P45" s="517">
        <v>15.953788842749182</v>
      </c>
      <c r="Q45" s="517">
        <v>-6.5204779887987065</v>
      </c>
      <c r="R45" s="517"/>
      <c r="S45" s="517">
        <v>0.13443035276182058</v>
      </c>
      <c r="T45" s="517">
        <v>1.6741365982658889</v>
      </c>
      <c r="U45" s="520"/>
      <c r="V45" s="517">
        <v>22.361709564564173</v>
      </c>
      <c r="W45" s="517">
        <v>35.842810558204192</v>
      </c>
      <c r="X45" s="517">
        <v>-47.996529949891091</v>
      </c>
      <c r="Y45" s="520"/>
      <c r="Z45" s="528">
        <v>-0.30430593348670781</v>
      </c>
    </row>
    <row r="46" spans="2:26" ht="15" customHeight="1">
      <c r="B46" s="521" t="s">
        <v>316</v>
      </c>
      <c r="C46" s="522"/>
      <c r="D46" s="522"/>
      <c r="E46" s="522"/>
      <c r="F46" s="522"/>
      <c r="G46" s="522"/>
      <c r="H46" s="522"/>
      <c r="I46" s="523">
        <v>0.72349226806690903</v>
      </c>
      <c r="J46" s="523">
        <v>0.73392675384302697</v>
      </c>
      <c r="K46" s="523">
        <v>0.73423868419680338</v>
      </c>
      <c r="L46" s="523">
        <v>7.4438355229351636</v>
      </c>
      <c r="M46" s="523">
        <v>7.9173474236358885</v>
      </c>
      <c r="N46" s="523">
        <v>7.465828184514713</v>
      </c>
      <c r="O46" s="523">
        <v>13.842975512179763</v>
      </c>
      <c r="P46" s="523">
        <v>15.534264511214918</v>
      </c>
      <c r="Q46" s="523">
        <v>15.485334580211022</v>
      </c>
      <c r="R46" s="522"/>
      <c r="S46" s="525">
        <v>0.10131413397533873</v>
      </c>
      <c r="T46" s="523">
        <v>1.3390103247316207</v>
      </c>
      <c r="U46" s="526"/>
      <c r="V46" s="523">
        <v>22.079133120841369</v>
      </c>
      <c r="W46" s="523">
        <v>23.669149942304742</v>
      </c>
      <c r="X46" s="523">
        <v>16.415821018416668</v>
      </c>
      <c r="Y46" s="526"/>
      <c r="Z46" s="529">
        <v>3.8049713654243922E-2</v>
      </c>
    </row>
    <row r="47" spans="2:26" ht="15" customHeight="1">
      <c r="B47" s="23"/>
      <c r="C47" s="23"/>
      <c r="D47" s="23"/>
      <c r="E47" s="23"/>
      <c r="F47" s="23"/>
      <c r="G47" s="23"/>
      <c r="H47" s="23"/>
      <c r="I47" s="23"/>
      <c r="J47" s="530"/>
      <c r="K47" s="23"/>
      <c r="L47" s="23"/>
      <c r="M47" s="23"/>
      <c r="N47" s="23"/>
      <c r="O47" s="23"/>
      <c r="P47" s="23"/>
      <c r="Q47" s="23"/>
      <c r="R47" s="23"/>
      <c r="S47" s="23"/>
      <c r="T47" s="23"/>
      <c r="U47" s="23"/>
      <c r="V47" s="23"/>
      <c r="W47" s="23">
        <v>4</v>
      </c>
      <c r="X47" s="23"/>
      <c r="Y47" s="23"/>
      <c r="Z47" s="23"/>
    </row>
    <row r="48" spans="2:26" s="458" customFormat="1" ht="15" customHeight="1">
      <c r="B48" s="373" t="s">
        <v>351</v>
      </c>
      <c r="C48" s="32"/>
      <c r="D48" s="32"/>
      <c r="E48" s="32"/>
      <c r="F48" s="32"/>
      <c r="G48" s="32"/>
      <c r="H48" s="32"/>
      <c r="I48" s="32"/>
      <c r="J48" s="531"/>
      <c r="K48" s="32"/>
      <c r="L48" s="32"/>
      <c r="M48" s="32"/>
      <c r="N48" s="32"/>
      <c r="O48" s="32"/>
      <c r="P48" s="32"/>
      <c r="Q48" s="32"/>
      <c r="R48" s="32"/>
      <c r="S48" s="32"/>
      <c r="T48" s="32"/>
      <c r="U48" s="32"/>
      <c r="V48" s="32"/>
      <c r="W48" s="32"/>
      <c r="X48" s="32"/>
      <c r="Y48" s="32"/>
      <c r="Z48" s="32"/>
    </row>
    <row r="49" spans="2:26" ht="4.3499999999999996" customHeight="1">
      <c r="B49" s="36"/>
      <c r="C49" s="36"/>
      <c r="D49" s="36"/>
      <c r="E49" s="36"/>
      <c r="F49" s="36"/>
      <c r="G49" s="36"/>
      <c r="H49" s="36"/>
      <c r="I49" s="36"/>
      <c r="J49" s="532"/>
      <c r="K49" s="36"/>
      <c r="L49" s="36"/>
      <c r="M49" s="36"/>
      <c r="N49" s="36"/>
      <c r="O49" s="36"/>
      <c r="P49" s="36"/>
      <c r="Q49" s="36"/>
      <c r="R49" s="36"/>
      <c r="S49" s="36"/>
      <c r="T49" s="36"/>
      <c r="U49" s="36"/>
      <c r="V49" s="36"/>
      <c r="W49" s="36"/>
      <c r="X49" s="36"/>
      <c r="Y49" s="36"/>
      <c r="Z49" s="36"/>
    </row>
    <row r="50" spans="2:26" ht="15" customHeight="1">
      <c r="B50" s="23"/>
      <c r="C50" s="23"/>
      <c r="D50" s="23"/>
      <c r="E50" s="23"/>
      <c r="F50" s="23"/>
      <c r="G50" s="23"/>
      <c r="H50" s="23"/>
      <c r="I50" s="23"/>
      <c r="J50" s="530"/>
      <c r="K50" s="23"/>
      <c r="L50" s="23"/>
      <c r="M50" s="23"/>
      <c r="N50" s="23"/>
      <c r="O50" s="23"/>
      <c r="P50" s="23"/>
      <c r="Q50" s="23"/>
      <c r="R50" s="23"/>
      <c r="S50" s="23"/>
      <c r="T50" s="23"/>
      <c r="U50" s="23"/>
      <c r="V50" s="23"/>
      <c r="W50" s="23"/>
      <c r="X50" s="23"/>
      <c r="Y50" s="23"/>
      <c r="Z50" s="23"/>
    </row>
    <row r="51" spans="2:26" ht="15" customHeight="1">
      <c r="B51" s="515" t="s">
        <v>315</v>
      </c>
      <c r="C51" s="516"/>
      <c r="D51" s="516"/>
      <c r="E51" s="516"/>
      <c r="F51" s="516"/>
      <c r="G51" s="516"/>
      <c r="H51" s="516"/>
      <c r="I51" s="517">
        <v>2.6701950330829165</v>
      </c>
      <c r="J51" s="517">
        <v>2.5482931273995479</v>
      </c>
      <c r="K51" s="518">
        <v>2.2948666042159807</v>
      </c>
      <c r="L51" s="517">
        <v>17.658531020502473</v>
      </c>
      <c r="M51" s="517">
        <v>15.427162519662186</v>
      </c>
      <c r="N51" s="518">
        <v>13.335600541014674</v>
      </c>
      <c r="O51" s="517">
        <v>23.741871842275263</v>
      </c>
      <c r="P51" s="517">
        <v>23.024856410150846</v>
      </c>
      <c r="Q51" s="517">
        <v>12.437842606098201</v>
      </c>
      <c r="R51" s="516"/>
      <c r="S51" s="519">
        <v>0.14539087508252882</v>
      </c>
      <c r="T51" s="517">
        <v>1.6724302202094017</v>
      </c>
      <c r="U51" s="520"/>
      <c r="V51" s="517">
        <v>89.236641239711119</v>
      </c>
      <c r="W51" s="517">
        <v>86.349059149030467</v>
      </c>
      <c r="X51" s="517">
        <v>22.874769480991834</v>
      </c>
      <c r="Y51" s="520"/>
      <c r="Z51" s="528">
        <v>9.187533211718503E-2</v>
      </c>
    </row>
    <row r="52" spans="2:26" ht="15" customHeight="1">
      <c r="B52" s="521" t="s">
        <v>316</v>
      </c>
      <c r="C52" s="522"/>
      <c r="D52" s="522"/>
      <c r="E52" s="522"/>
      <c r="F52" s="522"/>
      <c r="G52" s="522"/>
      <c r="H52" s="522"/>
      <c r="I52" s="523">
        <v>1.2905103634488198</v>
      </c>
      <c r="J52" s="523">
        <v>1.2990691767223177</v>
      </c>
      <c r="K52" s="524">
        <v>1.239145196441227</v>
      </c>
      <c r="L52" s="523">
        <v>9.3535896447845346</v>
      </c>
      <c r="M52" s="523">
        <v>10.023505357243046</v>
      </c>
      <c r="N52" s="524">
        <v>9.2032526610443153</v>
      </c>
      <c r="O52" s="523">
        <v>14.362995106988251</v>
      </c>
      <c r="P52" s="523">
        <v>19.367234646680142</v>
      </c>
      <c r="Q52" s="523">
        <v>15.543930052538231</v>
      </c>
      <c r="R52" s="522"/>
      <c r="S52" s="525">
        <v>0.13198736535522437</v>
      </c>
      <c r="T52" s="523">
        <v>1.3079482439926062</v>
      </c>
      <c r="U52" s="526"/>
      <c r="V52" s="523">
        <v>23.823617412291071</v>
      </c>
      <c r="W52" s="523">
        <v>24.755939635214158</v>
      </c>
      <c r="X52" s="523">
        <v>19.3625038177045</v>
      </c>
      <c r="Y52" s="526"/>
      <c r="Z52" s="529">
        <v>0.15358486791254733</v>
      </c>
    </row>
    <row r="53" spans="2:26" ht="15" customHeight="1">
      <c r="B53" s="23"/>
      <c r="C53" s="23"/>
      <c r="D53" s="23"/>
      <c r="E53" s="23"/>
      <c r="F53" s="23"/>
      <c r="G53" s="23"/>
      <c r="H53" s="23"/>
      <c r="I53" s="23"/>
      <c r="J53" s="530"/>
      <c r="K53" s="23"/>
      <c r="L53" s="23"/>
      <c r="M53" s="23"/>
      <c r="N53" s="23"/>
      <c r="O53" s="23"/>
      <c r="P53" s="23"/>
      <c r="Q53" s="23"/>
      <c r="R53" s="23"/>
      <c r="S53" s="23"/>
      <c r="T53" s="23"/>
      <c r="U53" s="23"/>
      <c r="V53" s="23"/>
      <c r="W53" s="23"/>
      <c r="X53" s="23"/>
      <c r="Y53" s="23"/>
      <c r="Z53" s="23"/>
    </row>
    <row r="54" spans="2:26" ht="15" customHeight="1">
      <c r="B54" s="515" t="s">
        <v>293</v>
      </c>
      <c r="C54" s="516"/>
      <c r="D54" s="516"/>
      <c r="E54" s="516"/>
      <c r="F54" s="516"/>
      <c r="G54" s="516"/>
      <c r="H54" s="516"/>
      <c r="I54" s="517">
        <v>14.48877008954231</v>
      </c>
      <c r="J54" s="517">
        <v>12.870041912431384</v>
      </c>
      <c r="K54" s="518">
        <v>10.487759482714871</v>
      </c>
      <c r="L54" s="517">
        <v>111.01036241520788</v>
      </c>
      <c r="M54" s="517">
        <v>76.221855454372644</v>
      </c>
      <c r="N54" s="518">
        <v>57.728971058039448</v>
      </c>
      <c r="O54" s="517">
        <v>113.79650484445231</v>
      </c>
      <c r="P54" s="517">
        <v>77.726775235272314</v>
      </c>
      <c r="Q54" s="517">
        <v>58.619867455334663</v>
      </c>
      <c r="R54" s="516">
        <v>0</v>
      </c>
      <c r="S54" s="519">
        <v>0.31706026756182626</v>
      </c>
      <c r="T54" s="517">
        <v>3.537351443123939</v>
      </c>
      <c r="U54" s="520"/>
      <c r="V54" s="517">
        <v>860.28502409172506</v>
      </c>
      <c r="W54" s="517">
        <v>809.15487643344329</v>
      </c>
      <c r="X54" s="517">
        <v>298.78938847683372</v>
      </c>
      <c r="Y54" s="520"/>
      <c r="Z54" s="528">
        <v>1.0278293251641331</v>
      </c>
    </row>
    <row r="55" spans="2:26" ht="15" customHeight="1">
      <c r="B55" s="521" t="s">
        <v>352</v>
      </c>
      <c r="C55" s="522"/>
      <c r="D55" s="522"/>
      <c r="E55" s="522"/>
      <c r="F55" s="522"/>
      <c r="G55" s="522"/>
      <c r="H55" s="522"/>
      <c r="I55" s="523">
        <v>0.17962938958118435</v>
      </c>
      <c r="J55" s="523">
        <v>0.17157703080858119</v>
      </c>
      <c r="K55" s="524">
        <v>0.16139141774342181</v>
      </c>
      <c r="L55" s="523">
        <v>2.0068630311410529</v>
      </c>
      <c r="M55" s="523">
        <v>3.0128880950853203</v>
      </c>
      <c r="N55" s="524">
        <v>4.5997519391718162</v>
      </c>
      <c r="O55" s="523">
        <v>3.834627754272478</v>
      </c>
      <c r="P55" s="523">
        <v>9.5032335438054449</v>
      </c>
      <c r="Q55" s="523">
        <v>-72.882094635079767</v>
      </c>
      <c r="R55" s="522">
        <v>0</v>
      </c>
      <c r="S55" s="525">
        <v>3.551534840706181E-2</v>
      </c>
      <c r="T55" s="523">
        <v>9.5121226517240975E-2</v>
      </c>
      <c r="U55" s="526"/>
      <c r="V55" s="523">
        <v>1.262641936832265</v>
      </c>
      <c r="W55" s="523">
        <v>1.8579804900863051</v>
      </c>
      <c r="X55" s="523">
        <v>-247.77310754972595</v>
      </c>
      <c r="Y55" s="526"/>
      <c r="Z55" s="529">
        <v>-1.548444790467709</v>
      </c>
    </row>
  </sheetData>
  <mergeCells count="2">
    <mergeCell ref="I7:Q7"/>
    <mergeCell ref="V7:X7"/>
  </mergeCells>
  <conditionalFormatting sqref="I15:I19 I27:I31 I39:I43">
    <cfRule type="colorScale" priority="23">
      <colorScale>
        <cfvo type="min"/>
        <cfvo type="percentile" val="50"/>
        <cfvo type="max"/>
        <color rgb="FF8DEB91"/>
        <color theme="0"/>
        <color theme="4" tint="0.79998168889431442"/>
      </colorScale>
    </cfRule>
  </conditionalFormatting>
  <conditionalFormatting sqref="J15:J19 J27:J31 J39:J43">
    <cfRule type="colorScale" priority="14">
      <colorScale>
        <cfvo type="min"/>
        <cfvo type="percentile" val="50"/>
        <cfvo type="max"/>
        <color rgb="FF8DEB91"/>
        <color theme="0"/>
        <color theme="4" tint="0.79998168889431442"/>
      </colorScale>
    </cfRule>
  </conditionalFormatting>
  <conditionalFormatting sqref="K15:K19 K27:K31 K39:K43">
    <cfRule type="colorScale" priority="13">
      <colorScale>
        <cfvo type="min"/>
        <cfvo type="percentile" val="50"/>
        <cfvo type="max"/>
        <color rgb="FF8DEB91"/>
        <color theme="0"/>
        <color theme="4" tint="0.79998168889431442"/>
      </colorScale>
    </cfRule>
  </conditionalFormatting>
  <conditionalFormatting sqref="L15:L19 L27:L31 L39:L43">
    <cfRule type="colorScale" priority="12">
      <colorScale>
        <cfvo type="min"/>
        <cfvo type="percentile" val="50"/>
        <cfvo type="max"/>
        <color rgb="FF8DEB91"/>
        <color theme="0"/>
        <color theme="4" tint="0.79998168889431442"/>
      </colorScale>
    </cfRule>
  </conditionalFormatting>
  <conditionalFormatting sqref="M15:M19 M27:M31 M39:M43">
    <cfRule type="colorScale" priority="11">
      <colorScale>
        <cfvo type="min"/>
        <cfvo type="percentile" val="50"/>
        <cfvo type="max"/>
        <color rgb="FF8DEB91"/>
        <color theme="0"/>
        <color theme="4" tint="0.79998168889431442"/>
      </colorScale>
    </cfRule>
  </conditionalFormatting>
  <conditionalFormatting sqref="N15:N19 N27:N31 N39:N43">
    <cfRule type="colorScale" priority="10">
      <colorScale>
        <cfvo type="min"/>
        <cfvo type="percentile" val="50"/>
        <cfvo type="max"/>
        <color rgb="FF8DEB91"/>
        <color theme="0"/>
        <color theme="4" tint="0.79998168889431442"/>
      </colorScale>
    </cfRule>
  </conditionalFormatting>
  <conditionalFormatting sqref="O15:O19 O27:O31 O39:O43">
    <cfRule type="colorScale" priority="9">
      <colorScale>
        <cfvo type="min"/>
        <cfvo type="percentile" val="50"/>
        <cfvo type="max"/>
        <color rgb="FF8DEB91"/>
        <color theme="0"/>
        <color theme="4" tint="0.79998168889431442"/>
      </colorScale>
    </cfRule>
  </conditionalFormatting>
  <conditionalFormatting sqref="P15:P19 P27:P31 P39:P43">
    <cfRule type="colorScale" priority="8">
      <colorScale>
        <cfvo type="min"/>
        <cfvo type="percentile" val="50"/>
        <cfvo type="max"/>
        <color rgb="FF8DEB91"/>
        <color theme="0"/>
        <color theme="4" tint="0.79998168889431442"/>
      </colorScale>
    </cfRule>
  </conditionalFormatting>
  <conditionalFormatting sqref="Q15:Q19 Q27:Q31 Q39:Q43">
    <cfRule type="colorScale" priority="7">
      <colorScale>
        <cfvo type="min"/>
        <cfvo type="percentile" val="50"/>
        <cfvo type="max"/>
        <color rgb="FF8DEB91"/>
        <color theme="0"/>
        <color theme="4" tint="0.79998168889431442"/>
      </colorScale>
    </cfRule>
  </conditionalFormatting>
  <conditionalFormatting sqref="S15:S19 S27:S31 S39:S43">
    <cfRule type="colorScale" priority="2">
      <colorScale>
        <cfvo type="min"/>
        <cfvo type="percentile" val="50"/>
        <cfvo type="max"/>
        <color theme="4" tint="0.79998168889431442"/>
        <color theme="0"/>
        <color rgb="FF8DEB91"/>
      </colorScale>
    </cfRule>
  </conditionalFormatting>
  <conditionalFormatting sqref="T15:T19 T27:T31 T39:T43">
    <cfRule type="colorScale" priority="6">
      <colorScale>
        <cfvo type="min"/>
        <cfvo type="percentile" val="50"/>
        <cfvo type="max"/>
        <color rgb="FF8DEB91"/>
        <color theme="0"/>
        <color theme="4" tint="0.79998168889431442"/>
      </colorScale>
    </cfRule>
  </conditionalFormatting>
  <conditionalFormatting sqref="V15:V19 V27:V31 V39:V43">
    <cfRule type="colorScale" priority="5">
      <colorScale>
        <cfvo type="min"/>
        <cfvo type="percentile" val="50"/>
        <cfvo type="max"/>
        <color rgb="FF8DEB91"/>
        <color theme="0"/>
        <color theme="4" tint="0.79998168889431442"/>
      </colorScale>
    </cfRule>
  </conditionalFormatting>
  <conditionalFormatting sqref="W15:W19 W27:W31 W39:W43">
    <cfRule type="colorScale" priority="4">
      <colorScale>
        <cfvo type="min"/>
        <cfvo type="percentile" val="50"/>
        <cfvo type="max"/>
        <color rgb="FF8DEB91"/>
        <color theme="0"/>
        <color theme="4" tint="0.79998168889431442"/>
      </colorScale>
    </cfRule>
  </conditionalFormatting>
  <conditionalFormatting sqref="X15:X19 X27:X31 X39:X43">
    <cfRule type="colorScale" priority="3">
      <colorScale>
        <cfvo type="min"/>
        <cfvo type="percentile" val="50"/>
        <cfvo type="max"/>
        <color rgb="FF8DEB91"/>
        <color theme="0"/>
        <color theme="4" tint="0.79998168889431442"/>
      </colorScale>
    </cfRule>
  </conditionalFormatting>
  <conditionalFormatting sqref="Z15:Z19 Z27:Z31 Z39:Z43">
    <cfRule type="colorScale" priority="1">
      <colorScale>
        <cfvo type="min"/>
        <cfvo type="percentile" val="50"/>
        <cfvo type="max"/>
        <color theme="4" tint="0.79998168889431442"/>
        <color theme="0"/>
        <color rgb="FF8DEB91"/>
      </colorScale>
    </cfRule>
  </conditionalFormatting>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39997558519241921"/>
  </sheetPr>
  <dimension ref="A1:R91"/>
  <sheetViews>
    <sheetView showGridLines="0" zoomScale="115" zoomScaleNormal="115" workbookViewId="0">
      <selection activeCell="B88" sqref="B88"/>
    </sheetView>
  </sheetViews>
  <sheetFormatPr defaultColWidth="11.625" defaultRowHeight="15" customHeight="1"/>
  <cols>
    <col min="1" max="1" width="2.125" style="23" customWidth="1"/>
    <col min="2" max="2" width="31.125" style="23" customWidth="1"/>
    <col min="3" max="18" width="12.125" style="23" customWidth="1"/>
    <col min="19" max="16384" width="11.625" style="23"/>
  </cols>
  <sheetData>
    <row r="1" spans="1:18" s="468" customFormat="1" ht="15" customHeight="1"/>
    <row r="2" spans="1:18" s="468" customFormat="1" ht="15" customHeight="1"/>
    <row r="3" spans="1:18" s="468" customFormat="1" ht="15" customHeight="1"/>
    <row r="4" spans="1:18" s="468" customFormat="1" ht="15" customHeight="1"/>
    <row r="5" spans="1:18" s="36" customFormat="1" ht="4.3499999999999996" customHeight="1"/>
    <row r="7" spans="1:18" ht="15" customHeight="1">
      <c r="B7" s="478" t="s">
        <v>353</v>
      </c>
      <c r="C7" s="468"/>
      <c r="D7" s="468"/>
      <c r="E7" s="468"/>
      <c r="F7" s="468"/>
      <c r="G7" s="468"/>
      <c r="H7" s="468"/>
      <c r="I7" s="468"/>
      <c r="J7" s="468"/>
      <c r="K7" s="468"/>
      <c r="L7" s="468"/>
      <c r="M7" s="468"/>
      <c r="N7" s="468"/>
      <c r="O7" s="468"/>
      <c r="P7" s="468"/>
      <c r="Q7" s="468"/>
      <c r="R7" s="468"/>
    </row>
    <row r="8" spans="1:18" ht="15" customHeight="1">
      <c r="B8" s="468"/>
      <c r="C8" s="468"/>
      <c r="D8" s="468"/>
      <c r="E8" s="468"/>
      <c r="F8" s="468"/>
      <c r="G8" s="468"/>
      <c r="H8" s="468"/>
      <c r="I8" s="468"/>
      <c r="J8" s="468"/>
      <c r="K8" s="468"/>
      <c r="L8" s="468"/>
      <c r="M8" s="468"/>
      <c r="N8" s="468"/>
      <c r="O8" s="468"/>
      <c r="P8" s="468"/>
      <c r="Q8" s="468"/>
      <c r="R8" s="468"/>
    </row>
    <row r="9" spans="1:18" ht="15" customHeight="1">
      <c r="B9" s="468"/>
      <c r="C9" s="468"/>
      <c r="D9" s="468"/>
      <c r="E9" s="468"/>
      <c r="F9" s="468"/>
      <c r="G9" s="468"/>
      <c r="H9" s="468"/>
      <c r="I9" s="468"/>
      <c r="J9" s="468"/>
      <c r="K9" s="468"/>
      <c r="L9" s="468"/>
      <c r="M9" s="468"/>
      <c r="N9" s="468"/>
      <c r="O9" s="468"/>
      <c r="P9" s="468"/>
      <c r="Q9" s="468"/>
      <c r="R9" s="468"/>
    </row>
    <row r="10" spans="1:18" ht="4.3499999999999996" customHeight="1">
      <c r="B10" s="36"/>
      <c r="C10" s="36"/>
      <c r="D10" s="36"/>
      <c r="E10" s="36"/>
      <c r="F10" s="36"/>
      <c r="G10" s="36"/>
      <c r="H10" s="36"/>
      <c r="I10" s="36"/>
      <c r="J10" s="36"/>
      <c r="K10" s="36"/>
      <c r="L10" s="36"/>
      <c r="M10" s="36"/>
      <c r="N10" s="36"/>
      <c r="O10" s="36"/>
      <c r="P10" s="36"/>
      <c r="Q10" s="36"/>
      <c r="R10" s="36"/>
    </row>
    <row r="11" spans="1:18" ht="4.3499999999999996" customHeight="1"/>
    <row r="12" spans="1:18" ht="15" customHeight="1">
      <c r="A12" s="381" t="s">
        <v>37</v>
      </c>
      <c r="B12" s="483" t="s">
        <v>298</v>
      </c>
      <c r="C12" s="484" t="s">
        <v>354</v>
      </c>
      <c r="D12" s="484" t="s">
        <v>300</v>
      </c>
      <c r="E12" s="484" t="s">
        <v>303</v>
      </c>
      <c r="F12" s="484" t="s">
        <v>306</v>
      </c>
      <c r="G12" s="484" t="s">
        <v>309</v>
      </c>
      <c r="H12" s="484" t="s">
        <v>312</v>
      </c>
      <c r="I12" s="484" t="s">
        <v>318</v>
      </c>
      <c r="J12" s="484" t="s">
        <v>321</v>
      </c>
      <c r="K12" s="484" t="s">
        <v>325</v>
      </c>
      <c r="L12" s="484" t="s">
        <v>328</v>
      </c>
      <c r="M12" s="484" t="s">
        <v>331</v>
      </c>
      <c r="N12" s="484" t="s">
        <v>335</v>
      </c>
      <c r="O12" s="484" t="s">
        <v>338</v>
      </c>
      <c r="P12" s="484" t="s">
        <v>341</v>
      </c>
      <c r="Q12" s="484" t="s">
        <v>345</v>
      </c>
      <c r="R12" s="484" t="s">
        <v>348</v>
      </c>
    </row>
    <row r="13" spans="1:18" ht="4.3499999999999996" customHeight="1">
      <c r="A13" s="381"/>
      <c r="B13" s="482"/>
      <c r="C13" s="36"/>
      <c r="D13" s="36"/>
      <c r="E13" s="36"/>
      <c r="F13" s="36"/>
      <c r="G13" s="36"/>
      <c r="H13" s="36"/>
      <c r="I13" s="36"/>
      <c r="J13" s="36"/>
      <c r="K13" s="36"/>
      <c r="L13" s="36"/>
      <c r="M13" s="36"/>
      <c r="N13" s="36"/>
      <c r="O13" s="36"/>
      <c r="P13" s="36"/>
      <c r="Q13" s="36"/>
      <c r="R13" s="36"/>
    </row>
    <row r="14" spans="1:18" ht="15" customHeight="1">
      <c r="B14" s="376" t="s">
        <v>355</v>
      </c>
      <c r="C14" s="469">
        <v>2.6569965675709017E-3</v>
      </c>
      <c r="D14" s="469">
        <v>9.0612500279323438E-3</v>
      </c>
      <c r="E14" s="469">
        <v>2.8112597383507243E-2</v>
      </c>
      <c r="F14" s="469">
        <v>-5.5443441156915574E-2</v>
      </c>
      <c r="G14" s="469">
        <v>-1.1226144443058361E-3</v>
      </c>
      <c r="H14" s="469">
        <v>-2.2369924490321824E-2</v>
      </c>
      <c r="I14" s="469">
        <v>0.10872133621474211</v>
      </c>
      <c r="J14" s="469">
        <v>0.24571678436319289</v>
      </c>
      <c r="K14" s="469">
        <v>0.28979907264296756</v>
      </c>
      <c r="L14" s="469">
        <v>0.28979907264296756</v>
      </c>
      <c r="M14" s="469">
        <v>5.3159806703092283E-2</v>
      </c>
      <c r="N14" s="469">
        <v>5.3159806703092283E-2</v>
      </c>
      <c r="O14" s="469">
        <v>5.3159806703092283E-2</v>
      </c>
      <c r="P14" s="469">
        <v>5.3159806703092283E-2</v>
      </c>
      <c r="Q14" s="469">
        <v>5.3159806703092283E-2</v>
      </c>
      <c r="R14" s="469">
        <v>5.3159806703092283E-2</v>
      </c>
    </row>
    <row r="15" spans="1:18" ht="15" customHeight="1">
      <c r="B15" s="376" t="s">
        <v>356</v>
      </c>
      <c r="C15" s="469">
        <v>-2.0322071995889424E-2</v>
      </c>
      <c r="D15" s="469">
        <v>-3.3711427946065853E-2</v>
      </c>
      <c r="E15" s="469">
        <v>-2.3133083352488093E-2</v>
      </c>
      <c r="F15" s="469">
        <v>-1.913668365696275E-2</v>
      </c>
      <c r="G15" s="469">
        <v>2.0140490620394358E-2</v>
      </c>
      <c r="H15" s="469">
        <v>-4.7669244673651412E-2</v>
      </c>
      <c r="I15" s="469">
        <v>0.11305574519876571</v>
      </c>
      <c r="J15" s="469">
        <v>0.26744207929680353</v>
      </c>
      <c r="K15" s="469">
        <v>0.26030292301739966</v>
      </c>
      <c r="L15" s="469">
        <v>5.4746952422522144E-2</v>
      </c>
      <c r="M15" s="469">
        <v>8.0868357855368611E-2</v>
      </c>
      <c r="N15" s="469">
        <v>-9.2705013275348747E-2</v>
      </c>
      <c r="O15" s="469">
        <v>-0.13794411922203664</v>
      </c>
      <c r="P15" s="469" t="s">
        <v>357</v>
      </c>
      <c r="Q15" s="469">
        <v>2.4461921980641899E-2</v>
      </c>
      <c r="R15" s="469">
        <v>-0.15946000008727879</v>
      </c>
    </row>
    <row r="16" spans="1:18" ht="15" customHeight="1">
      <c r="B16" s="376" t="s">
        <v>358</v>
      </c>
      <c r="C16" s="469">
        <v>2.2688898269314101E-3</v>
      </c>
      <c r="D16" s="469">
        <v>6.4459035112760965E-2</v>
      </c>
      <c r="E16" s="469">
        <v>3.3226789563666204E-2</v>
      </c>
      <c r="F16" s="469">
        <v>-0.10359637572861502</v>
      </c>
      <c r="G16" s="469">
        <v>0.16045304388862669</v>
      </c>
      <c r="H16" s="469">
        <v>-2.2302273635524283E-2</v>
      </c>
      <c r="I16" s="469">
        <v>0.14480214644159806</v>
      </c>
      <c r="J16" s="469" t="s">
        <v>357</v>
      </c>
      <c r="K16" s="469">
        <v>0.24615384615384617</v>
      </c>
      <c r="L16" s="469">
        <v>0.24615384615384617</v>
      </c>
      <c r="M16" s="469">
        <v>0.14434732873175138</v>
      </c>
      <c r="N16" s="469">
        <v>0.14434732873175138</v>
      </c>
      <c r="O16" s="469">
        <v>0.14434732873175138</v>
      </c>
      <c r="P16" s="469">
        <v>0.14434732873175138</v>
      </c>
      <c r="Q16" s="469">
        <v>0.14434732873175138</v>
      </c>
      <c r="R16" s="469">
        <v>0.14434732873175138</v>
      </c>
    </row>
    <row r="17" spans="1:18" ht="15" customHeight="1">
      <c r="B17" s="376" t="s">
        <v>359</v>
      </c>
      <c r="C17" s="469">
        <v>-1.938791860278799E-2</v>
      </c>
      <c r="D17" s="469">
        <v>0.16109015695340068</v>
      </c>
      <c r="E17" s="469">
        <v>0.11480894523683749</v>
      </c>
      <c r="F17" s="469">
        <v>-0.13609540609404913</v>
      </c>
      <c r="G17" s="469">
        <v>1.58050221565731E-2</v>
      </c>
      <c r="H17" s="469">
        <v>-4.8546305504776788E-2</v>
      </c>
      <c r="I17" s="469">
        <v>0.38822586228886902</v>
      </c>
      <c r="J17" s="469">
        <v>0.72972616394980649</v>
      </c>
      <c r="K17" s="469">
        <v>0.56826568265682664</v>
      </c>
      <c r="L17" s="469">
        <v>0.56826568265682664</v>
      </c>
      <c r="M17" s="469">
        <v>-0.18767792877477574</v>
      </c>
      <c r="N17" s="469">
        <v>-0.18767792877477574</v>
      </c>
      <c r="O17" s="469">
        <v>-0.18767792877477574</v>
      </c>
      <c r="P17" s="469">
        <v>-0.18767792877477574</v>
      </c>
      <c r="Q17" s="469">
        <v>-0.18767792877477574</v>
      </c>
      <c r="R17" s="469">
        <v>-0.18767792877477574</v>
      </c>
    </row>
    <row r="18" spans="1:18" ht="15" customHeight="1">
      <c r="B18" s="376" t="s">
        <v>360</v>
      </c>
      <c r="C18" s="469">
        <v>-3.5368846542515042E-3</v>
      </c>
      <c r="D18" s="469">
        <v>7.4536051110435153E-2</v>
      </c>
      <c r="E18" s="469">
        <v>8.2912130637636139E-2</v>
      </c>
      <c r="F18" s="469">
        <v>-0.10431085187972255</v>
      </c>
      <c r="G18" s="469">
        <v>4.6228070175438507E-2</v>
      </c>
      <c r="H18" s="469">
        <v>-2.6082227914381417E-2</v>
      </c>
      <c r="I18" s="469">
        <v>0.27556680721642368</v>
      </c>
      <c r="J18" s="469">
        <v>0.40581065874920341</v>
      </c>
      <c r="K18" s="469">
        <v>0.5250875145857643</v>
      </c>
      <c r="L18" s="469">
        <v>0.5250875145857643</v>
      </c>
      <c r="M18" s="469">
        <v>-0.10278882708611858</v>
      </c>
      <c r="N18" s="469">
        <v>-0.10278882708611858</v>
      </c>
      <c r="O18" s="469">
        <v>-0.10278882708611858</v>
      </c>
      <c r="P18" s="469">
        <v>-0.10278882708611858</v>
      </c>
      <c r="Q18" s="469">
        <v>-0.10278882708611858</v>
      </c>
      <c r="R18" s="469">
        <v>-0.10278882708611858</v>
      </c>
    </row>
    <row r="19" spans="1:18" ht="15" customHeight="1">
      <c r="B19" s="376" t="s">
        <v>361</v>
      </c>
      <c r="C19" s="469">
        <v>-4.9426020408163261E-2</v>
      </c>
      <c r="D19" s="469">
        <v>0.22303149606299211</v>
      </c>
      <c r="E19" s="469">
        <v>-5.5166051660516607E-2</v>
      </c>
      <c r="F19" s="469">
        <v>9.3787338666167258E-2</v>
      </c>
      <c r="G19" s="469" t="e">
        <v>#VALUE!</v>
      </c>
      <c r="H19" s="469" t="e">
        <v>#VALUE!</v>
      </c>
      <c r="I19" s="469">
        <v>2.0517118291585187E-2</v>
      </c>
      <c r="J19" s="469" t="e">
        <v>#VALUE!</v>
      </c>
      <c r="K19" s="469">
        <v>0.76464088397790053</v>
      </c>
      <c r="L19" s="469">
        <v>-0.48482452526809561</v>
      </c>
      <c r="M19" s="469">
        <v>0.12074115324254545</v>
      </c>
      <c r="N19" s="469">
        <v>0.16142557651991613</v>
      </c>
      <c r="O19" s="469">
        <v>-0.17241379310344829</v>
      </c>
      <c r="P19" s="469" t="e">
        <v>#VALUE!</v>
      </c>
      <c r="Q19" s="469">
        <v>0.27967095765158806</v>
      </c>
      <c r="R19" s="469">
        <v>-0.32645182798307892</v>
      </c>
    </row>
    <row r="20" spans="1:18" ht="15" customHeight="1">
      <c r="B20" s="376"/>
    </row>
    <row r="21" spans="1:18" ht="15" customHeight="1">
      <c r="A21" s="381" t="s">
        <v>37</v>
      </c>
      <c r="B21" s="483" t="s">
        <v>362</v>
      </c>
      <c r="C21" s="484" t="s">
        <v>354</v>
      </c>
      <c r="D21" s="484" t="s">
        <v>300</v>
      </c>
      <c r="E21" s="484" t="s">
        <v>303</v>
      </c>
      <c r="F21" s="484" t="s">
        <v>306</v>
      </c>
      <c r="G21" s="484" t="s">
        <v>309</v>
      </c>
      <c r="H21" s="484" t="s">
        <v>312</v>
      </c>
      <c r="I21" s="484" t="s">
        <v>318</v>
      </c>
      <c r="J21" s="484" t="s">
        <v>321</v>
      </c>
      <c r="K21" s="484" t="s">
        <v>325</v>
      </c>
      <c r="L21" s="484" t="s">
        <v>328</v>
      </c>
      <c r="M21" s="484" t="s">
        <v>331</v>
      </c>
      <c r="N21" s="484" t="s">
        <v>335</v>
      </c>
      <c r="O21" s="484" t="s">
        <v>338</v>
      </c>
      <c r="P21" s="484" t="s">
        <v>341</v>
      </c>
      <c r="Q21" s="484" t="s">
        <v>345</v>
      </c>
      <c r="R21" s="484" t="s">
        <v>348</v>
      </c>
    </row>
    <row r="22" spans="1:18" ht="4.3499999999999996" customHeight="1">
      <c r="A22" s="381"/>
      <c r="B22" s="482"/>
      <c r="C22" s="36"/>
      <c r="D22" s="36"/>
      <c r="E22" s="36"/>
      <c r="F22" s="36"/>
      <c r="G22" s="36"/>
      <c r="H22" s="36"/>
      <c r="I22" s="36"/>
      <c r="J22" s="36"/>
      <c r="K22" s="36"/>
      <c r="L22" s="36"/>
      <c r="M22" s="36"/>
      <c r="N22" s="36"/>
      <c r="O22" s="36"/>
      <c r="P22" s="36"/>
      <c r="Q22" s="36"/>
      <c r="R22" s="36"/>
    </row>
    <row r="23" spans="1:18" ht="15" customHeight="1">
      <c r="B23" s="376" t="s">
        <v>363</v>
      </c>
      <c r="C23" s="469">
        <v>0.21603393762937018</v>
      </c>
      <c r="D23" s="469">
        <v>0.20284396617986167</v>
      </c>
      <c r="E23" s="469">
        <v>0.49200579668828548</v>
      </c>
      <c r="F23" s="469">
        <v>0.34786914791712897</v>
      </c>
      <c r="G23" s="469">
        <v>0.31020812685827548</v>
      </c>
      <c r="H23" s="469">
        <v>0.12970600976040447</v>
      </c>
      <c r="I23" s="469">
        <v>0.48854393464156787</v>
      </c>
      <c r="J23" s="469" t="e">
        <v>#VALUE!</v>
      </c>
      <c r="K23" s="469">
        <v>0.50360360360360357</v>
      </c>
      <c r="L23" s="469">
        <v>0.39952145186365795</v>
      </c>
      <c r="M23" s="469">
        <v>0.15866843743500925</v>
      </c>
      <c r="N23" s="469" t="e">
        <v>#VALUE!</v>
      </c>
      <c r="O23" s="469">
        <v>0.34956858317877587</v>
      </c>
      <c r="P23" s="469" t="e">
        <v>#VALUE!</v>
      </c>
      <c r="Q23" s="469">
        <v>8.6005703660281943E-2</v>
      </c>
      <c r="R23" s="469">
        <v>0.32204067443893059</v>
      </c>
    </row>
    <row r="24" spans="1:18" ht="15" customHeight="1">
      <c r="B24" s="376" t="s">
        <v>364</v>
      </c>
      <c r="C24" s="469">
        <v>5.9333985396810958E-2</v>
      </c>
      <c r="D24" s="469">
        <v>9.2983419347754476E-2</v>
      </c>
      <c r="E24" s="469">
        <v>7.3990924856864565E-2</v>
      </c>
      <c r="F24" s="469">
        <v>0.26552853833573237</v>
      </c>
      <c r="G24" s="469">
        <v>8.1764122893954405E-2</v>
      </c>
      <c r="H24" s="469">
        <v>6.8769005636042879E-2</v>
      </c>
      <c r="I24" s="469">
        <v>0.1075194487420038</v>
      </c>
      <c r="J24" s="469">
        <v>2.6102477791950005E-2</v>
      </c>
      <c r="K24" s="469">
        <v>0.12105855855855856</v>
      </c>
      <c r="L24" s="469">
        <v>0.14142161315284735</v>
      </c>
      <c r="M24" s="469">
        <v>3.3427135730428999E-2</v>
      </c>
      <c r="N24" s="469">
        <v>0.11171190656429113</v>
      </c>
      <c r="O24" s="469">
        <v>6.6688170308846065E-2</v>
      </c>
      <c r="P24" s="469" t="e">
        <v>#VALUE!</v>
      </c>
      <c r="Q24" s="469">
        <v>1.8226728837158597E-2</v>
      </c>
      <c r="R24" s="469">
        <v>9.8233246214924477E-2</v>
      </c>
    </row>
    <row r="25" spans="1:18" ht="15" customHeight="1">
      <c r="B25" s="376" t="s">
        <v>365</v>
      </c>
      <c r="C25" s="469">
        <v>0.10782931101153242</v>
      </c>
      <c r="D25" s="469">
        <v>0.1437666781083565</v>
      </c>
      <c r="E25" s="469">
        <v>0.13301402342400306</v>
      </c>
      <c r="F25" s="469">
        <v>0.3169407348107392</v>
      </c>
      <c r="G25" s="469">
        <v>0.14710289710289709</v>
      </c>
      <c r="H25" s="469">
        <v>0.12906425116784587</v>
      </c>
      <c r="I25" s="469">
        <v>0.2203292947564168</v>
      </c>
      <c r="J25" s="469">
        <v>6.2027959060374588E-2</v>
      </c>
      <c r="K25" s="469">
        <v>0.12722188935490314</v>
      </c>
      <c r="L25" s="469">
        <v>0.18185924139881274</v>
      </c>
      <c r="M25" s="469">
        <v>3.1058046106480438E-2</v>
      </c>
      <c r="N25" s="469">
        <v>0.23808685549316105</v>
      </c>
      <c r="O25" s="469">
        <v>9.6629999611303308E-2</v>
      </c>
      <c r="P25" s="469" t="e">
        <v>#VALUE!</v>
      </c>
      <c r="Q25" s="469">
        <v>9.4991843411973281E-2</v>
      </c>
      <c r="R25" s="469">
        <v>0.10428531890848515</v>
      </c>
    </row>
    <row r="26" spans="1:18" ht="15" customHeight="1">
      <c r="B26" s="376" t="s">
        <v>366</v>
      </c>
      <c r="C26" s="469">
        <v>4.6539135181857469E-2</v>
      </c>
      <c r="D26" s="469">
        <v>6.3489623366641046E-2</v>
      </c>
      <c r="E26" s="469">
        <v>3.957902739172784E-2</v>
      </c>
      <c r="F26" s="469">
        <v>0.203974506475706</v>
      </c>
      <c r="G26" s="469">
        <v>4.7943508424182359E-2</v>
      </c>
      <c r="H26" s="469">
        <v>4.7230608501353993E-2</v>
      </c>
      <c r="I26" s="469">
        <v>9.2871171971866534E-2</v>
      </c>
      <c r="J26" s="469">
        <v>8.312137884882928E-3</v>
      </c>
      <c r="K26" s="469">
        <v>0.22736486486486487</v>
      </c>
      <c r="L26" s="469">
        <v>0.12994468794506331</v>
      </c>
      <c r="M26" s="469">
        <v>3.5690647115727302E-2</v>
      </c>
      <c r="N26" s="469">
        <v>0.11010778270430049</v>
      </c>
      <c r="O26" s="469">
        <v>4.7617127650995884E-2</v>
      </c>
      <c r="P26" s="469" t="e">
        <v>#VALUE!</v>
      </c>
      <c r="Q26" s="469">
        <v>1.2310859184146136E-2</v>
      </c>
      <c r="R26" s="469">
        <v>7.641826835771659E-2</v>
      </c>
    </row>
    <row r="27" spans="1:18" ht="15" customHeight="1">
      <c r="B27" s="376" t="s">
        <v>367</v>
      </c>
      <c r="C27" s="603" t="e">
        <v>#VALUE!</v>
      </c>
      <c r="D27" s="603" t="e">
        <v>#VALUE!</v>
      </c>
      <c r="E27" s="603" t="e">
        <v>#VALUE!</v>
      </c>
      <c r="F27" s="469">
        <v>3.6294565084671722E-2</v>
      </c>
      <c r="G27" s="469" t="e">
        <v>#VALUE!</v>
      </c>
      <c r="H27" s="469">
        <v>2.5345398323714897E-2</v>
      </c>
      <c r="I27" s="469">
        <v>8.6629391543970688E-2</v>
      </c>
      <c r="J27" s="469" t="e">
        <v>#VALUE!</v>
      </c>
      <c r="K27" s="469">
        <v>0.20180180180180179</v>
      </c>
      <c r="L27" s="469">
        <v>0.18895023520921927</v>
      </c>
      <c r="M27" s="469">
        <v>4.9050800858460211E-2</v>
      </c>
      <c r="N27" s="469" t="e">
        <v>#VALUE!</v>
      </c>
      <c r="O27" s="469">
        <v>5.4148858962986858E-2</v>
      </c>
      <c r="P27" s="469" t="e">
        <v>#VALUE!</v>
      </c>
      <c r="Q27" s="469">
        <v>5.4003211461013029E-2</v>
      </c>
      <c r="R27" s="469">
        <v>3.1442811976587935E-3</v>
      </c>
    </row>
    <row r="28" spans="1:18" ht="15" customHeight="1">
      <c r="B28" s="376" t="s">
        <v>368</v>
      </c>
      <c r="C28" s="469" t="e">
        <v>#VALUE!</v>
      </c>
      <c r="D28" s="469">
        <v>0</v>
      </c>
      <c r="E28" s="469" t="e">
        <v>#VALUE!</v>
      </c>
      <c r="F28" s="469" t="e">
        <v>#VALUE!</v>
      </c>
      <c r="G28" s="469" t="e">
        <v>#VALUE!</v>
      </c>
      <c r="H28" s="469">
        <v>0</v>
      </c>
      <c r="I28" s="469">
        <v>0.14323963715490765</v>
      </c>
      <c r="J28" s="469" t="e">
        <v>#VALUE!</v>
      </c>
      <c r="K28" s="469">
        <v>0.14519672458558019</v>
      </c>
      <c r="L28" s="469">
        <v>5.8734185816222223E-2</v>
      </c>
      <c r="M28" s="469">
        <v>1.4781264944293602E-2</v>
      </c>
      <c r="N28" s="469" t="e">
        <v>#VALUE!</v>
      </c>
      <c r="O28" s="469">
        <v>0</v>
      </c>
      <c r="P28" s="469" t="e">
        <v>#VALUE!</v>
      </c>
      <c r="Q28" s="469">
        <v>0</v>
      </c>
      <c r="R28" s="469" t="e">
        <v>#VALUE!</v>
      </c>
    </row>
    <row r="29" spans="1:18" ht="15" customHeight="1">
      <c r="B29" s="376"/>
    </row>
    <row r="30" spans="1:18" ht="15" customHeight="1">
      <c r="A30" s="381" t="s">
        <v>37</v>
      </c>
      <c r="B30" s="483" t="s">
        <v>369</v>
      </c>
      <c r="C30" s="484" t="s">
        <v>354</v>
      </c>
      <c r="D30" s="484" t="s">
        <v>300</v>
      </c>
      <c r="E30" s="484" t="s">
        <v>303</v>
      </c>
      <c r="F30" s="484" t="s">
        <v>306</v>
      </c>
      <c r="G30" s="484" t="s">
        <v>309</v>
      </c>
      <c r="H30" s="484" t="s">
        <v>312</v>
      </c>
      <c r="I30" s="484" t="s">
        <v>318</v>
      </c>
      <c r="J30" s="484" t="s">
        <v>321</v>
      </c>
      <c r="K30" s="484" t="s">
        <v>325</v>
      </c>
      <c r="L30" s="484" t="s">
        <v>328</v>
      </c>
      <c r="M30" s="484" t="s">
        <v>331</v>
      </c>
      <c r="N30" s="484" t="s">
        <v>335</v>
      </c>
      <c r="O30" s="484" t="s">
        <v>338</v>
      </c>
      <c r="P30" s="484" t="s">
        <v>341</v>
      </c>
      <c r="Q30" s="484" t="s">
        <v>345</v>
      </c>
      <c r="R30" s="484" t="s">
        <v>348</v>
      </c>
    </row>
    <row r="31" spans="1:18" ht="4.3499999999999996" customHeight="1">
      <c r="A31" s="381"/>
      <c r="B31" s="482"/>
      <c r="C31" s="36"/>
      <c r="D31" s="36"/>
      <c r="E31" s="36"/>
      <c r="F31" s="36"/>
      <c r="G31" s="36"/>
      <c r="H31" s="36"/>
      <c r="I31" s="36"/>
      <c r="J31" s="36"/>
      <c r="K31" s="36"/>
      <c r="L31" s="36"/>
      <c r="M31" s="36"/>
      <c r="N31" s="36"/>
      <c r="O31" s="36"/>
      <c r="P31" s="36"/>
      <c r="Q31" s="36"/>
      <c r="R31" s="36"/>
    </row>
    <row r="32" spans="1:18" ht="15" customHeight="1">
      <c r="B32" s="376" t="s">
        <v>370</v>
      </c>
      <c r="C32" s="469">
        <v>5.4291712231872492E-2</v>
      </c>
      <c r="D32" s="469">
        <v>0.14724174204061463</v>
      </c>
      <c r="E32" s="469">
        <v>9.3561610020775968E-2</v>
      </c>
      <c r="F32" s="469">
        <v>0.2537129136830103</v>
      </c>
      <c r="G32" s="469">
        <v>8.6361161199162192E-2</v>
      </c>
      <c r="H32" s="469">
        <v>9.6352609058742406E-2</v>
      </c>
      <c r="I32" s="469">
        <v>0.14833321217112785</v>
      </c>
      <c r="J32" s="469" t="e">
        <v>#VALUE!</v>
      </c>
      <c r="K32" s="469">
        <v>9.9553003045359467E-2</v>
      </c>
      <c r="L32" s="469">
        <v>8.8374936611751179E-2</v>
      </c>
      <c r="M32" s="469">
        <v>6.7412897080451964E-2</v>
      </c>
      <c r="N32" s="469">
        <v>9.0772010563083982E-2</v>
      </c>
      <c r="O32" s="469">
        <v>0.22803950606602685</v>
      </c>
      <c r="P32" s="469" t="e">
        <v>#VALUE!</v>
      </c>
      <c r="Q32" s="469">
        <v>1.8477262108543838E-2</v>
      </c>
      <c r="R32" s="469">
        <v>0.29457344633531496</v>
      </c>
    </row>
    <row r="33" spans="1:18" ht="15" customHeight="1">
      <c r="B33" s="376" t="s">
        <v>371</v>
      </c>
      <c r="C33" s="469">
        <v>4.2983619794670663E-2</v>
      </c>
      <c r="D33" s="469">
        <v>0.13502412309297171</v>
      </c>
      <c r="E33" s="469">
        <v>0.10374797406807132</v>
      </c>
      <c r="F33" s="469">
        <v>0.18483571349917993</v>
      </c>
      <c r="G33" s="469">
        <v>3.2934650719362107E-3</v>
      </c>
      <c r="H33" s="469">
        <v>8.7234765408557416E-2</v>
      </c>
      <c r="I33" s="469">
        <v>7.2775486804213627E-2</v>
      </c>
      <c r="J33" s="469">
        <v>0.10059968837695643</v>
      </c>
      <c r="K33" s="469">
        <v>0.12555031446540882</v>
      </c>
      <c r="L33" s="469">
        <v>5.5977452212653239E-2</v>
      </c>
      <c r="M33" s="469">
        <v>0.10500502779516953</v>
      </c>
      <c r="N33" s="469">
        <v>0.10966098787262962</v>
      </c>
      <c r="O33" s="469">
        <v>0.17655006755742381</v>
      </c>
      <c r="P33" s="469" t="e">
        <v>#VALUE!</v>
      </c>
      <c r="Q33" s="469">
        <v>0.10055516690458409</v>
      </c>
      <c r="R33" s="469">
        <v>0.24741962879175439</v>
      </c>
    </row>
    <row r="34" spans="1:18" ht="15" customHeight="1">
      <c r="B34" s="376" t="s">
        <v>372</v>
      </c>
      <c r="C34" s="469">
        <v>8.5426559685606682E-2</v>
      </c>
      <c r="D34" s="469">
        <v>0.18289416846652268</v>
      </c>
      <c r="E34" s="469">
        <v>0.21490426082456443</v>
      </c>
      <c r="F34" s="469">
        <v>0.32289621550087882</v>
      </c>
      <c r="G34" s="469">
        <v>0.14911884319927701</v>
      </c>
      <c r="H34" s="469">
        <v>0.15101762140228872</v>
      </c>
      <c r="I34" s="469">
        <v>0.17851603164688737</v>
      </c>
      <c r="J34" s="469">
        <v>0.18507188469908312</v>
      </c>
      <c r="K34" s="469">
        <v>0.17721727662380482</v>
      </c>
      <c r="L34" s="469">
        <v>0.32520616046473522</v>
      </c>
      <c r="M34" s="469">
        <v>0.20824127086525279</v>
      </c>
      <c r="N34" s="469">
        <v>0.10794336369494419</v>
      </c>
      <c r="O34" s="469">
        <v>0.72195547795722392</v>
      </c>
      <c r="P34" s="469" t="e">
        <v>#VALUE!</v>
      </c>
      <c r="Q34" s="469">
        <v>4.0445483995099916E-2</v>
      </c>
      <c r="R34" s="469">
        <v>0.4051236722309477</v>
      </c>
    </row>
    <row r="35" spans="1:18" ht="15" customHeight="1">
      <c r="B35" s="376" t="s">
        <v>373</v>
      </c>
      <c r="C35" s="469">
        <v>0.18583030562085917</v>
      </c>
      <c r="D35" s="469">
        <v>0.50576360269963572</v>
      </c>
      <c r="E35" s="469">
        <v>0.25729037587773645</v>
      </c>
      <c r="F35" s="469">
        <v>0.36375685932297791</v>
      </c>
      <c r="G35" s="469">
        <v>0.41198501872659177</v>
      </c>
      <c r="H35" s="469">
        <v>0.20705541530026741</v>
      </c>
      <c r="I35" s="469">
        <v>0.23986082456201699</v>
      </c>
      <c r="J35" s="469">
        <v>0.15455141286699536</v>
      </c>
      <c r="K35" s="469">
        <v>9.3009171136874888E-2</v>
      </c>
      <c r="L35" s="469">
        <v>0.12925807215078167</v>
      </c>
      <c r="M35" s="469">
        <v>0.1236398688784125</v>
      </c>
      <c r="N35" s="469">
        <v>0.10695980810050564</v>
      </c>
      <c r="O35" s="469">
        <v>0.50658499234303211</v>
      </c>
      <c r="P35" s="469" t="e">
        <v>#VALUE!</v>
      </c>
      <c r="Q35" s="469">
        <v>5.3813765107989478E-2</v>
      </c>
      <c r="R35" s="469">
        <v>0.46784548725303088</v>
      </c>
    </row>
    <row r="36" spans="1:18" ht="15" customHeight="1">
      <c r="B36" s="376" t="s">
        <v>374</v>
      </c>
      <c r="C36" s="469">
        <v>0.14704614057783527</v>
      </c>
      <c r="D36" s="469">
        <v>0.34960341671751066</v>
      </c>
      <c r="E36" s="469">
        <v>0.16151162518438736</v>
      </c>
      <c r="F36" s="469">
        <v>0.26251269099421876</v>
      </c>
      <c r="G36" s="469">
        <v>0.21097560975609755</v>
      </c>
      <c r="H36" s="469">
        <v>0.14328305390304327</v>
      </c>
      <c r="I36" s="469">
        <v>0.24770352599513873</v>
      </c>
      <c r="J36" s="469" t="e">
        <v>#VALUE!</v>
      </c>
      <c r="K36" s="469">
        <v>0.22022915101427498</v>
      </c>
      <c r="L36" s="469">
        <v>0.15198773170220584</v>
      </c>
      <c r="M36" s="469">
        <v>0.17258731391932561</v>
      </c>
      <c r="N36" s="469">
        <v>0.1273713238696304</v>
      </c>
      <c r="O36" s="469">
        <v>0.5131520285332144</v>
      </c>
      <c r="P36" s="469" t="e">
        <v>#VALUE!</v>
      </c>
      <c r="Q36" s="469">
        <v>3.515248903537449E-2</v>
      </c>
      <c r="R36" s="469">
        <v>0.39014862384271842</v>
      </c>
    </row>
    <row r="37" spans="1:18" ht="15" customHeight="1">
      <c r="B37" s="376" t="s">
        <v>375</v>
      </c>
      <c r="C37" s="469">
        <v>4.686372642211712E-2</v>
      </c>
      <c r="D37" s="469">
        <v>8.1658246699111453E-2</v>
      </c>
      <c r="E37" s="469">
        <v>5.1111061714124821E-2</v>
      </c>
      <c r="F37" s="469">
        <v>0.20102638176378754</v>
      </c>
      <c r="G37" s="469">
        <v>4.3626276635985374E-2</v>
      </c>
      <c r="H37" s="469">
        <v>6.6504596802284016E-2</v>
      </c>
      <c r="I37" s="469">
        <v>0.11418542459587319</v>
      </c>
      <c r="J37" s="469" t="e">
        <v>#VALUE!</v>
      </c>
      <c r="K37" s="469">
        <v>0.18103215347203461</v>
      </c>
      <c r="L37" s="469">
        <v>8.0596034457932356E-2</v>
      </c>
      <c r="M37" s="469">
        <v>5.6902268921480224E-2</v>
      </c>
      <c r="N37" s="469">
        <v>8.1634589721538517E-2</v>
      </c>
      <c r="O37" s="469">
        <v>0.10055914730036694</v>
      </c>
      <c r="P37" s="469" t="e">
        <v>#VALUE!</v>
      </c>
      <c r="Q37" s="469">
        <v>1.2835158509632809E-2</v>
      </c>
      <c r="R37" s="469">
        <v>0.17813824632980124</v>
      </c>
    </row>
    <row r="38" spans="1:18" ht="15" customHeight="1">
      <c r="B38" s="376"/>
    </row>
    <row r="39" spans="1:18" ht="15" customHeight="1">
      <c r="A39" s="381" t="s">
        <v>37</v>
      </c>
      <c r="B39" s="483" t="s">
        <v>376</v>
      </c>
      <c r="C39" s="484" t="s">
        <v>354</v>
      </c>
      <c r="D39" s="484" t="s">
        <v>300</v>
      </c>
      <c r="E39" s="484" t="s">
        <v>303</v>
      </c>
      <c r="F39" s="484" t="s">
        <v>306</v>
      </c>
      <c r="G39" s="484" t="s">
        <v>309</v>
      </c>
      <c r="H39" s="484" t="s">
        <v>312</v>
      </c>
      <c r="I39" s="484" t="s">
        <v>318</v>
      </c>
      <c r="J39" s="484" t="s">
        <v>321</v>
      </c>
      <c r="K39" s="484" t="s">
        <v>325</v>
      </c>
      <c r="L39" s="484" t="s">
        <v>328</v>
      </c>
      <c r="M39" s="484" t="s">
        <v>331</v>
      </c>
      <c r="N39" s="484" t="s">
        <v>335</v>
      </c>
      <c r="O39" s="484" t="s">
        <v>338</v>
      </c>
      <c r="P39" s="484" t="s">
        <v>341</v>
      </c>
      <c r="Q39" s="484" t="s">
        <v>345</v>
      </c>
      <c r="R39" s="484" t="s">
        <v>348</v>
      </c>
    </row>
    <row r="40" spans="1:18" ht="4.3499999999999996" customHeight="1">
      <c r="A40" s="381"/>
      <c r="B40" s="482"/>
      <c r="C40" s="36"/>
      <c r="D40" s="36"/>
      <c r="E40" s="36"/>
      <c r="F40" s="36"/>
      <c r="G40" s="36"/>
      <c r="H40" s="36"/>
      <c r="I40" s="36"/>
      <c r="J40" s="36"/>
      <c r="K40" s="36"/>
      <c r="L40" s="36"/>
      <c r="M40" s="36"/>
      <c r="N40" s="36"/>
      <c r="O40" s="36"/>
      <c r="P40" s="36"/>
      <c r="Q40" s="36"/>
      <c r="R40" s="36"/>
    </row>
    <row r="41" spans="1:18" ht="15" customHeight="1">
      <c r="B41" s="376" t="s">
        <v>377</v>
      </c>
      <c r="C41" s="470">
        <v>1.0069745868502125</v>
      </c>
      <c r="D41" s="470">
        <v>1.287050826201894</v>
      </c>
      <c r="E41" s="470">
        <v>1.2437815368884344</v>
      </c>
      <c r="F41" s="470">
        <v>1.0351611207145974</v>
      </c>
      <c r="G41" s="470">
        <v>1.0097087378640777</v>
      </c>
      <c r="H41" s="470">
        <v>1.4485299706177832</v>
      </c>
      <c r="I41" s="470">
        <v>1.0833379143532516</v>
      </c>
      <c r="J41" s="470" t="s">
        <v>324</v>
      </c>
      <c r="K41" s="470">
        <v>0.77307291465627048</v>
      </c>
      <c r="L41" s="470">
        <v>0.55105985756602371</v>
      </c>
      <c r="M41" s="470">
        <v>1.862414662422023</v>
      </c>
      <c r="N41" s="470">
        <v>0.67384715755760505</v>
      </c>
      <c r="O41" s="470">
        <v>2.247684780709418</v>
      </c>
      <c r="P41" s="470" t="s">
        <v>344</v>
      </c>
      <c r="Q41" s="470">
        <v>1.1546841355344415</v>
      </c>
      <c r="R41" s="470">
        <v>2.3547466469872753</v>
      </c>
    </row>
    <row r="42" spans="1:18" ht="15" customHeight="1">
      <c r="B42" s="376" t="s">
        <v>378</v>
      </c>
      <c r="C42" s="470">
        <v>1.9666286430025275</v>
      </c>
      <c r="D42" s="470">
        <v>2.3902887139107611</v>
      </c>
      <c r="E42" s="470">
        <v>2.0364296081277211</v>
      </c>
      <c r="F42" s="470">
        <v>1.11513775613528</v>
      </c>
      <c r="G42" s="470">
        <v>2.4102717229023587</v>
      </c>
      <c r="H42" s="470">
        <v>1.9793085751724186</v>
      </c>
      <c r="I42" s="470">
        <v>1.6973585487982035</v>
      </c>
      <c r="J42" s="470">
        <v>3.2557345226247953</v>
      </c>
      <c r="K42" s="470">
        <v>1.213280502800929</v>
      </c>
      <c r="L42" s="470">
        <v>0.88326755459103712</v>
      </c>
      <c r="M42" s="470">
        <v>3.0945493776554125</v>
      </c>
      <c r="N42" s="470">
        <v>0.87975897883136445</v>
      </c>
      <c r="O42" s="470">
        <v>3.0147076698675095</v>
      </c>
      <c r="P42" s="470" t="e">
        <v>#VALUE!</v>
      </c>
      <c r="Q42" s="470">
        <v>2.0623123819886708</v>
      </c>
      <c r="R42" s="470">
        <v>3.4902250460209907</v>
      </c>
    </row>
    <row r="43" spans="1:18" ht="15" customHeight="1">
      <c r="B43" s="376" t="s">
        <v>379</v>
      </c>
      <c r="C43" s="470">
        <v>1.5068594099450734</v>
      </c>
      <c r="D43" s="470">
        <v>2.1786580144016789</v>
      </c>
      <c r="E43" s="470">
        <v>2.7734782896041241</v>
      </c>
      <c r="F43" s="470">
        <v>1.2716416846784759</v>
      </c>
      <c r="G43" s="470">
        <v>1.895608947804474</v>
      </c>
      <c r="H43" s="470">
        <v>2.0828844967862636</v>
      </c>
      <c r="I43" s="470">
        <v>1.9852007235201834</v>
      </c>
      <c r="J43" s="470" t="s">
        <v>324</v>
      </c>
      <c r="K43" s="470">
        <v>69.78397212543554</v>
      </c>
      <c r="L43" s="470">
        <v>4.8222918779830239</v>
      </c>
      <c r="M43" s="470">
        <v>11.726025238785979</v>
      </c>
      <c r="N43" s="470">
        <v>1.4448089933363855</v>
      </c>
      <c r="O43" s="470">
        <v>8.4907590759075902</v>
      </c>
      <c r="P43" s="470" t="s">
        <v>344</v>
      </c>
      <c r="Q43" s="470">
        <v>2.723420414713813</v>
      </c>
      <c r="R43" s="470">
        <v>11.086395215787665</v>
      </c>
    </row>
    <row r="44" spans="1:18" ht="15" customHeight="1">
      <c r="B44" s="376" t="s">
        <v>380</v>
      </c>
      <c r="C44" s="471">
        <v>370.99578059071729</v>
      </c>
      <c r="D44" s="471">
        <v>287.62101910828028</v>
      </c>
      <c r="E44" s="471">
        <v>163.34833007133972</v>
      </c>
      <c r="F44" s="471">
        <v>257.53012103219913</v>
      </c>
      <c r="G44" s="471">
        <v>145.6</v>
      </c>
      <c r="H44" s="471">
        <v>358.55947215122154</v>
      </c>
      <c r="I44" s="471">
        <v>430.61568123393317</v>
      </c>
      <c r="J44" s="471">
        <v>495.79457088312182</v>
      </c>
      <c r="K44" s="471">
        <v>1236.2962962962963</v>
      </c>
      <c r="L44" s="471">
        <v>1115.360579549111</v>
      </c>
      <c r="M44" s="471">
        <v>307.0427292751653</v>
      </c>
      <c r="N44" s="471">
        <v>315.31416518650087</v>
      </c>
      <c r="O44" s="471">
        <v>394.80218111395925</v>
      </c>
      <c r="P44" s="471" t="e">
        <v>#VALUE!</v>
      </c>
      <c r="Q44" s="471">
        <v>227.67239039045415</v>
      </c>
      <c r="R44" s="471">
        <v>612.67065217391303</v>
      </c>
    </row>
    <row r="45" spans="1:18" ht="15" customHeight="1">
      <c r="B45" s="376" t="s">
        <v>381</v>
      </c>
      <c r="C45" s="471">
        <v>25.822784810126581</v>
      </c>
      <c r="D45" s="471">
        <v>30.391719745222929</v>
      </c>
      <c r="E45" s="471">
        <v>12.321529323869035</v>
      </c>
      <c r="F45" s="471">
        <v>65.426124686001373</v>
      </c>
      <c r="G45" s="471">
        <v>12.503636363636364</v>
      </c>
      <c r="H45" s="471">
        <v>24.766272365214292</v>
      </c>
      <c r="I45" s="471">
        <v>48.965295629820048</v>
      </c>
      <c r="J45" s="471">
        <v>13.997782032111393</v>
      </c>
      <c r="K45" s="471">
        <v>157.40740740740742</v>
      </c>
      <c r="L45" s="471">
        <v>134.83790303615305</v>
      </c>
      <c r="M45" s="471">
        <v>8.7002902969738933</v>
      </c>
      <c r="N45" s="471">
        <v>39.3705595026643</v>
      </c>
      <c r="O45" s="471">
        <v>24.8142079084725</v>
      </c>
      <c r="P45" s="471" t="e">
        <v>#VALUE!</v>
      </c>
      <c r="Q45" s="471">
        <v>5.8825942940070464</v>
      </c>
      <c r="R45" s="471">
        <v>60.66423913043478</v>
      </c>
    </row>
    <row r="46" spans="1:18" ht="15" customHeight="1">
      <c r="B46" s="376"/>
    </row>
    <row r="47" spans="1:18" ht="15" customHeight="1">
      <c r="A47" s="381" t="s">
        <v>37</v>
      </c>
      <c r="B47" s="483" t="s">
        <v>382</v>
      </c>
      <c r="C47" s="484" t="s">
        <v>354</v>
      </c>
      <c r="D47" s="484" t="s">
        <v>300</v>
      </c>
      <c r="E47" s="484" t="s">
        <v>303</v>
      </c>
      <c r="F47" s="484" t="s">
        <v>306</v>
      </c>
      <c r="G47" s="484" t="s">
        <v>309</v>
      </c>
      <c r="H47" s="484" t="s">
        <v>312</v>
      </c>
      <c r="I47" s="484" t="s">
        <v>318</v>
      </c>
      <c r="J47" s="484" t="s">
        <v>321</v>
      </c>
      <c r="K47" s="484" t="s">
        <v>325</v>
      </c>
      <c r="L47" s="484" t="s">
        <v>328</v>
      </c>
      <c r="M47" s="484" t="s">
        <v>331</v>
      </c>
      <c r="N47" s="484" t="s">
        <v>335</v>
      </c>
      <c r="O47" s="484" t="s">
        <v>338</v>
      </c>
      <c r="P47" s="484" t="s">
        <v>341</v>
      </c>
      <c r="Q47" s="484" t="s">
        <v>345</v>
      </c>
      <c r="R47" s="484" t="s">
        <v>348</v>
      </c>
    </row>
    <row r="48" spans="1:18" ht="4.3499999999999996" customHeight="1">
      <c r="A48" s="381"/>
      <c r="B48" s="482"/>
      <c r="C48" s="36"/>
      <c r="D48" s="36"/>
      <c r="E48" s="36"/>
      <c r="F48" s="36"/>
      <c r="G48" s="36"/>
      <c r="H48" s="36"/>
      <c r="I48" s="36"/>
      <c r="J48" s="36"/>
      <c r="K48" s="36"/>
      <c r="L48" s="36"/>
      <c r="M48" s="36"/>
      <c r="N48" s="36"/>
      <c r="O48" s="36"/>
      <c r="P48" s="36"/>
      <c r="Q48" s="36"/>
      <c r="R48" s="36"/>
    </row>
    <row r="49" spans="1:18" ht="15" customHeight="1">
      <c r="B49" s="376" t="s">
        <v>383</v>
      </c>
      <c r="C49" s="471">
        <v>44.532191843140822</v>
      </c>
      <c r="D49" s="471">
        <v>39.360169632278847</v>
      </c>
      <c r="E49" s="471">
        <v>46.673606891375059</v>
      </c>
      <c r="F49" s="471">
        <v>35.879950367306058</v>
      </c>
      <c r="G49" s="471">
        <v>50.593156843156841</v>
      </c>
      <c r="H49" s="471">
        <v>36.81800503510749</v>
      </c>
      <c r="I49" s="471">
        <v>29.285775582877388</v>
      </c>
      <c r="J49" s="471" t="s">
        <v>324</v>
      </c>
      <c r="K49" s="471">
        <v>47.966846415018971</v>
      </c>
      <c r="L49" s="471" t="s">
        <v>324</v>
      </c>
      <c r="M49" s="471">
        <v>9.1784106583195992</v>
      </c>
      <c r="N49" s="471" t="s">
        <v>324</v>
      </c>
      <c r="O49" s="471">
        <v>59.076456640883116</v>
      </c>
      <c r="P49" s="471" t="s">
        <v>344</v>
      </c>
      <c r="Q49" s="471">
        <v>68.722009209386016</v>
      </c>
      <c r="R49" s="471">
        <v>62.310971920866777</v>
      </c>
    </row>
    <row r="50" spans="1:18" ht="15" hidden="1" customHeight="1">
      <c r="B50" s="376" t="s">
        <v>384</v>
      </c>
      <c r="C50" s="471">
        <v>3.2194513353933645</v>
      </c>
      <c r="D50" s="471" t="s">
        <v>324</v>
      </c>
      <c r="E50" s="471">
        <v>9.3300537519831401</v>
      </c>
      <c r="F50" s="471" t="s">
        <v>324</v>
      </c>
      <c r="G50" s="471" t="s">
        <v>324</v>
      </c>
      <c r="H50" s="471" t="s">
        <v>324</v>
      </c>
      <c r="I50" s="471">
        <v>40.501266085205309</v>
      </c>
      <c r="J50" s="471" t="s">
        <v>324</v>
      </c>
      <c r="K50" s="471" t="s">
        <v>324</v>
      </c>
      <c r="L50" s="471" t="s">
        <v>324</v>
      </c>
      <c r="M50" s="471">
        <v>29.919077486641935</v>
      </c>
      <c r="N50" s="471" t="s">
        <v>324</v>
      </c>
      <c r="O50" s="471">
        <v>2.9254406719507866</v>
      </c>
      <c r="P50" s="471" t="s">
        <v>344</v>
      </c>
      <c r="Q50" s="471">
        <v>1.8767829967350784</v>
      </c>
      <c r="R50" s="471" t="s">
        <v>324</v>
      </c>
    </row>
    <row r="51" spans="1:18" ht="15" customHeight="1">
      <c r="B51" s="376" t="s">
        <v>385</v>
      </c>
      <c r="C51" s="471">
        <v>18.221136406506186</v>
      </c>
      <c r="D51" s="471">
        <v>28.873955266572715</v>
      </c>
      <c r="E51" s="471">
        <v>67.002928483353884</v>
      </c>
      <c r="F51" s="471">
        <v>9.6934483612130098</v>
      </c>
      <c r="G51" s="471">
        <v>32.06658857451793</v>
      </c>
      <c r="H51" s="471" t="s">
        <v>324</v>
      </c>
      <c r="I51" s="471">
        <v>95.445362704757372</v>
      </c>
      <c r="J51" s="471" t="s">
        <v>324</v>
      </c>
      <c r="K51" s="471" t="s">
        <v>324</v>
      </c>
      <c r="L51" s="471" t="s">
        <v>324</v>
      </c>
      <c r="M51" s="471">
        <v>65.638087021618475</v>
      </c>
      <c r="N51" s="471" t="s">
        <v>324</v>
      </c>
      <c r="O51" s="471">
        <v>45.803276224827172</v>
      </c>
      <c r="P51" s="471" t="s">
        <v>344</v>
      </c>
      <c r="Q51" s="471">
        <v>36.257020162759012</v>
      </c>
      <c r="R51" s="471">
        <v>52.3276783338492</v>
      </c>
    </row>
    <row r="52" spans="1:18" ht="15" hidden="1" customHeight="1">
      <c r="B52" s="376" t="s">
        <v>386</v>
      </c>
      <c r="C52" s="471">
        <v>29.530506772028001</v>
      </c>
      <c r="D52" s="471" t="s">
        <v>324</v>
      </c>
      <c r="E52" s="471">
        <v>-16.396649198200407</v>
      </c>
      <c r="F52" s="471" t="s">
        <v>324</v>
      </c>
      <c r="G52" s="471" t="s">
        <v>324</v>
      </c>
      <c r="H52" s="471">
        <v>16.137596739684628</v>
      </c>
      <c r="I52" s="471">
        <v>-31.539636070584265</v>
      </c>
      <c r="J52" s="471">
        <v>74.810316753690444</v>
      </c>
      <c r="K52" s="471" t="s">
        <v>324</v>
      </c>
      <c r="L52" s="471" t="s">
        <v>324</v>
      </c>
      <c r="M52" s="471">
        <v>-29.16186751098698</v>
      </c>
      <c r="N52" s="471">
        <v>-890.84324229909043</v>
      </c>
      <c r="O52" s="471" t="s">
        <v>324</v>
      </c>
      <c r="P52" s="471" t="s">
        <v>344</v>
      </c>
      <c r="Q52" s="471">
        <v>34.44616146242619</v>
      </c>
      <c r="R52" s="471" t="s">
        <v>324</v>
      </c>
    </row>
    <row r="53" spans="1:18" ht="15" customHeight="1">
      <c r="B53" s="376" t="s">
        <v>387</v>
      </c>
      <c r="C53" s="469">
        <v>4.4509018947751521E-2</v>
      </c>
      <c r="D53" s="469">
        <v>4.6217045165147873E-2</v>
      </c>
      <c r="E53" s="469">
        <v>-1.9373056439217929E-2</v>
      </c>
      <c r="F53" s="469">
        <v>3.9516658502733476E-2</v>
      </c>
      <c r="G53" s="469">
        <v>1.9355644355644355E-3</v>
      </c>
      <c r="H53" s="469">
        <v>3.5592400986331971E-3</v>
      </c>
      <c r="I53" s="469">
        <v>1.4651407830600652E-2</v>
      </c>
      <c r="J53" s="469" t="s">
        <v>324</v>
      </c>
      <c r="K53" s="469">
        <v>0.57174955062911925</v>
      </c>
      <c r="L53" s="469">
        <v>0.20146827970258693</v>
      </c>
      <c r="M53" s="469">
        <v>4.4808179493563825E-2</v>
      </c>
      <c r="N53" s="469">
        <v>0.28927772985723588</v>
      </c>
      <c r="O53" s="469">
        <v>-3.5682357056788586E-2</v>
      </c>
      <c r="P53" s="469" t="s">
        <v>344</v>
      </c>
      <c r="Q53" s="469">
        <v>6.7613133472244707E-2</v>
      </c>
      <c r="R53" s="469">
        <v>0.13621484342428108</v>
      </c>
    </row>
    <row r="54" spans="1:18" ht="15" customHeight="1">
      <c r="B54" s="376" t="s">
        <v>388</v>
      </c>
      <c r="C54" s="470">
        <v>1.3486678167529231</v>
      </c>
      <c r="D54" s="470">
        <v>1.1953235710911667</v>
      </c>
      <c r="E54" s="470">
        <v>1.2934660459142719</v>
      </c>
      <c r="F54" s="470">
        <v>1.0746665474955277</v>
      </c>
      <c r="G54" s="470">
        <v>1.2242424242424241</v>
      </c>
      <c r="H54" s="470">
        <v>1.7843014827513608</v>
      </c>
      <c r="I54" s="470">
        <v>1.6893414779933813</v>
      </c>
      <c r="J54" s="470">
        <v>1.7860825984289916</v>
      </c>
      <c r="K54" s="470">
        <v>1.5032558139534884</v>
      </c>
      <c r="L54" s="470">
        <v>1.1604201412299067</v>
      </c>
      <c r="M54" s="470">
        <v>1.499767657992565</v>
      </c>
      <c r="N54" s="470">
        <v>2.0185543723781865</v>
      </c>
      <c r="O54" s="470">
        <v>0.89238210399032647</v>
      </c>
      <c r="P54" s="470" t="e">
        <v>#VALUE!</v>
      </c>
      <c r="Q54" s="470">
        <v>4.850048954918905</v>
      </c>
      <c r="R54" s="470">
        <v>0.69465574082201198</v>
      </c>
    </row>
    <row r="55" spans="1:18" ht="15" customHeight="1">
      <c r="B55" s="376" t="s">
        <v>389</v>
      </c>
      <c r="C55" s="469">
        <v>8.0021836544366856E-2</v>
      </c>
      <c r="D55" s="469">
        <v>0.11114527286702537</v>
      </c>
      <c r="E55" s="469">
        <v>9.5704749008148626E-2</v>
      </c>
      <c r="F55" s="469">
        <v>0.2853546375547954</v>
      </c>
      <c r="G55" s="469">
        <v>0.10009910802775025</v>
      </c>
      <c r="H55" s="469">
        <v>0.122704638723728</v>
      </c>
      <c r="I55" s="469">
        <v>0.18163706445085029</v>
      </c>
      <c r="J55" s="469">
        <v>4.6621181360081115E-2</v>
      </c>
      <c r="K55" s="469">
        <v>0.18198198198198198</v>
      </c>
      <c r="L55" s="469">
        <v>0.16410848830778835</v>
      </c>
      <c r="M55" s="469">
        <v>5.0132937067825088E-2</v>
      </c>
      <c r="N55" s="469">
        <v>0.22549655744205327</v>
      </c>
      <c r="O55" s="469">
        <v>5.9511329731473266E-2</v>
      </c>
      <c r="P55" s="469" t="e">
        <v>#VALUE!</v>
      </c>
      <c r="Q55" s="469">
        <v>8.8400527148251334E-2</v>
      </c>
      <c r="R55" s="469">
        <v>6.8238288422779458E-2</v>
      </c>
    </row>
    <row r="56" spans="1:18" ht="15" customHeight="1">
      <c r="B56" s="376"/>
    </row>
    <row r="57" spans="1:18" ht="15" customHeight="1">
      <c r="A57" s="381" t="s">
        <v>37</v>
      </c>
      <c r="B57" s="483" t="s">
        <v>390</v>
      </c>
      <c r="C57" s="484" t="s">
        <v>354</v>
      </c>
      <c r="D57" s="484" t="s">
        <v>300</v>
      </c>
      <c r="E57" s="484" t="s">
        <v>303</v>
      </c>
      <c r="F57" s="484" t="s">
        <v>306</v>
      </c>
      <c r="G57" s="484" t="s">
        <v>309</v>
      </c>
      <c r="H57" s="484" t="s">
        <v>312</v>
      </c>
      <c r="I57" s="484" t="s">
        <v>318</v>
      </c>
      <c r="J57" s="484" t="s">
        <v>321</v>
      </c>
      <c r="K57" s="484" t="s">
        <v>325</v>
      </c>
      <c r="L57" s="484" t="s">
        <v>328</v>
      </c>
      <c r="M57" s="484" t="s">
        <v>331</v>
      </c>
      <c r="N57" s="484" t="s">
        <v>335</v>
      </c>
      <c r="O57" s="484" t="s">
        <v>338</v>
      </c>
      <c r="P57" s="484" t="s">
        <v>341</v>
      </c>
      <c r="Q57" s="484" t="s">
        <v>345</v>
      </c>
      <c r="R57" s="484" t="s">
        <v>348</v>
      </c>
    </row>
    <row r="58" spans="1:18" ht="4.3499999999999996" customHeight="1">
      <c r="A58" s="381"/>
      <c r="B58" s="482"/>
      <c r="C58" s="36"/>
      <c r="D58" s="36"/>
      <c r="E58" s="36"/>
      <c r="F58" s="36"/>
      <c r="G58" s="36"/>
      <c r="H58" s="36"/>
      <c r="I58" s="36"/>
      <c r="J58" s="36"/>
      <c r="K58" s="36"/>
      <c r="L58" s="36"/>
      <c r="M58" s="36"/>
      <c r="N58" s="36"/>
      <c r="O58" s="36"/>
      <c r="P58" s="36"/>
      <c r="Q58" s="36"/>
      <c r="R58" s="36"/>
    </row>
    <row r="59" spans="1:18" ht="15" customHeight="1">
      <c r="B59" s="376" t="s">
        <v>391</v>
      </c>
      <c r="C59" s="470">
        <v>3.3661006222972261</v>
      </c>
      <c r="D59" s="470">
        <v>1.7423752310536045</v>
      </c>
      <c r="E59" s="470">
        <v>1.9586169831601576</v>
      </c>
      <c r="F59" s="470">
        <v>8.1659820413863965E-2</v>
      </c>
      <c r="G59" s="470">
        <v>3.3463497453310698</v>
      </c>
      <c r="H59" s="470">
        <v>1.071556148417224</v>
      </c>
      <c r="I59" s="470">
        <v>0.39786898238151042</v>
      </c>
      <c r="J59" s="470" t="s">
        <v>324</v>
      </c>
      <c r="K59" s="470">
        <v>-3.6742543171114601</v>
      </c>
      <c r="L59" s="470">
        <v>-3.0196375784349279</v>
      </c>
      <c r="M59" s="470">
        <v>-4.439656927618854</v>
      </c>
      <c r="N59" s="470">
        <v>-0.15977818853974121</v>
      </c>
      <c r="O59" s="470">
        <v>1.1363636363636365</v>
      </c>
      <c r="P59" s="470" t="s">
        <v>344</v>
      </c>
      <c r="Q59" s="470">
        <v>2.7351571547737636</v>
      </c>
      <c r="R59" s="470">
        <v>-0.48451927190944721</v>
      </c>
    </row>
    <row r="60" spans="1:18" ht="15" customHeight="1">
      <c r="B60" s="376" t="s">
        <v>392</v>
      </c>
      <c r="C60" s="470">
        <v>10.705803421670581</v>
      </c>
      <c r="D60" s="470">
        <v>3.1118622243682603</v>
      </c>
      <c r="E60" s="470">
        <v>3.8599882835383714</v>
      </c>
      <c r="F60" s="470">
        <v>6.7132150478903987E-2</v>
      </c>
      <c r="G60" s="470">
        <v>203.73684210526315</v>
      </c>
      <c r="H60" s="470">
        <v>3.4179040213149277</v>
      </c>
      <c r="I60" s="470">
        <v>1.4184561104690065</v>
      </c>
      <c r="J60" s="470">
        <v>4.5332566451665901</v>
      </c>
      <c r="K60" s="470">
        <v>-2.725735754539762</v>
      </c>
      <c r="L60" s="470">
        <v>-6.9231592658988612</v>
      </c>
      <c r="M60" s="470">
        <v>-4.5983602854819763</v>
      </c>
      <c r="N60" s="470">
        <v>0.95824308062575214</v>
      </c>
      <c r="O60" s="470">
        <v>1.0153061224489797</v>
      </c>
      <c r="P60" s="470" t="e">
        <v>#VALUE!</v>
      </c>
      <c r="Q60" s="470">
        <v>3.1999576933472786</v>
      </c>
      <c r="R60" s="470">
        <v>-0.84842179251568683</v>
      </c>
    </row>
    <row r="61" spans="1:18" ht="15" customHeight="1">
      <c r="B61" s="376" t="s">
        <v>393</v>
      </c>
      <c r="C61" s="470">
        <v>6.6121673003802277</v>
      </c>
      <c r="D61" s="470">
        <v>9.7782909930715931</v>
      </c>
      <c r="E61" s="470">
        <v>7.0384180790960453</v>
      </c>
      <c r="F61" s="470">
        <v>7283.0094339622647</v>
      </c>
      <c r="G61" s="470">
        <v>2.9596412556053813</v>
      </c>
      <c r="H61" s="470">
        <v>10.519172361427488</v>
      </c>
      <c r="I61" s="470">
        <v>28.509143807148796</v>
      </c>
      <c r="J61" s="470">
        <v>1.9734664764621968</v>
      </c>
      <c r="K61" s="470" t="e">
        <v>#DIV/0!</v>
      </c>
      <c r="L61" s="470">
        <v>14.683722384326803</v>
      </c>
      <c r="M61" s="470">
        <v>13.375690607734807</v>
      </c>
      <c r="N61" s="470">
        <v>6.42279792746114</v>
      </c>
      <c r="O61" s="470">
        <v>44.702702702702702</v>
      </c>
      <c r="P61" s="470" t="e">
        <v>#VALUE!</v>
      </c>
      <c r="Q61" s="470">
        <v>5.1919549121449888</v>
      </c>
      <c r="R61" s="470" t="e">
        <v>#DIV/0!</v>
      </c>
    </row>
    <row r="62" spans="1:18" ht="15" customHeight="1">
      <c r="B62" s="376" t="s">
        <v>394</v>
      </c>
      <c r="C62" s="469">
        <v>0.57132386623912046</v>
      </c>
      <c r="D62" s="469">
        <v>0.60507135275386248</v>
      </c>
      <c r="E62" s="469">
        <v>0.49939000434234193</v>
      </c>
      <c r="F62" s="469">
        <v>3.8135455910262579E-2</v>
      </c>
      <c r="G62" s="469">
        <v>0.7198810980940723</v>
      </c>
      <c r="H62" s="469">
        <v>0.34966825751646963</v>
      </c>
      <c r="I62" s="469">
        <v>0.34079131781802086</v>
      </c>
      <c r="J62" s="469">
        <v>0.49585656622547636</v>
      </c>
      <c r="K62" s="469">
        <v>8.8773257647429826E-2</v>
      </c>
      <c r="L62" s="469">
        <v>0.18540355219187338</v>
      </c>
      <c r="M62" s="469">
        <v>0.22271345812710108</v>
      </c>
      <c r="N62" s="469">
        <v>0.22139363646135654</v>
      </c>
      <c r="O62" s="469">
        <v>0.41810728925325252</v>
      </c>
      <c r="P62" s="469" t="e">
        <v>#VALUE!</v>
      </c>
      <c r="Q62" s="469">
        <v>0.4768956994562531</v>
      </c>
      <c r="R62" s="469">
        <v>0.2035755984228837</v>
      </c>
    </row>
    <row r="63" spans="1:18" ht="15" customHeight="1">
      <c r="B63" s="376" t="s">
        <v>395</v>
      </c>
      <c r="C63" s="469">
        <v>0.10671905067350866</v>
      </c>
      <c r="D63" s="469">
        <v>0.1002261032278185</v>
      </c>
      <c r="E63" s="469">
        <v>0.22305494596497039</v>
      </c>
      <c r="F63" s="469">
        <v>0.21213759826962278</v>
      </c>
      <c r="G63" s="469">
        <v>4.5907213990769975E-2</v>
      </c>
      <c r="H63" s="469">
        <v>0.2770898019278149</v>
      </c>
      <c r="I63" s="469">
        <v>0.11457135513196878</v>
      </c>
      <c r="J63" s="469">
        <v>0.75635132781559755</v>
      </c>
      <c r="K63" s="469">
        <v>0.8312611012433393</v>
      </c>
      <c r="L63" s="469">
        <v>0.11058804562492443</v>
      </c>
      <c r="M63" s="469">
        <v>0.16918055431779699</v>
      </c>
      <c r="N63" s="469">
        <v>0.19481701766098197</v>
      </c>
      <c r="O63" s="469">
        <v>0.32821824381926684</v>
      </c>
      <c r="P63" s="469" t="e">
        <v>#VALUE!</v>
      </c>
      <c r="Q63" s="469">
        <v>0.32282734471879959</v>
      </c>
      <c r="R63" s="469">
        <v>0.18760600910118344</v>
      </c>
    </row>
    <row r="64" spans="1:18" ht="15" customHeight="1">
      <c r="B64" s="376"/>
    </row>
    <row r="65" spans="1:18" ht="15" customHeight="1">
      <c r="A65" s="381" t="s">
        <v>37</v>
      </c>
      <c r="B65" s="483" t="s">
        <v>396</v>
      </c>
      <c r="C65" s="484" t="s">
        <v>354</v>
      </c>
      <c r="D65" s="484" t="s">
        <v>300</v>
      </c>
      <c r="E65" s="484" t="s">
        <v>303</v>
      </c>
      <c r="F65" s="484" t="s">
        <v>306</v>
      </c>
      <c r="G65" s="484" t="s">
        <v>309</v>
      </c>
      <c r="H65" s="484" t="s">
        <v>312</v>
      </c>
      <c r="I65" s="484" t="s">
        <v>318</v>
      </c>
      <c r="J65" s="484" t="s">
        <v>321</v>
      </c>
      <c r="K65" s="484" t="s">
        <v>325</v>
      </c>
      <c r="L65" s="484" t="s">
        <v>328</v>
      </c>
      <c r="M65" s="484" t="s">
        <v>331</v>
      </c>
      <c r="N65" s="484" t="s">
        <v>335</v>
      </c>
      <c r="O65" s="484" t="s">
        <v>338</v>
      </c>
      <c r="P65" s="484" t="s">
        <v>341</v>
      </c>
      <c r="Q65" s="484" t="s">
        <v>345</v>
      </c>
      <c r="R65" s="484" t="s">
        <v>348</v>
      </c>
    </row>
    <row r="66" spans="1:18" ht="4.3499999999999996" customHeight="1">
      <c r="A66" s="381"/>
      <c r="B66" s="482"/>
      <c r="C66" s="36"/>
      <c r="D66" s="36"/>
      <c r="E66" s="36"/>
      <c r="F66" s="36"/>
      <c r="G66" s="36"/>
      <c r="H66" s="36"/>
      <c r="I66" s="36"/>
      <c r="J66" s="36"/>
      <c r="K66" s="36"/>
      <c r="L66" s="36"/>
      <c r="M66" s="36"/>
      <c r="N66" s="36"/>
      <c r="O66" s="36"/>
      <c r="P66" s="36"/>
      <c r="Q66" s="36"/>
      <c r="R66" s="36"/>
    </row>
    <row r="67" spans="1:18" ht="15" customHeight="1">
      <c r="B67" s="376" t="s">
        <v>397</v>
      </c>
      <c r="C67" s="470">
        <v>1.1930439296606321</v>
      </c>
      <c r="D67" s="470">
        <v>1.1745027674715649</v>
      </c>
      <c r="E67" s="470">
        <v>0.95163194936469697</v>
      </c>
      <c r="F67" s="470">
        <v>1.3332920157845369</v>
      </c>
      <c r="G67" s="470">
        <v>1.0605633802816901</v>
      </c>
      <c r="H67" s="470">
        <v>1.0553878334247098</v>
      </c>
      <c r="I67" s="470">
        <v>1.0637348061371781</v>
      </c>
      <c r="J67" s="470">
        <v>1.2390504445544965</v>
      </c>
      <c r="K67" s="470">
        <v>3.7085889570552149</v>
      </c>
      <c r="L67" s="470">
        <v>1.5483064045609698</v>
      </c>
      <c r="M67" s="470">
        <v>1.2910547173653935</v>
      </c>
      <c r="N67" s="470">
        <v>2.4471737412913885</v>
      </c>
      <c r="O67" s="470">
        <v>0.96593560429304715</v>
      </c>
      <c r="P67" s="470" t="s">
        <v>344</v>
      </c>
      <c r="Q67" s="470">
        <v>1.2335660958443182</v>
      </c>
      <c r="R67" s="470">
        <v>1.7710248331335565</v>
      </c>
    </row>
    <row r="68" spans="1:18" ht="15" customHeight="1">
      <c r="B68" s="376" t="s">
        <v>398</v>
      </c>
      <c r="C68" s="470">
        <v>1.0946726364285251</v>
      </c>
      <c r="D68" s="470">
        <v>1.0454960160574174</v>
      </c>
      <c r="E68" s="470">
        <v>0.73600680175712063</v>
      </c>
      <c r="F68" s="470">
        <v>1.1289496030740256</v>
      </c>
      <c r="G68" s="470">
        <v>0.86126760563380278</v>
      </c>
      <c r="H68" s="470">
        <v>0.75752008295392237</v>
      </c>
      <c r="I68" s="470">
        <v>0.87305426598525337</v>
      </c>
      <c r="J68" s="470">
        <v>0.2146450737992863</v>
      </c>
      <c r="K68" s="470">
        <v>3.4662576687116564</v>
      </c>
      <c r="L68" s="470">
        <v>1.0549425055013713</v>
      </c>
      <c r="M68" s="470">
        <v>0.86668714380627732</v>
      </c>
      <c r="N68" s="470">
        <v>1.0058177117000646</v>
      </c>
      <c r="O68" s="470">
        <v>0.84989889562918031</v>
      </c>
      <c r="P68" s="470" t="s">
        <v>344</v>
      </c>
      <c r="Q68" s="470">
        <v>0.98912983239515795</v>
      </c>
      <c r="R68" s="470">
        <v>1.5224781548077329</v>
      </c>
    </row>
    <row r="69" spans="1:18" ht="15" customHeight="1">
      <c r="B69" s="376" t="s">
        <v>399</v>
      </c>
      <c r="C69" s="470">
        <v>0.35701771461942766</v>
      </c>
      <c r="D69" s="470">
        <v>0.38428319445289216</v>
      </c>
      <c r="E69" s="470">
        <v>0.20707571678239101</v>
      </c>
      <c r="F69" s="470">
        <v>0.20105489252195535</v>
      </c>
      <c r="G69" s="470">
        <v>0.1732394366197183</v>
      </c>
      <c r="H69" s="470">
        <v>2.7998736621296275E-2</v>
      </c>
      <c r="I69" s="470">
        <v>0.56401625137239386</v>
      </c>
      <c r="J69" s="470">
        <v>0.10050495466516089</v>
      </c>
      <c r="K69" s="470">
        <v>2.8011247443762781</v>
      </c>
      <c r="L69" s="470">
        <v>0.98333968843173014</v>
      </c>
      <c r="M69" s="470">
        <v>0.7812306983483629</v>
      </c>
      <c r="N69" s="470">
        <v>0.58572146807440928</v>
      </c>
      <c r="O69" s="470">
        <v>0.17918805412972469</v>
      </c>
      <c r="P69" s="470" t="s">
        <v>344</v>
      </c>
      <c r="Q69" s="470">
        <v>0.33164567317715549</v>
      </c>
      <c r="R69" s="470">
        <v>0.55569078328146559</v>
      </c>
    </row>
    <row r="71" spans="1:18" ht="15" customHeight="1">
      <c r="A71" s="381" t="s">
        <v>37</v>
      </c>
      <c r="B71" s="483" t="s">
        <v>400</v>
      </c>
      <c r="C71" s="484" t="s">
        <v>354</v>
      </c>
      <c r="D71" s="484" t="s">
        <v>300</v>
      </c>
      <c r="E71" s="484" t="s">
        <v>303</v>
      </c>
      <c r="F71" s="484" t="s">
        <v>306</v>
      </c>
      <c r="G71" s="484" t="s">
        <v>309</v>
      </c>
      <c r="H71" s="484" t="s">
        <v>312</v>
      </c>
      <c r="I71" s="484" t="s">
        <v>318</v>
      </c>
      <c r="J71" s="484" t="s">
        <v>321</v>
      </c>
      <c r="K71" s="484" t="s">
        <v>325</v>
      </c>
      <c r="L71" s="484" t="s">
        <v>328</v>
      </c>
      <c r="M71" s="484" t="s">
        <v>331</v>
      </c>
      <c r="N71" s="484" t="s">
        <v>335</v>
      </c>
      <c r="O71" s="484" t="s">
        <v>338</v>
      </c>
      <c r="P71" s="484" t="s">
        <v>341</v>
      </c>
      <c r="Q71" s="484" t="s">
        <v>345</v>
      </c>
      <c r="R71" s="484" t="s">
        <v>348</v>
      </c>
    </row>
    <row r="72" spans="1:18" ht="4.3499999999999996" customHeight="1">
      <c r="A72" s="381"/>
      <c r="B72" s="482"/>
      <c r="C72" s="36"/>
      <c r="D72" s="36"/>
      <c r="E72" s="36"/>
      <c r="F72" s="36"/>
      <c r="G72" s="36"/>
      <c r="H72" s="36"/>
      <c r="I72" s="36"/>
      <c r="J72" s="36"/>
      <c r="K72" s="36"/>
      <c r="L72" s="36"/>
      <c r="M72" s="36"/>
      <c r="N72" s="36"/>
      <c r="O72" s="36"/>
      <c r="P72" s="36"/>
      <c r="Q72" s="36"/>
      <c r="R72" s="36"/>
    </row>
    <row r="73" spans="1:18" ht="15" customHeight="1">
      <c r="B73" s="376" t="s">
        <v>401</v>
      </c>
      <c r="C73" s="469">
        <v>4.6118326774787888E-2</v>
      </c>
      <c r="D73" s="469">
        <v>4.292302624354892E-2</v>
      </c>
      <c r="E73" s="469">
        <v>3.4875157389589719E-2</v>
      </c>
      <c r="F73" s="469">
        <v>0.13264715442121067</v>
      </c>
      <c r="G73" s="469">
        <v>9.774529236868186E-2</v>
      </c>
      <c r="H73" s="469">
        <v>7.1594142036487521E-2</v>
      </c>
      <c r="I73" s="469">
        <v>0.13010083720113674</v>
      </c>
      <c r="J73" s="469">
        <v>1.6002878052584841E-2</v>
      </c>
      <c r="K73" s="469">
        <v>2.1396396396396395E-3</v>
      </c>
      <c r="L73" s="469">
        <v>8.6287207167783916E-2</v>
      </c>
      <c r="M73" s="469">
        <v>1.192507199139814E-2</v>
      </c>
      <c r="N73" s="469">
        <v>7.5718250964276701E-2</v>
      </c>
      <c r="O73" s="469">
        <v>1.2257076042254657E-2</v>
      </c>
      <c r="P73" s="469" t="e">
        <v>#VALUE!</v>
      </c>
      <c r="Q73" s="469">
        <v>2.8318506480532798E-2</v>
      </c>
      <c r="R73" s="469">
        <v>3.8173617036530777E-3</v>
      </c>
    </row>
    <row r="74" spans="1:18" ht="15" customHeight="1">
      <c r="B74" s="376" t="s">
        <v>402</v>
      </c>
      <c r="C74" s="469">
        <v>0.95098499061913699</v>
      </c>
      <c r="D74" s="469">
        <v>1.0831255195344971</v>
      </c>
      <c r="E74" s="469">
        <v>0.62203389830508471</v>
      </c>
      <c r="F74" s="469">
        <v>2.2384423845979722</v>
      </c>
      <c r="G74" s="469">
        <v>1.6102040816326531</v>
      </c>
      <c r="H74" s="469">
        <v>1.1369417755711493</v>
      </c>
      <c r="I74" s="469">
        <v>1.5720996306468416</v>
      </c>
      <c r="J74" s="469">
        <v>0.47755255255255258</v>
      </c>
      <c r="K74" s="469">
        <v>0.52777777777777779</v>
      </c>
      <c r="L74" s="469">
        <v>2.024823947808474</v>
      </c>
      <c r="M74" s="469">
        <v>1.5519991015274035</v>
      </c>
      <c r="N74" s="469">
        <v>0.67889463477698775</v>
      </c>
      <c r="O74" s="469">
        <v>0.36893203883495146</v>
      </c>
      <c r="P74" s="469" t="e">
        <v>#VALUE!</v>
      </c>
      <c r="Q74" s="469">
        <v>0.39792736510428589</v>
      </c>
      <c r="R74" s="469">
        <v>0.66239973809134067</v>
      </c>
    </row>
    <row r="75" spans="1:18" ht="14.45" hidden="1" customHeight="1">
      <c r="B75" s="376" t="s">
        <v>403</v>
      </c>
      <c r="C75" s="469" t="e">
        <v>#VALUE!</v>
      </c>
      <c r="D75" s="469" t="e">
        <v>#VALUE!</v>
      </c>
      <c r="E75" s="469" t="e">
        <v>#VALUE!</v>
      </c>
      <c r="F75" s="469" t="e">
        <v>#VALUE!</v>
      </c>
      <c r="G75" s="469" t="e">
        <v>#VALUE!</v>
      </c>
      <c r="H75" s="469" t="e">
        <v>#VALUE!</v>
      </c>
      <c r="I75" s="469" t="e">
        <v>#VALUE!</v>
      </c>
      <c r="J75" s="469" t="e">
        <v>#VALUE!</v>
      </c>
      <c r="K75" s="469" t="e">
        <v>#VALUE!</v>
      </c>
      <c r="L75" s="469" t="e">
        <v>#VALUE!</v>
      </c>
      <c r="M75" s="469" t="e">
        <v>#VALUE!</v>
      </c>
      <c r="N75" s="469" t="e">
        <v>#VALUE!</v>
      </c>
      <c r="O75" s="469" t="e">
        <v>#VALUE!</v>
      </c>
      <c r="P75" s="469" t="e">
        <v>#VALUE!</v>
      </c>
      <c r="Q75" s="469" t="e">
        <v>#VALUE!</v>
      </c>
      <c r="R75" s="469" t="e">
        <v>#VALUE!</v>
      </c>
    </row>
    <row r="76" spans="1:18" ht="15" hidden="1" customHeight="1">
      <c r="B76" s="376" t="s">
        <v>404</v>
      </c>
      <c r="C76" s="470" t="e">
        <v>#VALUE!</v>
      </c>
      <c r="D76" s="470" t="e">
        <v>#VALUE!</v>
      </c>
      <c r="E76" s="470" t="e">
        <v>#VALUE!</v>
      </c>
      <c r="F76" s="470" t="e">
        <v>#VALUE!</v>
      </c>
      <c r="G76" s="470" t="e">
        <v>#VALUE!</v>
      </c>
      <c r="H76" s="470" t="e">
        <v>#VALUE!</v>
      </c>
      <c r="I76" s="470" t="e">
        <v>#VALUE!</v>
      </c>
      <c r="J76" s="470" t="e">
        <v>#VALUE!</v>
      </c>
      <c r="K76" s="470" t="e">
        <v>#VALUE!</v>
      </c>
      <c r="L76" s="470" t="e">
        <v>#VALUE!</v>
      </c>
      <c r="M76" s="470" t="e">
        <v>#VALUE!</v>
      </c>
      <c r="N76" s="470" t="e">
        <v>#VALUE!</v>
      </c>
      <c r="O76" s="470" t="e">
        <v>#VALUE!</v>
      </c>
      <c r="P76" s="470" t="e">
        <v>#VALUE!</v>
      </c>
      <c r="Q76" s="470" t="e">
        <v>#VALUE!</v>
      </c>
      <c r="R76" s="470" t="e">
        <v>#VALUE!</v>
      </c>
    </row>
    <row r="77" spans="1:18" ht="15" customHeight="1">
      <c r="B77" s="376" t="s">
        <v>405</v>
      </c>
      <c r="C77" s="469">
        <v>0.32722385141739979</v>
      </c>
      <c r="D77" s="469">
        <v>0.9674852992044275</v>
      </c>
      <c r="E77" s="469">
        <v>0.63985594237695076</v>
      </c>
      <c r="F77" s="469">
        <v>0.1888071307583935</v>
      </c>
      <c r="G77" s="469">
        <v>0</v>
      </c>
      <c r="H77" s="469">
        <v>0.30749221385705733</v>
      </c>
      <c r="I77" s="469">
        <v>0</v>
      </c>
      <c r="J77" s="469">
        <v>0</v>
      </c>
      <c r="K77" s="469">
        <v>0</v>
      </c>
      <c r="L77" s="469">
        <v>0.13824383161520046</v>
      </c>
      <c r="M77" s="469">
        <v>0.26167752399961314</v>
      </c>
      <c r="N77" s="469">
        <v>0.39891962678016041</v>
      </c>
      <c r="O77" s="469">
        <v>0.82770270270270274</v>
      </c>
      <c r="P77" s="469" t="e">
        <v>#VALUE!</v>
      </c>
      <c r="Q77" s="469">
        <v>0.81990357041565565</v>
      </c>
      <c r="R77" s="469">
        <v>0.25193655386613301</v>
      </c>
    </row>
    <row r="78" spans="1:18" ht="15" customHeight="1">
      <c r="B78" s="376" t="s">
        <v>406</v>
      </c>
      <c r="C78" s="469">
        <v>1.2797718886279772</v>
      </c>
      <c r="D78" s="469">
        <v>0.94313825849026234</v>
      </c>
      <c r="E78" s="469">
        <v>1.0263620386643233</v>
      </c>
      <c r="F78" s="469">
        <v>1.353232106208015</v>
      </c>
      <c r="G78" s="469">
        <v>0</v>
      </c>
      <c r="H78" s="469">
        <v>1.1161572914761333</v>
      </c>
      <c r="I78" s="469">
        <v>0</v>
      </c>
      <c r="J78" s="469">
        <v>-7.4195801322870861E-2</v>
      </c>
      <c r="K78" s="469">
        <v>-3.8196618659987476E-2</v>
      </c>
      <c r="L78" s="469">
        <v>0.38418340765337844</v>
      </c>
      <c r="M78" s="469">
        <v>0.2438278235409703</v>
      </c>
      <c r="N78" s="469" t="e">
        <v>#VALUE!</v>
      </c>
      <c r="O78" s="469">
        <v>0.87670068027210879</v>
      </c>
      <c r="P78" s="469" t="e">
        <v>#VALUE!</v>
      </c>
      <c r="Q78" s="469">
        <v>0.21481202919159037</v>
      </c>
      <c r="R78" s="469">
        <v>1.4320436313049589</v>
      </c>
    </row>
    <row r="79" spans="1:18" ht="15" customHeight="1">
      <c r="B79" s="376" t="s">
        <v>407</v>
      </c>
      <c r="C79" s="469">
        <v>0.42879476975554293</v>
      </c>
      <c r="D79" s="469">
        <v>4.9397352301916615E-2</v>
      </c>
      <c r="E79" s="469">
        <v>0.1531587439493608</v>
      </c>
      <c r="F79" s="469">
        <v>0.58295902507287789</v>
      </c>
      <c r="G79" s="469">
        <v>0</v>
      </c>
      <c r="H79" s="469">
        <v>0.37102098498067637</v>
      </c>
      <c r="I79" s="469">
        <v>0</v>
      </c>
      <c r="J79" s="469">
        <v>0</v>
      </c>
      <c r="K79" s="469">
        <v>0</v>
      </c>
      <c r="L79" s="469">
        <v>0.53001363839299365</v>
      </c>
      <c r="M79" s="469">
        <v>0.44602805749203889</v>
      </c>
      <c r="N79" s="469">
        <v>4.4440892015026774E-2</v>
      </c>
      <c r="O79" s="469">
        <v>3.4552845528455285E-2</v>
      </c>
      <c r="P79" s="469" t="e">
        <v>#VALUE!</v>
      </c>
      <c r="Q79" s="469">
        <v>4.7041011125008227E-2</v>
      </c>
      <c r="R79" s="469">
        <v>1.182066768874739</v>
      </c>
    </row>
    <row r="80" spans="1:18" ht="15" customHeight="1">
      <c r="B80" s="376"/>
    </row>
    <row r="81" spans="1:18" ht="15" customHeight="1">
      <c r="A81" s="381" t="s">
        <v>37</v>
      </c>
      <c r="B81" s="483" t="s">
        <v>408</v>
      </c>
      <c r="C81" s="484" t="s">
        <v>354</v>
      </c>
      <c r="D81" s="484" t="s">
        <v>300</v>
      </c>
      <c r="E81" s="484" t="s">
        <v>303</v>
      </c>
      <c r="F81" s="484" t="s">
        <v>306</v>
      </c>
      <c r="G81" s="484" t="s">
        <v>309</v>
      </c>
      <c r="H81" s="484" t="s">
        <v>312</v>
      </c>
      <c r="I81" s="484" t="s">
        <v>318</v>
      </c>
      <c r="J81" s="484" t="s">
        <v>321</v>
      </c>
      <c r="K81" s="484" t="s">
        <v>325</v>
      </c>
      <c r="L81" s="484" t="s">
        <v>328</v>
      </c>
      <c r="M81" s="484" t="s">
        <v>331</v>
      </c>
      <c r="N81" s="484" t="s">
        <v>335</v>
      </c>
      <c r="O81" s="484" t="s">
        <v>338</v>
      </c>
      <c r="P81" s="484" t="s">
        <v>341</v>
      </c>
      <c r="Q81" s="484" t="s">
        <v>345</v>
      </c>
      <c r="R81" s="484" t="s">
        <v>348</v>
      </c>
    </row>
    <row r="82" spans="1:18" ht="4.3499999999999996" customHeight="1">
      <c r="A82" s="381"/>
      <c r="B82" s="482"/>
      <c r="C82" s="36"/>
      <c r="D82" s="36"/>
      <c r="E82" s="36"/>
      <c r="F82" s="36"/>
      <c r="G82" s="36"/>
      <c r="H82" s="36"/>
      <c r="I82" s="36"/>
      <c r="J82" s="36"/>
      <c r="K82" s="36"/>
      <c r="L82" s="36"/>
      <c r="M82" s="36"/>
      <c r="N82" s="36"/>
      <c r="O82" s="36"/>
      <c r="P82" s="36"/>
      <c r="Q82" s="36"/>
      <c r="R82" s="36"/>
    </row>
    <row r="83" spans="1:18" ht="15" customHeight="1">
      <c r="B83" s="376" t="s">
        <v>409</v>
      </c>
      <c r="C83" s="470">
        <v>8.1291983334912334</v>
      </c>
      <c r="D83" s="470">
        <v>8.9508683810264937</v>
      </c>
      <c r="E83" s="470">
        <v>11.291509295139059</v>
      </c>
      <c r="F83" s="470">
        <v>6.4117215183025555</v>
      </c>
      <c r="G83" s="470">
        <v>6.6987787993599683</v>
      </c>
      <c r="H83" s="470">
        <v>10.433739008090045</v>
      </c>
      <c r="I83" s="470">
        <v>5.3351677552676593</v>
      </c>
      <c r="J83" s="470">
        <v>7.2648760111884929</v>
      </c>
      <c r="K83" s="470">
        <v>3.6323422313730074</v>
      </c>
      <c r="L83" s="470">
        <v>7.9725630203730926</v>
      </c>
      <c r="M83" s="470">
        <v>15.849298123947268</v>
      </c>
      <c r="N83" s="470">
        <v>14.479033697228372</v>
      </c>
      <c r="O83" s="470">
        <v>6.3166814312675728</v>
      </c>
      <c r="P83" s="470" t="e">
        <v>#VALUE!</v>
      </c>
      <c r="Q83" s="470">
        <v>23.275280898876403</v>
      </c>
      <c r="R83" s="470">
        <v>3.8746223726779934</v>
      </c>
    </row>
    <row r="84" spans="1:18" ht="15" customHeight="1">
      <c r="B84" s="376" t="s">
        <v>410</v>
      </c>
      <c r="C84" s="470">
        <v>3.4441643308893362</v>
      </c>
      <c r="D84" s="470">
        <v>5.4941459446075491</v>
      </c>
      <c r="E84" s="470">
        <v>7.1768423855538197</v>
      </c>
      <c r="F84" s="470">
        <v>3.4312316211276368</v>
      </c>
      <c r="G84" s="470">
        <v>0.15752078859881113</v>
      </c>
      <c r="H84" s="470">
        <v>4.3459936686598652</v>
      </c>
      <c r="I84" s="470">
        <v>1.5137572206537113</v>
      </c>
      <c r="J84" s="470">
        <v>4.7711827695636924</v>
      </c>
      <c r="K84" s="470">
        <v>3.5896352373160227</v>
      </c>
      <c r="L84" s="470">
        <v>3.7806397134755181</v>
      </c>
      <c r="M84" s="470">
        <v>12.079241307098533</v>
      </c>
      <c r="N84" s="470">
        <v>9.6171984672662276</v>
      </c>
      <c r="O84" s="470">
        <v>5.0328030915790416</v>
      </c>
      <c r="P84" s="470" t="e">
        <v>#VALUE!</v>
      </c>
      <c r="Q84" s="470">
        <v>17.383656792645557</v>
      </c>
      <c r="R84" s="470">
        <v>3.6578696462622928</v>
      </c>
    </row>
    <row r="86" spans="1:18" ht="15" customHeight="1">
      <c r="A86" s="381" t="s">
        <v>37</v>
      </c>
      <c r="B86" s="483" t="s">
        <v>411</v>
      </c>
      <c r="C86" s="484" t="s">
        <v>354</v>
      </c>
      <c r="D86" s="484" t="s">
        <v>300</v>
      </c>
      <c r="E86" s="484" t="s">
        <v>303</v>
      </c>
      <c r="F86" s="484" t="s">
        <v>306</v>
      </c>
      <c r="G86" s="484" t="s">
        <v>309</v>
      </c>
      <c r="H86" s="484" t="s">
        <v>312</v>
      </c>
      <c r="I86" s="484" t="s">
        <v>318</v>
      </c>
      <c r="J86" s="484" t="s">
        <v>321</v>
      </c>
      <c r="K86" s="484" t="s">
        <v>325</v>
      </c>
      <c r="L86" s="484" t="s">
        <v>328</v>
      </c>
      <c r="M86" s="484" t="s">
        <v>331</v>
      </c>
      <c r="N86" s="484" t="s">
        <v>335</v>
      </c>
      <c r="O86" s="484" t="s">
        <v>338</v>
      </c>
      <c r="P86" s="484" t="s">
        <v>341</v>
      </c>
      <c r="Q86" s="484" t="s">
        <v>345</v>
      </c>
      <c r="R86" s="484" t="s">
        <v>348</v>
      </c>
    </row>
    <row r="87" spans="1:18" ht="4.3499999999999996" customHeight="1">
      <c r="A87" s="381"/>
      <c r="B87" s="482"/>
      <c r="C87" s="36"/>
      <c r="D87" s="36"/>
      <c r="E87" s="36"/>
      <c r="F87" s="36"/>
      <c r="G87" s="36"/>
      <c r="H87" s="36"/>
      <c r="I87" s="36"/>
      <c r="J87" s="36"/>
      <c r="K87" s="36"/>
      <c r="L87" s="36"/>
      <c r="M87" s="36"/>
      <c r="N87" s="36"/>
      <c r="O87" s="36"/>
      <c r="P87" s="36"/>
      <c r="Q87" s="36"/>
      <c r="R87" s="36"/>
    </row>
    <row r="88" spans="1:18" ht="15" customHeight="1">
      <c r="B88" s="376" t="s">
        <v>412</v>
      </c>
      <c r="C88" s="469">
        <v>8.2987551867219622E-3</v>
      </c>
      <c r="D88" s="469">
        <v>1.1695906432749315E-3</v>
      </c>
      <c r="E88" s="469">
        <v>1.8598947348596351E-2</v>
      </c>
      <c r="F88" s="469">
        <v>5.3825362473645111E-3</v>
      </c>
      <c r="G88" s="469">
        <v>3.4482758620689724E-2</v>
      </c>
      <c r="H88" s="469">
        <v>7.9158778581027711E-3</v>
      </c>
      <c r="I88" s="469">
        <v>2.3679938890480257E-2</v>
      </c>
      <c r="J88" s="469">
        <v>1.6124269281407866E-3</v>
      </c>
      <c r="K88" s="469">
        <v>9.0694263004151843E-3</v>
      </c>
      <c r="L88" s="469">
        <v>2.8033722521886517E-2</v>
      </c>
      <c r="M88" s="469">
        <v>2.8885743525084662E-2</v>
      </c>
      <c r="N88" s="469">
        <v>0</v>
      </c>
      <c r="O88" s="469">
        <v>2.2215065407364953E-3</v>
      </c>
      <c r="P88" s="469" t="e">
        <v>#VALUE!</v>
      </c>
      <c r="Q88" s="469">
        <v>0</v>
      </c>
      <c r="R88" s="469">
        <v>5.1775987290061387E-3</v>
      </c>
    </row>
    <row r="89" spans="1:18" ht="15" customHeight="1">
      <c r="B89" s="376" t="s">
        <v>413</v>
      </c>
      <c r="C89" s="469">
        <v>1.7514728294247435E-3</v>
      </c>
      <c r="D89" s="469">
        <v>2.635335456242451E-4</v>
      </c>
      <c r="E89" s="469" t="e">
        <v>#VALUE!</v>
      </c>
      <c r="F89" s="469">
        <v>1.9517404695940193E-3</v>
      </c>
      <c r="G89" s="469">
        <v>1.0777998017839446E-2</v>
      </c>
      <c r="H89" s="469">
        <v>5.4343419702356319E-3</v>
      </c>
      <c r="I89" s="469">
        <v>3.4502217227125882E-2</v>
      </c>
      <c r="J89" s="469">
        <v>2.1258342956192722E-3</v>
      </c>
      <c r="K89" s="469">
        <v>4.8423423423423421E-2</v>
      </c>
      <c r="L89" s="469">
        <v>1.4021219514887885E-2</v>
      </c>
      <c r="M89" s="469">
        <v>2.5879796586006959E-3</v>
      </c>
      <c r="N89" s="469" t="e">
        <v>#VALUE!</v>
      </c>
      <c r="O89" s="469">
        <v>8.8702523990000811E-4</v>
      </c>
      <c r="P89" s="469" t="e">
        <v>#VALUE!</v>
      </c>
      <c r="Q89" s="469" t="e">
        <v>#VALUE!</v>
      </c>
      <c r="R89" s="469">
        <v>6.0717804748165547E-3</v>
      </c>
    </row>
    <row r="90" spans="1:18" ht="15" customHeight="1">
      <c r="B90" s="376" t="s">
        <v>414</v>
      </c>
      <c r="C90" s="469">
        <v>2.1887436043206369E-2</v>
      </c>
      <c r="D90" s="469">
        <v>2.3710729104919974E-3</v>
      </c>
      <c r="E90" s="469" t="e">
        <v>#VALUE!</v>
      </c>
      <c r="F90" s="469">
        <v>6.8397012444531766E-3</v>
      </c>
      <c r="G90" s="469">
        <v>0.10767326732673267</v>
      </c>
      <c r="H90" s="469">
        <v>4.4287991283452323E-2</v>
      </c>
      <c r="I90" s="469">
        <v>0.18995141399932688</v>
      </c>
      <c r="J90" s="469">
        <v>4.5598035776920377E-2</v>
      </c>
      <c r="K90" s="469">
        <v>0.2660891089108911</v>
      </c>
      <c r="L90" s="469">
        <v>8.5438722027533651E-2</v>
      </c>
      <c r="M90" s="469">
        <v>5.162234271451932E-2</v>
      </c>
      <c r="N90" s="469" t="e">
        <v>#VALUE!</v>
      </c>
      <c r="O90" s="469">
        <v>1.4905149051490514E-2</v>
      </c>
      <c r="P90" s="469" t="e">
        <v>#VALUE!</v>
      </c>
      <c r="Q90" s="469" t="e">
        <v>#VALUE!</v>
      </c>
      <c r="R90" s="469">
        <v>8.8979085131766861E-2</v>
      </c>
    </row>
    <row r="91" spans="1:18" ht="15" customHeight="1">
      <c r="B91" s="376" t="s">
        <v>415</v>
      </c>
      <c r="C91" s="479">
        <v>18.377593000000001</v>
      </c>
      <c r="D91" s="479">
        <v>7.7540169999999993</v>
      </c>
      <c r="E91" s="479">
        <v>3.2411419416678129</v>
      </c>
      <c r="F91" s="479">
        <v>5.1492620000000002</v>
      </c>
      <c r="G91" s="479">
        <v>3.1034209999999995</v>
      </c>
      <c r="H91" s="479">
        <v>5.7340350000000004</v>
      </c>
      <c r="I91" s="479">
        <v>6.6876920000000002</v>
      </c>
      <c r="J91" s="479">
        <v>3.2917535135135135E-3</v>
      </c>
      <c r="K91" s="479">
        <v>1.11972</v>
      </c>
      <c r="L91" s="479">
        <v>6.8117313261772736</v>
      </c>
      <c r="M91" s="479">
        <v>3.9314524256054546</v>
      </c>
      <c r="N91" s="479">
        <v>458.67888900000003</v>
      </c>
      <c r="O91" s="479">
        <v>11.225941470001152</v>
      </c>
      <c r="P91" s="479" t="s">
        <v>357</v>
      </c>
      <c r="Q91" s="479">
        <v>0.91519435302760288</v>
      </c>
      <c r="R91" s="479">
        <v>6.1499999999999995</v>
      </c>
    </row>
  </sheetData>
  <conditionalFormatting sqref="C14:L14">
    <cfRule type="colorScale" priority="73">
      <colorScale>
        <cfvo type="min"/>
        <cfvo type="num" val="0"/>
        <cfvo type="max"/>
        <color theme="4" tint="0.79998168889431442"/>
        <color theme="0"/>
        <color rgb="FF8DEB91"/>
      </colorScale>
    </cfRule>
  </conditionalFormatting>
  <conditionalFormatting sqref="C15:L15">
    <cfRule type="colorScale" priority="55">
      <colorScale>
        <cfvo type="min"/>
        <cfvo type="num" val="0"/>
        <cfvo type="max"/>
        <color theme="4" tint="0.79998168889431442"/>
        <color theme="0"/>
        <color rgb="FF8DEB91"/>
      </colorScale>
    </cfRule>
  </conditionalFormatting>
  <conditionalFormatting sqref="C16:L16">
    <cfRule type="colorScale" priority="54">
      <colorScale>
        <cfvo type="min"/>
        <cfvo type="num" val="0"/>
        <cfvo type="max"/>
        <color theme="4" tint="0.79998168889431442"/>
        <color theme="0"/>
        <color rgb="FF8DEB91"/>
      </colorScale>
    </cfRule>
  </conditionalFormatting>
  <conditionalFormatting sqref="C17:L17">
    <cfRule type="colorScale" priority="53">
      <colorScale>
        <cfvo type="min"/>
        <cfvo type="num" val="0"/>
        <cfvo type="max"/>
        <color theme="4" tint="0.79998168889431442"/>
        <color theme="0"/>
        <color rgb="FF8DEB91"/>
      </colorScale>
    </cfRule>
  </conditionalFormatting>
  <conditionalFormatting sqref="C18:L18">
    <cfRule type="colorScale" priority="52">
      <colorScale>
        <cfvo type="min"/>
        <cfvo type="num" val="0"/>
        <cfvo type="max"/>
        <color theme="4" tint="0.79998168889431442"/>
        <color theme="0"/>
        <color rgb="FF8DEB91"/>
      </colorScale>
    </cfRule>
  </conditionalFormatting>
  <conditionalFormatting sqref="C19:L19">
    <cfRule type="colorScale" priority="51">
      <colorScale>
        <cfvo type="min"/>
        <cfvo type="num" val="0"/>
        <cfvo type="max"/>
        <color theme="4" tint="0.79998168889431442"/>
        <color theme="0"/>
        <color rgb="FF8DEB91"/>
      </colorScale>
    </cfRule>
  </conditionalFormatting>
  <conditionalFormatting sqref="C23:R23">
    <cfRule type="colorScale" priority="67">
      <colorScale>
        <cfvo type="min"/>
        <cfvo type="percentile" val="50"/>
        <cfvo type="max"/>
        <color theme="4" tint="0.79998168889431442"/>
        <color theme="0"/>
        <color rgb="FF8DEB91"/>
      </colorScale>
    </cfRule>
  </conditionalFormatting>
  <conditionalFormatting sqref="C24:R24">
    <cfRule type="colorScale" priority="50">
      <colorScale>
        <cfvo type="min"/>
        <cfvo type="percentile" val="50"/>
        <cfvo type="max"/>
        <color theme="4" tint="0.79998168889431442"/>
        <color theme="0"/>
        <color rgb="FF8DEB91"/>
      </colorScale>
    </cfRule>
  </conditionalFormatting>
  <conditionalFormatting sqref="C25:R25">
    <cfRule type="colorScale" priority="49">
      <colorScale>
        <cfvo type="min"/>
        <cfvo type="percentile" val="50"/>
        <cfvo type="max"/>
        <color theme="4" tint="0.79998168889431442"/>
        <color theme="0"/>
        <color rgb="FF8DEB91"/>
      </colorScale>
    </cfRule>
  </conditionalFormatting>
  <conditionalFormatting sqref="C26:R26">
    <cfRule type="colorScale" priority="48">
      <colorScale>
        <cfvo type="min"/>
        <cfvo type="percentile" val="50"/>
        <cfvo type="max"/>
        <color theme="4" tint="0.79998168889431442"/>
        <color theme="0"/>
        <color rgb="FF8DEB91"/>
      </colorScale>
    </cfRule>
  </conditionalFormatting>
  <conditionalFormatting sqref="C27:R27">
    <cfRule type="colorScale" priority="47">
      <colorScale>
        <cfvo type="min"/>
        <cfvo type="percentile" val="50"/>
        <cfvo type="max"/>
        <color theme="4" tint="0.79998168889431442"/>
        <color theme="0"/>
        <color rgb="FF8DEB91"/>
      </colorScale>
    </cfRule>
  </conditionalFormatting>
  <conditionalFormatting sqref="C28:R28">
    <cfRule type="colorScale" priority="46">
      <colorScale>
        <cfvo type="min"/>
        <cfvo type="percentile" val="50"/>
        <cfvo type="max"/>
        <color theme="4" tint="0.79998168889431442"/>
        <color theme="0"/>
        <color rgb="FF8DEB91"/>
      </colorScale>
    </cfRule>
  </conditionalFormatting>
  <conditionalFormatting sqref="C32:R32">
    <cfRule type="colorScale" priority="45">
      <colorScale>
        <cfvo type="min"/>
        <cfvo type="percentile" val="50"/>
        <cfvo type="max"/>
        <color theme="4" tint="0.79998168889431442"/>
        <color theme="0"/>
        <color rgb="FF8DEB91"/>
      </colorScale>
    </cfRule>
  </conditionalFormatting>
  <conditionalFormatting sqref="C33:R33">
    <cfRule type="colorScale" priority="44">
      <colorScale>
        <cfvo type="min"/>
        <cfvo type="percentile" val="50"/>
        <cfvo type="max"/>
        <color theme="4" tint="0.79998168889431442"/>
        <color theme="0"/>
        <color rgb="FF8DEB91"/>
      </colorScale>
    </cfRule>
  </conditionalFormatting>
  <conditionalFormatting sqref="C34:R34">
    <cfRule type="colorScale" priority="43">
      <colorScale>
        <cfvo type="min"/>
        <cfvo type="percentile" val="50"/>
        <cfvo type="max"/>
        <color theme="4" tint="0.79998168889431442"/>
        <color theme="0"/>
        <color rgb="FF8DEB91"/>
      </colorScale>
    </cfRule>
  </conditionalFormatting>
  <conditionalFormatting sqref="C35:R35">
    <cfRule type="colorScale" priority="42">
      <colorScale>
        <cfvo type="min"/>
        <cfvo type="percentile" val="50"/>
        <cfvo type="max"/>
        <color theme="4" tint="0.79998168889431442"/>
        <color theme="0"/>
        <color rgb="FF8DEB91"/>
      </colorScale>
    </cfRule>
  </conditionalFormatting>
  <conditionalFormatting sqref="C36:R36">
    <cfRule type="colorScale" priority="41">
      <colorScale>
        <cfvo type="min"/>
        <cfvo type="percentile" val="50"/>
        <cfvo type="max"/>
        <color theme="4" tint="0.79998168889431442"/>
        <color theme="0"/>
        <color rgb="FF8DEB91"/>
      </colorScale>
    </cfRule>
  </conditionalFormatting>
  <conditionalFormatting sqref="C37:R37">
    <cfRule type="colorScale" priority="40">
      <colorScale>
        <cfvo type="min"/>
        <cfvo type="percentile" val="50"/>
        <cfvo type="max"/>
        <color theme="4" tint="0.79998168889431442"/>
        <color theme="0"/>
        <color rgb="FF8DEB91"/>
      </colorScale>
    </cfRule>
  </conditionalFormatting>
  <conditionalFormatting sqref="C41:R41">
    <cfRule type="colorScale" priority="39">
      <colorScale>
        <cfvo type="min"/>
        <cfvo type="percentile" val="50"/>
        <cfvo type="max"/>
        <color theme="4" tint="0.79998168889431442"/>
        <color theme="0" tint="-4.9989318521683403E-2"/>
        <color rgb="FF8DEB91"/>
      </colorScale>
    </cfRule>
  </conditionalFormatting>
  <conditionalFormatting sqref="C42:R42">
    <cfRule type="colorScale" priority="38">
      <colorScale>
        <cfvo type="min"/>
        <cfvo type="percentile" val="50"/>
        <cfvo type="max"/>
        <color theme="4" tint="0.79998168889431442"/>
        <color theme="0" tint="-4.9989318521683403E-2"/>
        <color rgb="FF8DEB91"/>
      </colorScale>
    </cfRule>
  </conditionalFormatting>
  <conditionalFormatting sqref="C43:R43">
    <cfRule type="colorScale" priority="37">
      <colorScale>
        <cfvo type="min"/>
        <cfvo type="percentile" val="50"/>
        <cfvo type="max"/>
        <color theme="4" tint="0.79998168889431442"/>
        <color theme="0" tint="-4.9989318521683403E-2"/>
        <color rgb="FF8DEB91"/>
      </colorScale>
    </cfRule>
  </conditionalFormatting>
  <conditionalFormatting sqref="C44:R44">
    <cfRule type="colorScale" priority="36">
      <colorScale>
        <cfvo type="min"/>
        <cfvo type="percentile" val="50"/>
        <cfvo type="max"/>
        <color theme="4" tint="0.79998168889431442"/>
        <color theme="0"/>
        <color rgb="FF8DEB91"/>
      </colorScale>
    </cfRule>
  </conditionalFormatting>
  <conditionalFormatting sqref="C45:R45">
    <cfRule type="colorScale" priority="35">
      <colorScale>
        <cfvo type="min"/>
        <cfvo type="percentile" val="50"/>
        <cfvo type="max"/>
        <color theme="4" tint="0.79998168889431442"/>
        <color theme="0"/>
        <color rgb="FF8DEB91"/>
      </colorScale>
    </cfRule>
  </conditionalFormatting>
  <conditionalFormatting sqref="C49:R49">
    <cfRule type="colorScale" priority="34">
      <colorScale>
        <cfvo type="min"/>
        <cfvo type="percentile" val="50"/>
        <cfvo type="max"/>
        <color theme="4" tint="0.79998168889431442"/>
        <color theme="0"/>
        <color rgb="FF8DEB91"/>
      </colorScale>
    </cfRule>
  </conditionalFormatting>
  <conditionalFormatting sqref="C50:R50">
    <cfRule type="colorScale" priority="33">
      <colorScale>
        <cfvo type="min"/>
        <cfvo type="percentile" val="50"/>
        <cfvo type="max"/>
        <color theme="4" tint="0.79998168889431442"/>
        <color theme="0"/>
        <color rgb="FF8DEB91"/>
      </colorScale>
    </cfRule>
  </conditionalFormatting>
  <conditionalFormatting sqref="C51:R51">
    <cfRule type="colorScale" priority="32">
      <colorScale>
        <cfvo type="min"/>
        <cfvo type="percentile" val="50"/>
        <cfvo type="max"/>
        <color theme="4" tint="0.79998168889431442"/>
        <color theme="0"/>
        <color rgb="FF8DEB91"/>
      </colorScale>
    </cfRule>
  </conditionalFormatting>
  <conditionalFormatting sqref="C52:R52">
    <cfRule type="colorScale" priority="31">
      <colorScale>
        <cfvo type="min"/>
        <cfvo type="percentile" val="50"/>
        <cfvo type="max"/>
        <color theme="4" tint="0.79998168889431442"/>
        <color theme="0"/>
        <color rgb="FF8DEB91"/>
      </colorScale>
    </cfRule>
  </conditionalFormatting>
  <conditionalFormatting sqref="C53:R53">
    <cfRule type="colorScale" priority="30">
      <colorScale>
        <cfvo type="min"/>
        <cfvo type="percentile" val="50"/>
        <cfvo type="max"/>
        <color theme="4" tint="0.79998168889431442"/>
        <color theme="0"/>
        <color rgb="FF8DEB91"/>
      </colorScale>
    </cfRule>
  </conditionalFormatting>
  <conditionalFormatting sqref="C54:R54">
    <cfRule type="colorScale" priority="29">
      <colorScale>
        <cfvo type="min"/>
        <cfvo type="percentile" val="50"/>
        <cfvo type="max"/>
        <color theme="4" tint="0.79998168889431442"/>
        <color theme="0" tint="-4.9989318521683403E-2"/>
        <color rgb="FF8DEB91"/>
      </colorScale>
    </cfRule>
  </conditionalFormatting>
  <conditionalFormatting sqref="C55:R55">
    <cfRule type="colorScale" priority="28">
      <colorScale>
        <cfvo type="min"/>
        <cfvo type="percentile" val="50"/>
        <cfvo type="max"/>
        <color theme="4" tint="0.79998168889431442"/>
        <color theme="0"/>
        <color rgb="FF8DEB91"/>
      </colorScale>
    </cfRule>
  </conditionalFormatting>
  <conditionalFormatting sqref="C59:R59">
    <cfRule type="colorScale" priority="27">
      <colorScale>
        <cfvo type="min"/>
        <cfvo type="percentile" val="50"/>
        <cfvo type="max"/>
        <color theme="4" tint="0.79998168889431442"/>
        <color theme="0" tint="-4.9989318521683403E-2"/>
        <color rgb="FF8DEB91"/>
      </colorScale>
    </cfRule>
  </conditionalFormatting>
  <conditionalFormatting sqref="C60:R60">
    <cfRule type="colorScale" priority="26">
      <colorScale>
        <cfvo type="min"/>
        <cfvo type="percentile" val="50"/>
        <cfvo type="max"/>
        <color theme="4" tint="0.79998168889431442"/>
        <color theme="0" tint="-4.9989318521683403E-2"/>
        <color rgb="FF8DEB91"/>
      </colorScale>
    </cfRule>
  </conditionalFormatting>
  <conditionalFormatting sqref="C61:R61">
    <cfRule type="colorScale" priority="25">
      <colorScale>
        <cfvo type="min"/>
        <cfvo type="percentile" val="50"/>
        <cfvo type="max"/>
        <color theme="4" tint="0.79998168889431442"/>
        <color theme="0" tint="-4.9989318521683403E-2"/>
        <color rgb="FF8DEB91"/>
      </colorScale>
    </cfRule>
  </conditionalFormatting>
  <conditionalFormatting sqref="C62:R62">
    <cfRule type="colorScale" priority="24">
      <colorScale>
        <cfvo type="min"/>
        <cfvo type="percentile" val="50"/>
        <cfvo type="max"/>
        <color theme="4" tint="0.79998168889431442"/>
        <color theme="0"/>
        <color rgb="FF8DEB91"/>
      </colorScale>
    </cfRule>
  </conditionalFormatting>
  <conditionalFormatting sqref="C63:R63">
    <cfRule type="colorScale" priority="23">
      <colorScale>
        <cfvo type="min"/>
        <cfvo type="percentile" val="50"/>
        <cfvo type="max"/>
        <color theme="4" tint="0.79998168889431442"/>
        <color theme="0"/>
        <color rgb="FF8DEB91"/>
      </colorScale>
    </cfRule>
  </conditionalFormatting>
  <conditionalFormatting sqref="C67:R67">
    <cfRule type="colorScale" priority="22">
      <colorScale>
        <cfvo type="min"/>
        <cfvo type="percentile" val="50"/>
        <cfvo type="max"/>
        <color theme="4" tint="0.79998168889431442"/>
        <color theme="0" tint="-4.9989318521683403E-2"/>
        <color rgb="FF8DEB91"/>
      </colorScale>
    </cfRule>
  </conditionalFormatting>
  <conditionalFormatting sqref="C68:R68">
    <cfRule type="colorScale" priority="21">
      <colorScale>
        <cfvo type="min"/>
        <cfvo type="percentile" val="50"/>
        <cfvo type="max"/>
        <color theme="4" tint="0.79998168889431442"/>
        <color theme="0" tint="-4.9989318521683403E-2"/>
        <color rgb="FF8DEB91"/>
      </colorScale>
    </cfRule>
  </conditionalFormatting>
  <conditionalFormatting sqref="C69:R69">
    <cfRule type="colorScale" priority="20">
      <colorScale>
        <cfvo type="min"/>
        <cfvo type="percentile" val="50"/>
        <cfvo type="max"/>
        <color theme="4" tint="0.79998168889431442"/>
        <color theme="0" tint="-4.9989318521683403E-2"/>
        <color rgb="FF8DEB91"/>
      </colorScale>
    </cfRule>
  </conditionalFormatting>
  <conditionalFormatting sqref="C73:R73">
    <cfRule type="colorScale" priority="19">
      <colorScale>
        <cfvo type="min"/>
        <cfvo type="percentile" val="50"/>
        <cfvo type="max"/>
        <color theme="4" tint="0.79998168889431442"/>
        <color theme="0"/>
        <color rgb="FF8DEB91"/>
      </colorScale>
    </cfRule>
  </conditionalFormatting>
  <conditionalFormatting sqref="C74:R74">
    <cfRule type="colorScale" priority="18">
      <colorScale>
        <cfvo type="min"/>
        <cfvo type="percentile" val="50"/>
        <cfvo type="max"/>
        <color theme="4" tint="0.79998168889431442"/>
        <color theme="0"/>
        <color rgb="FF8DEB91"/>
      </colorScale>
    </cfRule>
  </conditionalFormatting>
  <conditionalFormatting sqref="C75:R75">
    <cfRule type="colorScale" priority="17">
      <colorScale>
        <cfvo type="min"/>
        <cfvo type="percentile" val="50"/>
        <cfvo type="max"/>
        <color theme="4" tint="0.79998168889431442"/>
        <color theme="0"/>
        <color rgb="FF8DEB91"/>
      </colorScale>
    </cfRule>
  </conditionalFormatting>
  <conditionalFormatting sqref="C76:R76">
    <cfRule type="colorScale" priority="16">
      <colorScale>
        <cfvo type="min"/>
        <cfvo type="percentile" val="50"/>
        <cfvo type="max"/>
        <color theme="4" tint="0.79998168889431442"/>
        <color theme="0" tint="-4.9989318521683403E-2"/>
        <color rgb="FF8DEB91"/>
      </colorScale>
    </cfRule>
  </conditionalFormatting>
  <conditionalFormatting sqref="C77:R77">
    <cfRule type="colorScale" priority="15">
      <colorScale>
        <cfvo type="min"/>
        <cfvo type="percentile" val="50"/>
        <cfvo type="max"/>
        <color theme="4" tint="0.79998168889431442"/>
        <color theme="0"/>
        <color rgb="FF8DEB91"/>
      </colorScale>
    </cfRule>
  </conditionalFormatting>
  <conditionalFormatting sqref="C78:R78">
    <cfRule type="colorScale" priority="13">
      <colorScale>
        <cfvo type="min"/>
        <cfvo type="percentile" val="50"/>
        <cfvo type="max"/>
        <color theme="4" tint="0.79998168889431442"/>
        <color theme="0"/>
        <color rgb="FF8DEB91"/>
      </colorScale>
    </cfRule>
  </conditionalFormatting>
  <conditionalFormatting sqref="C79:R79">
    <cfRule type="colorScale" priority="14">
      <colorScale>
        <cfvo type="min"/>
        <cfvo type="percentile" val="50"/>
        <cfvo type="max"/>
        <color theme="4" tint="0.79998168889431442"/>
        <color theme="0"/>
        <color rgb="FF8DEB91"/>
      </colorScale>
    </cfRule>
  </conditionalFormatting>
  <conditionalFormatting sqref="C83:R83">
    <cfRule type="colorScale" priority="12">
      <colorScale>
        <cfvo type="min"/>
        <cfvo type="percentile" val="50"/>
        <cfvo type="max"/>
        <color theme="4" tint="0.79998168889431442"/>
        <color theme="0" tint="-4.9989318521683403E-2"/>
        <color rgb="FF8DEB91"/>
      </colorScale>
    </cfRule>
  </conditionalFormatting>
  <conditionalFormatting sqref="C84:R84">
    <cfRule type="colorScale" priority="11">
      <colorScale>
        <cfvo type="min"/>
        <cfvo type="percentile" val="50"/>
        <cfvo type="max"/>
        <color theme="4" tint="0.79998168889431442"/>
        <color theme="0" tint="-4.9989318521683403E-2"/>
        <color rgb="FF8DEB91"/>
      </colorScale>
    </cfRule>
  </conditionalFormatting>
  <conditionalFormatting sqref="C88:R88">
    <cfRule type="colorScale" priority="10">
      <colorScale>
        <cfvo type="min"/>
        <cfvo type="percentile" val="50"/>
        <cfvo type="max"/>
        <color theme="4" tint="0.79998168889431442"/>
        <color theme="0"/>
        <color rgb="FF8DEB91"/>
      </colorScale>
    </cfRule>
  </conditionalFormatting>
  <conditionalFormatting sqref="C89:R89">
    <cfRule type="colorScale" priority="9">
      <colorScale>
        <cfvo type="min"/>
        <cfvo type="percentile" val="50"/>
        <cfvo type="max"/>
        <color theme="4" tint="0.79998168889431442"/>
        <color theme="0"/>
        <color rgb="FF8DEB91"/>
      </colorScale>
    </cfRule>
  </conditionalFormatting>
  <conditionalFormatting sqref="C90:R90">
    <cfRule type="colorScale" priority="8">
      <colorScale>
        <cfvo type="min"/>
        <cfvo type="percentile" val="50"/>
        <cfvo type="max"/>
        <color theme="4" tint="0.79998168889431442"/>
        <color theme="0"/>
        <color rgb="FF8DEB91"/>
      </colorScale>
    </cfRule>
  </conditionalFormatting>
  <conditionalFormatting sqref="C91:R91">
    <cfRule type="colorScale" priority="7">
      <colorScale>
        <cfvo type="min"/>
        <cfvo type="percentile" val="50"/>
        <cfvo type="max"/>
        <color theme="4" tint="0.79998168889431442"/>
        <color theme="0"/>
        <color rgb="FF8DEB91"/>
      </colorScale>
    </cfRule>
  </conditionalFormatting>
  <conditionalFormatting sqref="M14:R14">
    <cfRule type="colorScale" priority="6">
      <colorScale>
        <cfvo type="min"/>
        <cfvo type="num" val="0"/>
        <cfvo type="max"/>
        <color theme="4" tint="0.79998168889431442"/>
        <color theme="0"/>
        <color rgb="FF8DEB91"/>
      </colorScale>
    </cfRule>
  </conditionalFormatting>
  <conditionalFormatting sqref="M15:R15">
    <cfRule type="colorScale" priority="5">
      <colorScale>
        <cfvo type="min"/>
        <cfvo type="num" val="0"/>
        <cfvo type="max"/>
        <color theme="4" tint="0.79998168889431442"/>
        <color theme="0"/>
        <color rgb="FF8DEB91"/>
      </colorScale>
    </cfRule>
  </conditionalFormatting>
  <conditionalFormatting sqref="M16:R16">
    <cfRule type="colorScale" priority="4">
      <colorScale>
        <cfvo type="min"/>
        <cfvo type="num" val="0"/>
        <cfvo type="max"/>
        <color theme="4" tint="0.79998168889431442"/>
        <color theme="0"/>
        <color rgb="FF8DEB91"/>
      </colorScale>
    </cfRule>
  </conditionalFormatting>
  <conditionalFormatting sqref="M17:R17">
    <cfRule type="colorScale" priority="3">
      <colorScale>
        <cfvo type="min"/>
        <cfvo type="num" val="0"/>
        <cfvo type="max"/>
        <color theme="4" tint="0.79998168889431442"/>
        <color theme="0"/>
        <color rgb="FF8DEB91"/>
      </colorScale>
    </cfRule>
  </conditionalFormatting>
  <conditionalFormatting sqref="M18:R18">
    <cfRule type="colorScale" priority="2">
      <colorScale>
        <cfvo type="min"/>
        <cfvo type="num" val="0"/>
        <cfvo type="max"/>
        <color theme="4" tint="0.79998168889431442"/>
        <color theme="0"/>
        <color rgb="FF8DEB91"/>
      </colorScale>
    </cfRule>
  </conditionalFormatting>
  <conditionalFormatting sqref="M19:R19">
    <cfRule type="colorScale" priority="1">
      <colorScale>
        <cfvo type="min"/>
        <cfvo type="num" val="0"/>
        <cfvo type="max"/>
        <color theme="4" tint="0.79998168889431442"/>
        <color theme="0"/>
        <color rgb="FF8DEB91"/>
      </colorScale>
    </cfRule>
  </conditionalFormatting>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8">
    <tabColor rgb="FF7B1314"/>
    <pageSetUpPr autoPageBreaks="0"/>
  </sheetPr>
  <dimension ref="A1:W49"/>
  <sheetViews>
    <sheetView showGridLines="0" topLeftCell="A18" zoomScale="115" zoomScaleNormal="115" workbookViewId="0">
      <selection activeCell="H30" sqref="H30"/>
    </sheetView>
  </sheetViews>
  <sheetFormatPr defaultColWidth="8.625" defaultRowHeight="15" customHeight="1"/>
  <cols>
    <col min="1" max="1" width="2.125" style="457" customWidth="1"/>
    <col min="2" max="2" width="50.625" style="457" customWidth="1"/>
    <col min="3" max="3" width="3.625" style="457" customWidth="1"/>
    <col min="4" max="8" width="11.625" style="457" customWidth="1"/>
    <col min="9" max="9" width="1.625" style="457" customWidth="1"/>
    <col min="10" max="10" width="9" style="457" customWidth="1"/>
    <col min="11" max="11" width="40.625" style="457" customWidth="1"/>
    <col min="12" max="18" width="9" style="457" customWidth="1"/>
    <col min="19" max="16384" width="8.625" style="457"/>
  </cols>
  <sheetData>
    <row r="1" spans="1:18" s="468" customFormat="1" ht="15" customHeight="1"/>
    <row r="2" spans="1:18" s="468" customFormat="1" ht="15" customHeight="1"/>
    <row r="3" spans="1:18" s="468" customFormat="1" ht="15" customHeight="1"/>
    <row r="4" spans="1:18" s="468" customFormat="1" ht="15" customHeight="1"/>
    <row r="5" spans="1:18" s="455" customFormat="1" ht="4.3499999999999996" customHeight="1">
      <c r="A5" s="36"/>
      <c r="B5" s="36"/>
      <c r="C5" s="36"/>
      <c r="D5" s="36"/>
      <c r="E5" s="36"/>
      <c r="F5" s="36"/>
      <c r="G5" s="36"/>
      <c r="H5" s="36"/>
      <c r="I5" s="36"/>
      <c r="J5" s="36"/>
      <c r="K5" s="36"/>
      <c r="L5" s="36"/>
      <c r="M5" s="36"/>
      <c r="N5" s="36"/>
      <c r="O5" s="36"/>
      <c r="P5" s="36"/>
      <c r="Q5" s="36"/>
      <c r="R5" s="36"/>
    </row>
    <row r="7" spans="1:18" ht="15" customHeight="1">
      <c r="A7" s="505" t="s">
        <v>37</v>
      </c>
      <c r="B7" s="373" t="s">
        <v>416</v>
      </c>
      <c r="C7" s="32"/>
      <c r="D7" s="32"/>
      <c r="E7" s="32"/>
      <c r="F7" s="32"/>
      <c r="G7" s="32"/>
      <c r="H7" s="32"/>
      <c r="I7" s="32"/>
      <c r="J7" s="533"/>
      <c r="K7" s="373" t="s">
        <v>417</v>
      </c>
      <c r="L7" s="373"/>
      <c r="M7" s="373"/>
      <c r="N7" s="32"/>
      <c r="O7" s="32"/>
      <c r="P7" s="32"/>
      <c r="Q7" s="32"/>
      <c r="R7" s="32"/>
    </row>
    <row r="8" spans="1:18" ht="15" customHeight="1">
      <c r="A8" s="23"/>
      <c r="B8" s="32"/>
      <c r="C8" s="32"/>
      <c r="D8" s="32"/>
      <c r="E8" s="32"/>
      <c r="F8" s="32"/>
      <c r="G8" s="32"/>
      <c r="H8" s="32"/>
      <c r="I8" s="32"/>
      <c r="J8" s="533"/>
      <c r="K8" s="32"/>
      <c r="L8" s="373"/>
      <c r="M8" s="32"/>
      <c r="N8" s="534"/>
      <c r="O8" s="534"/>
      <c r="P8" s="535" t="s">
        <v>418</v>
      </c>
      <c r="Q8" s="534"/>
      <c r="R8" s="534"/>
    </row>
    <row r="9" spans="1:18" ht="15" customHeight="1">
      <c r="A9" s="23"/>
      <c r="B9" s="373"/>
      <c r="C9" s="32"/>
      <c r="D9" s="37">
        <v>2025</v>
      </c>
      <c r="E9" s="37">
        <f>+D9+1</f>
        <v>2026</v>
      </c>
      <c r="F9" s="37">
        <f t="shared" ref="F9:H9" si="0">+E9+1</f>
        <v>2027</v>
      </c>
      <c r="G9" s="37">
        <f t="shared" si="0"/>
        <v>2028</v>
      </c>
      <c r="H9" s="37">
        <f t="shared" si="0"/>
        <v>2029</v>
      </c>
      <c r="I9" s="487"/>
      <c r="J9" s="533"/>
      <c r="K9" s="373"/>
      <c r="L9" s="373"/>
      <c r="M9" s="373" t="s">
        <v>419</v>
      </c>
      <c r="N9" s="37">
        <v>2025</v>
      </c>
      <c r="O9" s="37">
        <f>+N9+1</f>
        <v>2026</v>
      </c>
      <c r="P9" s="37">
        <f t="shared" ref="P9:R9" si="1">+O9+1</f>
        <v>2027</v>
      </c>
      <c r="Q9" s="37">
        <f t="shared" si="1"/>
        <v>2028</v>
      </c>
      <c r="R9" s="37">
        <f t="shared" si="1"/>
        <v>2029</v>
      </c>
    </row>
    <row r="10" spans="1:18" ht="4.3499999999999996" customHeight="1">
      <c r="A10" s="23"/>
      <c r="B10" s="412"/>
      <c r="C10" s="388"/>
      <c r="D10" s="388"/>
      <c r="E10" s="388"/>
      <c r="F10" s="388"/>
      <c r="G10" s="388"/>
      <c r="H10" s="388"/>
      <c r="I10" s="388"/>
      <c r="J10" s="533"/>
      <c r="K10" s="412"/>
      <c r="L10" s="412"/>
      <c r="M10" s="412"/>
      <c r="N10" s="388"/>
      <c r="O10" s="388"/>
      <c r="P10" s="388"/>
      <c r="Q10" s="388"/>
      <c r="R10" s="388"/>
    </row>
    <row r="11" spans="1:18" ht="4.3499999999999996" customHeight="1">
      <c r="A11" s="23"/>
      <c r="B11" s="341"/>
      <c r="C11" s="411"/>
      <c r="D11" s="411"/>
      <c r="E11" s="411"/>
      <c r="F11" s="411"/>
      <c r="G11" s="411"/>
      <c r="H11" s="411"/>
      <c r="I11" s="533"/>
      <c r="J11" s="533"/>
      <c r="K11" s="533"/>
      <c r="L11" s="23"/>
      <c r="M11" s="533"/>
      <c r="N11" s="533"/>
      <c r="O11" s="533"/>
      <c r="P11" s="533"/>
      <c r="Q11" s="23"/>
      <c r="R11" s="23"/>
    </row>
    <row r="12" spans="1:18" ht="15" customHeight="1">
      <c r="A12" s="23"/>
      <c r="B12" s="418" t="s">
        <v>420</v>
      </c>
      <c r="C12" s="411"/>
      <c r="D12" s="411"/>
      <c r="E12" s="411"/>
      <c r="F12" s="411"/>
      <c r="G12" s="411"/>
      <c r="H12" s="411"/>
      <c r="I12" s="533"/>
      <c r="J12" s="533"/>
      <c r="K12" s="536" t="str">
        <f>+Segments!B21</f>
        <v>U.S.</v>
      </c>
      <c r="L12" s="23"/>
      <c r="M12" s="689">
        <f>7.5%-D15</f>
        <v>3.4999999999999996E-2</v>
      </c>
      <c r="N12" s="538">
        <f>+Segments!AL21/Segments!AL$26</f>
        <v>0.7253202334294222</v>
      </c>
      <c r="O12" s="538">
        <f>+Segments!AR21/Segments!AR$26</f>
        <v>0.72091577617788294</v>
      </c>
      <c r="P12" s="538">
        <f>+Segments!AT21/Segments!AT$26</f>
        <v>0.71641949251667825</v>
      </c>
      <c r="Q12" s="538">
        <f>+Segments!AV21/Segments!AV$26</f>
        <v>0.71217555429470747</v>
      </c>
      <c r="R12" s="538">
        <f>+Segments!AX21/Segments!AX$26</f>
        <v>0.70471637273473564</v>
      </c>
    </row>
    <row r="13" spans="1:18" ht="15" customHeight="1">
      <c r="A13" s="23"/>
      <c r="B13" s="539" t="s">
        <v>421</v>
      </c>
      <c r="C13" s="23"/>
      <c r="D13" s="540">
        <f>+Inputs!J13</f>
        <v>53088.326999999997</v>
      </c>
      <c r="E13" s="540">
        <f>+FCFF!AF140*FCFF!AF71</f>
        <v>36869.849345895702</v>
      </c>
      <c r="F13" s="540">
        <f>+FCFF!AH140*FCFF!AH71</f>
        <v>38005.927214482224</v>
      </c>
      <c r="G13" s="540">
        <f>+FCFF!AJ140*FCFF!AJ71</f>
        <v>39347.977680406242</v>
      </c>
      <c r="H13" s="540">
        <f>+FCFF!AL140*FCFF!AL71</f>
        <v>39083.628447798219</v>
      </c>
      <c r="I13" s="23"/>
      <c r="J13" s="533"/>
      <c r="K13" s="536" t="str">
        <f>+Segments!B22</f>
        <v>International</v>
      </c>
      <c r="L13" s="23"/>
      <c r="M13" s="689">
        <f>6.6%-2.5%</f>
        <v>4.1000000000000002E-2</v>
      </c>
      <c r="N13" s="538">
        <f>+Segments!AL22/Segments!AL$26</f>
        <v>0.2746797665705778</v>
      </c>
      <c r="O13" s="538">
        <f>+Segments!AR22/Segments!AR$26</f>
        <v>0.27908422382211712</v>
      </c>
      <c r="P13" s="538">
        <f>+Segments!AT22/Segments!AT$26</f>
        <v>0.28358050748332181</v>
      </c>
      <c r="Q13" s="538">
        <f>+Segments!AV22/Segments!AV$26</f>
        <v>0.28782444570529264</v>
      </c>
      <c r="R13" s="538">
        <f>+Segments!AX22/Segments!AX$26</f>
        <v>0.29528362726526436</v>
      </c>
    </row>
    <row r="14" spans="1:18" ht="15" customHeight="1">
      <c r="A14" s="23"/>
      <c r="B14" s="541" t="s">
        <v>422</v>
      </c>
      <c r="C14" s="23"/>
      <c r="D14" s="440">
        <f>IFERROR(D13/D35,"")</f>
        <v>0.58750508937203449</v>
      </c>
      <c r="E14" s="440">
        <f>IFERROR(E13/E35,"")</f>
        <v>0.50881362781477979</v>
      </c>
      <c r="F14" s="440">
        <f>IFERROR(E13/F35,"")</f>
        <v>0.49544804624443445</v>
      </c>
      <c r="G14" s="440">
        <f>IFERROR(F13/G35,"")</f>
        <v>0.49998059871656547</v>
      </c>
      <c r="H14" s="440">
        <f>IFERROR(G13/H35,"")</f>
        <v>0.51595955806962801</v>
      </c>
      <c r="I14" s="416"/>
      <c r="J14" s="416"/>
      <c r="K14" s="536">
        <f>+Segments!B23</f>
        <v>0</v>
      </c>
      <c r="L14" s="23"/>
      <c r="M14" s="537"/>
      <c r="N14" s="538">
        <f>+Segments!AL23/Segments!AL$26</f>
        <v>0</v>
      </c>
      <c r="O14" s="538">
        <f>+Segments!AR23/Segments!AR$26</f>
        <v>0</v>
      </c>
      <c r="P14" s="538">
        <f>+Segments!AT23/Segments!AT$26</f>
        <v>0</v>
      </c>
      <c r="Q14" s="538">
        <f>+Segments!AV23/Segments!AV$26</f>
        <v>0</v>
      </c>
      <c r="R14" s="538">
        <f>+Segments!AX23/Segments!AX$26</f>
        <v>0</v>
      </c>
    </row>
    <row r="15" spans="1:18" ht="15" customHeight="1">
      <c r="A15" s="23"/>
      <c r="B15" s="417" t="s">
        <v>423</v>
      </c>
      <c r="C15" s="23"/>
      <c r="D15" s="537">
        <v>0.04</v>
      </c>
      <c r="E15" s="537">
        <v>3.5000000000000003E-2</v>
      </c>
      <c r="F15" s="537">
        <v>3.2500000000000001E-2</v>
      </c>
      <c r="G15" s="537">
        <v>3.2500000000000001E-2</v>
      </c>
      <c r="H15" s="537">
        <v>3.2500000000000001E-2</v>
      </c>
      <c r="I15" s="441"/>
      <c r="J15" s="441"/>
      <c r="K15" s="536">
        <f>+Segments!B24</f>
        <v>0</v>
      </c>
      <c r="L15" s="23"/>
      <c r="M15" s="537"/>
      <c r="N15" s="538">
        <f>+Segments!AL24/Segments!AL$26</f>
        <v>0</v>
      </c>
      <c r="O15" s="538">
        <f>+Segments!AR24/Segments!AR$26</f>
        <v>0</v>
      </c>
      <c r="P15" s="538">
        <f>+Segments!AT24/Segments!AT$26</f>
        <v>0</v>
      </c>
      <c r="Q15" s="538">
        <f>+Segments!AV24/Segments!AV$26</f>
        <v>0</v>
      </c>
      <c r="R15" s="538">
        <f>+Segments!AX24/Segments!AX$26</f>
        <v>0</v>
      </c>
    </row>
    <row r="16" spans="1:18" ht="15" customHeight="1">
      <c r="A16" s="23"/>
      <c r="B16" s="417" t="s">
        <v>21</v>
      </c>
      <c r="C16" s="23"/>
      <c r="D16" s="542">
        <f>+Inputs!M18</f>
        <v>1.29</v>
      </c>
      <c r="E16" s="543">
        <f>+D17*(1+(E28/E13)*(1-E32))</f>
        <v>1.4551681264031</v>
      </c>
      <c r="F16" s="543">
        <f>+E17*(1+(F28/F13)*(1-F32))</f>
        <v>1.4497259172766148</v>
      </c>
      <c r="G16" s="543">
        <f>+F17*(1+(G28/G13)*(1-G32))</f>
        <v>1.4363058689166019</v>
      </c>
      <c r="H16" s="543">
        <f>+G17*(1+(H28/H13)*(1-H32))</f>
        <v>1.4518456580242514</v>
      </c>
      <c r="I16" s="544"/>
      <c r="J16" s="544"/>
      <c r="K16" s="536">
        <f>+Segments!B25</f>
        <v>0</v>
      </c>
      <c r="L16" s="23"/>
      <c r="M16" s="537"/>
      <c r="N16" s="538">
        <f>+Segments!AL25/Segments!AL$26</f>
        <v>0</v>
      </c>
      <c r="O16" s="538">
        <f>+Segments!AR25/Segments!AR$26</f>
        <v>0</v>
      </c>
      <c r="P16" s="538">
        <f>+Segments!AT25/Segments!AT$26</f>
        <v>0</v>
      </c>
      <c r="Q16" s="538">
        <f>+Segments!AV25/Segments!AV$26</f>
        <v>0</v>
      </c>
      <c r="R16" s="538">
        <f>+Segments!AX25/Segments!AX$26</f>
        <v>0</v>
      </c>
    </row>
    <row r="17" spans="2:18" ht="15" customHeight="1">
      <c r="B17" s="417" t="s">
        <v>424</v>
      </c>
      <c r="C17" s="23"/>
      <c r="D17" s="543">
        <f>+D16/(1+(D28/D13)*(1-D32))</f>
        <v>0.84358429356382048</v>
      </c>
      <c r="E17" s="543">
        <f>+E16/(1+(E28/E13)*(1-E32))</f>
        <v>0.84358429356382048</v>
      </c>
      <c r="F17" s="543">
        <f>+F16/(1+(F28/F13)*(1-F32))</f>
        <v>0.84358429356382048</v>
      </c>
      <c r="G17" s="543">
        <f>+G16/(1+(G28/G13)*(1-G32))</f>
        <v>0.84358429356382048</v>
      </c>
      <c r="H17" s="543">
        <f>+H16/(1+(H28/H13)*(1-H32))</f>
        <v>0.84358429356382048</v>
      </c>
      <c r="I17" s="544"/>
      <c r="J17" s="544"/>
      <c r="K17" s="544"/>
      <c r="L17" s="23"/>
      <c r="M17" s="544"/>
      <c r="N17" s="544"/>
      <c r="O17" s="544"/>
      <c r="P17" s="544"/>
      <c r="Q17" s="23"/>
      <c r="R17" s="23"/>
    </row>
    <row r="18" spans="2:18" ht="15" customHeight="1">
      <c r="B18" s="417" t="s">
        <v>417</v>
      </c>
      <c r="C18" s="23"/>
      <c r="D18" s="545">
        <f>+N18</f>
        <v>3.664807859942347E-2</v>
      </c>
      <c r="E18" s="545">
        <f>+O18</f>
        <v>3.6674505342932699E-2</v>
      </c>
      <c r="F18" s="545">
        <f>+P18</f>
        <v>3.6701483044899931E-2</v>
      </c>
      <c r="G18" s="545">
        <f>+Q18</f>
        <v>3.6726946674231757E-2</v>
      </c>
      <c r="H18" s="545">
        <f>+R18</f>
        <v>3.6771701763591583E-2</v>
      </c>
      <c r="I18" s="546"/>
      <c r="J18" s="546"/>
      <c r="K18" s="547" t="s">
        <v>419</v>
      </c>
      <c r="L18" s="293"/>
      <c r="M18" s="293"/>
      <c r="N18" s="548">
        <f>+SUMPRODUCT($M12:$M16,N12:N16)</f>
        <v>3.664807859942347E-2</v>
      </c>
      <c r="O18" s="548">
        <f>+SUMPRODUCT($M12:$M16,O12:O16)</f>
        <v>3.6674505342932699E-2</v>
      </c>
      <c r="P18" s="548">
        <f>+SUMPRODUCT($M12:$M16,P12:P16)</f>
        <v>3.6701483044899931E-2</v>
      </c>
      <c r="Q18" s="548">
        <f>+SUMPRODUCT($M12:$M16,Q12:Q16)</f>
        <v>3.6726946674231757E-2</v>
      </c>
      <c r="R18" s="548">
        <f>+SUMPRODUCT($M12:$M16,R12:R16)</f>
        <v>3.6771701763591583E-2</v>
      </c>
    </row>
    <row r="19" spans="2:18" ht="15" customHeight="1">
      <c r="B19" s="549" t="s">
        <v>425</v>
      </c>
      <c r="C19" s="23"/>
      <c r="D19" s="550">
        <f>IFERROR(+D15+D16*D18,"")</f>
        <v>8.727602139325627E-2</v>
      </c>
      <c r="E19" s="550">
        <f>IFERROR(+E15+E16*E18,"")</f>
        <v>8.8367571226635855E-2</v>
      </c>
      <c r="F19" s="550">
        <f>IFERROR(+F15+F16*F18,"")</f>
        <v>8.5707091172679689E-2</v>
      </c>
      <c r="G19" s="550">
        <f>IFERROR(+G15+G16*G18,"")</f>
        <v>8.5251129055586156E-2</v>
      </c>
      <c r="H19" s="550">
        <f>IFERROR(+H15+H16*H18,"")</f>
        <v>8.5886835543633147E-2</v>
      </c>
      <c r="I19" s="551"/>
      <c r="J19" s="551"/>
      <c r="K19" s="551"/>
      <c r="L19" s="551"/>
      <c r="M19" s="551"/>
      <c r="N19" s="551"/>
      <c r="O19" s="551"/>
      <c r="P19" s="23"/>
      <c r="Q19" s="23"/>
      <c r="R19" s="23"/>
    </row>
    <row r="20" spans="2:18" ht="15" customHeight="1">
      <c r="B20" s="376"/>
      <c r="C20" s="23"/>
      <c r="D20" s="23"/>
      <c r="E20" s="23"/>
      <c r="F20" s="23"/>
      <c r="G20" s="23"/>
      <c r="H20" s="23"/>
      <c r="I20" s="441"/>
      <c r="J20" s="441"/>
      <c r="K20" s="23"/>
      <c r="L20" s="23"/>
      <c r="M20" s="23"/>
      <c r="N20" s="23"/>
      <c r="O20" s="23"/>
      <c r="P20" s="23"/>
      <c r="Q20" s="23"/>
      <c r="R20" s="23"/>
    </row>
    <row r="21" spans="2:18" ht="15" customHeight="1">
      <c r="B21" s="418" t="s">
        <v>426</v>
      </c>
      <c r="C21" s="23"/>
      <c r="D21" s="23"/>
      <c r="E21" s="23"/>
      <c r="F21" s="23"/>
      <c r="G21" s="23"/>
      <c r="H21" s="23"/>
      <c r="I21" s="23"/>
      <c r="J21" s="23"/>
      <c r="K21" s="373" t="s">
        <v>427</v>
      </c>
      <c r="L21" s="373"/>
      <c r="M21" s="373"/>
      <c r="N21" s="373"/>
      <c r="O21" s="373"/>
      <c r="P21" s="373"/>
      <c r="Q21" s="373"/>
      <c r="R21" s="373"/>
    </row>
    <row r="22" spans="2:18" ht="15" customHeight="1">
      <c r="B22" s="417" t="s">
        <v>428</v>
      </c>
      <c r="C22" s="23"/>
      <c r="D22" s="96">
        <f>IFERROR(Inputs!J14,0)</f>
        <v>58288.077283799998</v>
      </c>
      <c r="E22" s="24">
        <f>+D22*(E13/D13)</f>
        <v>40481.076529603801</v>
      </c>
      <c r="F22" s="24">
        <f>+E22*(F13/E13)</f>
        <v>41728.427846675557</v>
      </c>
      <c r="G22" s="24">
        <f>+F22*(G13/F13)</f>
        <v>43201.925801819983</v>
      </c>
      <c r="H22" s="24">
        <f>+G22*(H13/G13)</f>
        <v>42911.684813435291</v>
      </c>
      <c r="I22" s="23"/>
      <c r="J22" s="23"/>
      <c r="K22" s="373"/>
      <c r="L22" s="373"/>
      <c r="M22" s="373"/>
      <c r="N22" s="373"/>
      <c r="O22" s="373"/>
      <c r="P22" s="373"/>
      <c r="Q22" s="373"/>
      <c r="R22" s="373"/>
    </row>
    <row r="23" spans="2:18" ht="15" customHeight="1">
      <c r="B23" s="541" t="s">
        <v>429</v>
      </c>
      <c r="C23" s="23"/>
      <c r="D23" s="416">
        <f>+D22/D35</f>
        <v>0.64504843134241119</v>
      </c>
      <c r="E23" s="416">
        <f>+E22/E35</f>
        <v>0.55864951368911164</v>
      </c>
      <c r="F23" s="416">
        <f>+F22/F35</f>
        <v>0.56073643956423402</v>
      </c>
      <c r="G23" s="416">
        <f>+G22/G35</f>
        <v>0.56833568633136333</v>
      </c>
      <c r="H23" s="416">
        <f>+H22/H35</f>
        <v>0.56268950115290028</v>
      </c>
      <c r="I23" s="23"/>
      <c r="J23" s="23"/>
      <c r="K23" s="373"/>
      <c r="L23" s="373"/>
      <c r="M23" s="373"/>
      <c r="N23" s="373"/>
      <c r="O23" s="373"/>
      <c r="P23" s="373"/>
      <c r="Q23" s="373"/>
      <c r="R23" s="373"/>
    </row>
    <row r="24" spans="2:18" ht="15" customHeight="1">
      <c r="B24" s="417" t="s">
        <v>430</v>
      </c>
      <c r="C24" s="23"/>
      <c r="D24" s="413">
        <f>+IS!AF50</f>
        <v>0</v>
      </c>
      <c r="E24" s="552">
        <f>D24</f>
        <v>0</v>
      </c>
      <c r="F24" s="552">
        <f t="shared" ref="F24:H24" si="2">E24</f>
        <v>0</v>
      </c>
      <c r="G24" s="552">
        <f t="shared" si="2"/>
        <v>0</v>
      </c>
      <c r="H24" s="552">
        <f t="shared" si="2"/>
        <v>0</v>
      </c>
      <c r="I24" s="23"/>
      <c r="J24" s="23"/>
      <c r="K24" s="23"/>
      <c r="L24" s="23"/>
      <c r="M24" s="23"/>
      <c r="N24" s="23"/>
      <c r="O24" s="553"/>
      <c r="P24" s="23"/>
      <c r="Q24" s="23"/>
      <c r="R24" s="23"/>
    </row>
    <row r="25" spans="2:18" ht="15" customHeight="1">
      <c r="B25" s="549" t="s">
        <v>431</v>
      </c>
      <c r="C25" s="23"/>
      <c r="D25" s="550">
        <f>IFERROR(D24/D22,0)</f>
        <v>0</v>
      </c>
      <c r="E25" s="550">
        <f>IFERROR(E24/E22,0)</f>
        <v>0</v>
      </c>
      <c r="F25" s="550">
        <f>IFERROR(F24/F22,0)</f>
        <v>0</v>
      </c>
      <c r="G25" s="550">
        <f>IFERROR(G24/G22,0)</f>
        <v>0</v>
      </c>
      <c r="H25" s="550">
        <f>IFERROR(H24/H22,0)</f>
        <v>0</v>
      </c>
      <c r="I25" s="23"/>
      <c r="J25" s="23"/>
      <c r="K25" s="23"/>
      <c r="L25" s="23"/>
      <c r="M25" s="23"/>
      <c r="N25" s="23"/>
      <c r="O25" s="553"/>
      <c r="P25" s="23"/>
      <c r="Q25" s="23"/>
      <c r="R25" s="23"/>
    </row>
    <row r="26" spans="2:18" ht="15" customHeight="1">
      <c r="B26" s="376"/>
      <c r="C26" s="23"/>
      <c r="D26" s="23"/>
      <c r="E26" s="23"/>
      <c r="F26" s="23"/>
      <c r="G26" s="23"/>
      <c r="H26" s="23"/>
      <c r="I26" s="23"/>
      <c r="J26" s="23"/>
      <c r="K26" s="23"/>
      <c r="L26" s="23"/>
      <c r="M26" s="23"/>
      <c r="N26" s="23"/>
      <c r="O26" s="553"/>
      <c r="P26" s="23"/>
      <c r="Q26" s="23"/>
      <c r="R26" s="23"/>
    </row>
    <row r="27" spans="2:18" ht="15" customHeight="1">
      <c r="B27" s="376" t="s">
        <v>432</v>
      </c>
      <c r="C27" s="23"/>
      <c r="D27" s="23"/>
      <c r="E27" s="23"/>
      <c r="F27" s="23"/>
      <c r="G27" s="23"/>
      <c r="H27" s="23"/>
      <c r="I27" s="23"/>
      <c r="J27" s="23"/>
      <c r="K27" s="23"/>
      <c r="L27" s="23"/>
      <c r="M27" s="23"/>
      <c r="N27" s="23"/>
      <c r="O27" s="553"/>
      <c r="P27" s="23"/>
      <c r="Q27" s="23"/>
      <c r="R27" s="23"/>
    </row>
    <row r="28" spans="2:18" ht="15" customHeight="1">
      <c r="B28" s="539" t="s">
        <v>433</v>
      </c>
      <c r="C28" s="502">
        <f>+BS!AF38+BS!AF39+BS!AF44+BS!AF45</f>
        <v>37719</v>
      </c>
      <c r="D28" s="554">
        <f>+BS!AI38+BS!AI39+BS!AI44+BS!AI45</f>
        <v>37274</v>
      </c>
      <c r="E28" s="636">
        <f>Debt!AJ21</f>
        <v>35592.536349711503</v>
      </c>
      <c r="F28" s="636">
        <f>Debt!AR21</f>
        <v>36411.258654700869</v>
      </c>
      <c r="G28" s="636">
        <f>Debt!AT21</f>
        <v>36666.826318073392</v>
      </c>
      <c r="H28" s="636">
        <f>Debt!AV21</f>
        <v>37178.119328751898</v>
      </c>
      <c r="I28" s="23"/>
      <c r="J28" s="23"/>
      <c r="K28" s="23"/>
      <c r="L28" s="23"/>
      <c r="M28" s="23"/>
      <c r="N28" s="23"/>
      <c r="O28" s="553"/>
      <c r="P28" s="23"/>
      <c r="Q28" s="23"/>
      <c r="R28" s="23"/>
    </row>
    <row r="29" spans="2:18" ht="15" customHeight="1">
      <c r="B29" s="541" t="s">
        <v>434</v>
      </c>
      <c r="C29" s="23"/>
      <c r="D29" s="440">
        <f>IFERROR(D28/D35,"")</f>
        <v>0.41249491062796562</v>
      </c>
      <c r="E29" s="440">
        <f>IFERROR(E28/E35,"")</f>
        <v>0.49118637218522032</v>
      </c>
      <c r="F29" s="440">
        <f>IFERROR(F28/F35,"")</f>
        <v>0.48928561634549977</v>
      </c>
      <c r="G29" s="440">
        <f>IFERROR(G28/G35,"")</f>
        <v>0.48236428155240341</v>
      </c>
      <c r="H29" s="440">
        <f>IFERROR(H28/H35,"")</f>
        <v>0.48750678305571005</v>
      </c>
      <c r="I29" s="553"/>
      <c r="J29" s="553"/>
      <c r="K29" s="553"/>
      <c r="L29" s="553"/>
      <c r="M29" s="553"/>
      <c r="N29" s="553"/>
      <c r="O29" s="23"/>
      <c r="P29" s="23"/>
      <c r="Q29" s="23"/>
      <c r="R29" s="23"/>
    </row>
    <row r="30" spans="2:18" ht="15" customHeight="1">
      <c r="B30" s="417" t="s">
        <v>435</v>
      </c>
      <c r="C30" s="23"/>
      <c r="D30" s="441">
        <f>+D31-D15</f>
        <v>-2.0066534313462468E-2</v>
      </c>
      <c r="E30" s="634">
        <f>Debt!AP13-E15</f>
        <v>1.2251298380697023E-3</v>
      </c>
      <c r="F30" s="634">
        <f>Debt!AR13-F15</f>
        <v>4.0439668273629242E-3</v>
      </c>
      <c r="G30" s="634">
        <f>Debt!AT13-G15</f>
        <v>4.3517898067829061E-3</v>
      </c>
      <c r="H30" s="634">
        <f>Debt!AV13-H15</f>
        <v>4.1123418057786715E-3</v>
      </c>
      <c r="I30" s="544"/>
      <c r="J30" s="544"/>
      <c r="K30" s="544"/>
      <c r="L30" s="544"/>
      <c r="M30" s="544"/>
      <c r="N30" s="544"/>
      <c r="O30" s="544"/>
      <c r="P30" s="23"/>
      <c r="Q30" s="23"/>
      <c r="R30" s="23"/>
    </row>
    <row r="31" spans="2:18" ht="15" customHeight="1">
      <c r="B31" s="417" t="s">
        <v>436</v>
      </c>
      <c r="C31" s="23"/>
      <c r="D31" s="675">
        <f>SUM(IS!AD36:AE36,IS!AH36:AI36)/WACC!D28</f>
        <v>1.9933465686537533E-2</v>
      </c>
      <c r="E31" s="441">
        <f>+E30+E15</f>
        <v>3.6225129838069706E-2</v>
      </c>
      <c r="F31" s="441">
        <f>+F30+F15</f>
        <v>3.6543966827362925E-2</v>
      </c>
      <c r="G31" s="441">
        <f>+G30+G15</f>
        <v>3.6851789806782907E-2</v>
      </c>
      <c r="H31" s="441">
        <f>+H30+H15</f>
        <v>3.6612341805778673E-2</v>
      </c>
      <c r="I31" s="544"/>
      <c r="J31" s="544"/>
      <c r="K31" s="544"/>
      <c r="L31" s="544"/>
      <c r="M31" s="544"/>
      <c r="N31" s="544"/>
      <c r="O31" s="544"/>
      <c r="P31" s="23"/>
      <c r="Q31" s="23"/>
      <c r="R31" s="23"/>
    </row>
    <row r="32" spans="2:18" ht="15" customHeight="1">
      <c r="B32" s="417" t="s">
        <v>437</v>
      </c>
      <c r="C32" s="23"/>
      <c r="D32" s="555">
        <f>+FCFF!Z166</f>
        <v>0.24629044748650716</v>
      </c>
      <c r="E32" s="555">
        <f>+FCFF!AF166</f>
        <v>0.249</v>
      </c>
      <c r="F32" s="555">
        <f>+FCFF!AH166</f>
        <v>0.25</v>
      </c>
      <c r="G32" s="555">
        <f>+FCFF!AJ166</f>
        <v>0.246</v>
      </c>
      <c r="H32" s="555">
        <f>+FCFF!AL166</f>
        <v>0.24199999999999999</v>
      </c>
      <c r="I32" s="544"/>
      <c r="J32" s="544"/>
      <c r="K32" s="544"/>
      <c r="L32" s="544"/>
      <c r="M32" s="544"/>
      <c r="N32" s="544"/>
      <c r="O32" s="23"/>
      <c r="P32" s="23"/>
      <c r="Q32" s="23"/>
      <c r="R32" s="23"/>
    </row>
    <row r="33" spans="1:14" ht="15" customHeight="1">
      <c r="A33" s="23"/>
      <c r="B33" s="549" t="s">
        <v>438</v>
      </c>
      <c r="C33" s="23"/>
      <c r="D33" s="550">
        <f>+D31*(1-D32)</f>
        <v>1.5024043502643268E-2</v>
      </c>
      <c r="E33" s="550">
        <f t="shared" ref="E33" si="3">+E31*(1-E32)</f>
        <v>2.7205072508390347E-2</v>
      </c>
      <c r="F33" s="550">
        <f>+F31*(1-F32)</f>
        <v>2.7407975120522194E-2</v>
      </c>
      <c r="G33" s="550">
        <f>+G31*(1-G32)</f>
        <v>2.7786249514314312E-2</v>
      </c>
      <c r="H33" s="550">
        <f>+H31*(1-H32)</f>
        <v>2.7752155088780234E-2</v>
      </c>
      <c r="I33" s="544"/>
      <c r="J33" s="544"/>
      <c r="K33" s="544"/>
      <c r="L33" s="544"/>
      <c r="M33" s="544"/>
      <c r="N33" s="544"/>
    </row>
    <row r="34" spans="1:14" ht="15" customHeight="1">
      <c r="A34" s="23"/>
      <c r="B34" s="374"/>
      <c r="C34" s="23"/>
      <c r="D34" s="550"/>
      <c r="E34" s="550"/>
      <c r="F34" s="550"/>
      <c r="G34" s="550"/>
      <c r="H34" s="550"/>
      <c r="I34" s="23"/>
      <c r="J34" s="23"/>
      <c r="K34" s="23"/>
      <c r="L34" s="23"/>
      <c r="M34" s="23"/>
      <c r="N34" s="23"/>
    </row>
    <row r="35" spans="1:14" ht="15" customHeight="1">
      <c r="A35" s="23"/>
      <c r="B35" s="376" t="s">
        <v>439</v>
      </c>
      <c r="C35" s="23"/>
      <c r="D35" s="553">
        <f>+D13+D24+D28</f>
        <v>90362.32699999999</v>
      </c>
      <c r="E35" s="553">
        <f>+E13+E24+E28</f>
        <v>72462.385695607198</v>
      </c>
      <c r="F35" s="553">
        <f>+F13+F24+F28</f>
        <v>74417.1858691831</v>
      </c>
      <c r="G35" s="553">
        <f>+G13+G24+G28</f>
        <v>76014.803998479634</v>
      </c>
      <c r="H35" s="553">
        <f>+H13+H24+H28</f>
        <v>76261.747776550124</v>
      </c>
      <c r="I35" s="23"/>
      <c r="J35" s="23"/>
      <c r="K35" s="23"/>
      <c r="L35" s="23"/>
      <c r="M35" s="23"/>
      <c r="N35" s="23"/>
    </row>
    <row r="36" spans="1:14" ht="15" customHeight="1">
      <c r="A36" s="23"/>
      <c r="B36" s="376"/>
      <c r="C36" s="23"/>
      <c r="D36" s="23"/>
      <c r="E36" s="23"/>
      <c r="F36" s="23"/>
      <c r="G36" s="23"/>
      <c r="H36" s="23"/>
      <c r="I36" s="553"/>
      <c r="J36" s="553"/>
      <c r="K36" s="553"/>
      <c r="L36" s="553"/>
      <c r="M36" s="553"/>
      <c r="N36" s="553"/>
    </row>
    <row r="37" spans="1:14" ht="15" customHeight="1">
      <c r="A37" s="23"/>
      <c r="B37" s="376" t="s">
        <v>440</v>
      </c>
      <c r="C37" s="23"/>
      <c r="D37" s="676">
        <v>5.0000000000000001E-3</v>
      </c>
      <c r="E37" s="676">
        <v>5.0000000000000001E-3</v>
      </c>
      <c r="F37" s="676">
        <v>2.5000000000000001E-3</v>
      </c>
      <c r="G37" s="676">
        <v>2.5000000000000001E-3</v>
      </c>
      <c r="H37" s="556">
        <v>2.5000000000000001E-3</v>
      </c>
      <c r="I37" s="23"/>
      <c r="J37" s="23"/>
      <c r="K37" s="23"/>
      <c r="L37" s="23"/>
      <c r="M37" s="23"/>
      <c r="N37" s="23"/>
    </row>
    <row r="38" spans="1:14" ht="15" customHeight="1">
      <c r="A38" s="23"/>
      <c r="B38" s="376"/>
      <c r="C38" s="23"/>
      <c r="D38" s="23"/>
      <c r="E38" s="23"/>
      <c r="F38" s="23"/>
      <c r="G38" s="23"/>
      <c r="H38" s="23"/>
      <c r="I38" s="544"/>
      <c r="J38" s="544"/>
      <c r="K38" s="544"/>
      <c r="L38" s="544"/>
      <c r="M38" s="544"/>
      <c r="N38" s="544"/>
    </row>
    <row r="39" spans="1:14" ht="15" customHeight="1">
      <c r="A39" s="505" t="s">
        <v>37</v>
      </c>
      <c r="B39" s="557" t="s">
        <v>441</v>
      </c>
      <c r="C39" s="558"/>
      <c r="D39" s="559">
        <f>+D19*D14+D25*D23+D33*D29+D37</f>
        <v>6.2472448230574115E-2</v>
      </c>
      <c r="E39" s="559">
        <f>+E19*E14+E25*E23+E33*E29+E37</f>
        <v>6.3325385367437675E-2</v>
      </c>
      <c r="F39" s="559">
        <f>+F19*F14+F25*F23+F33*F29+F37</f>
        <v>5.8373738870424595E-2</v>
      </c>
      <c r="G39" s="559">
        <f>+G19*G14+G25*G23+G33*G29+G37</f>
        <v>5.8527004830483204E-2</v>
      </c>
      <c r="H39" s="560">
        <f>+H19*H14+H25*H23+H33*H29+H37</f>
        <v>6.034349756128618E-2</v>
      </c>
      <c r="I39" s="23"/>
      <c r="J39" s="23"/>
      <c r="K39" s="23"/>
      <c r="L39" s="23"/>
      <c r="M39" s="23"/>
      <c r="N39" s="23"/>
    </row>
    <row r="40" spans="1:14" ht="15" customHeight="1">
      <c r="A40" s="23"/>
      <c r="B40" s="23"/>
      <c r="C40" s="23"/>
      <c r="D40" s="23"/>
      <c r="E40" s="23"/>
      <c r="F40" s="23"/>
      <c r="G40" s="23"/>
      <c r="H40" s="23"/>
      <c r="I40" s="561"/>
      <c r="J40" s="561"/>
      <c r="K40" s="561"/>
      <c r="L40" s="561"/>
      <c r="M40" s="561"/>
      <c r="N40" s="561"/>
    </row>
    <row r="41" spans="1:14" ht="15" customHeight="1">
      <c r="A41" s="23"/>
      <c r="B41" s="23" t="s">
        <v>442</v>
      </c>
      <c r="C41" s="23"/>
      <c r="D41" s="24">
        <f>+FCFF!Z168</f>
        <v>2971.5139604090136</v>
      </c>
      <c r="E41" s="24">
        <f>+FCFF!AF168</f>
        <v>2057.1601322953516</v>
      </c>
      <c r="F41" s="24">
        <f>+FCFF!AH168</f>
        <v>2454.1302412681298</v>
      </c>
      <c r="G41" s="24">
        <f>+FCFF!AJ168</f>
        <v>3228.679339658423</v>
      </c>
      <c r="H41" s="24">
        <f>+FCFF!AL168</f>
        <v>4039.7970851265945</v>
      </c>
      <c r="I41" s="561"/>
      <c r="J41" s="561"/>
      <c r="K41" s="561"/>
      <c r="L41" s="561"/>
      <c r="M41" s="561"/>
      <c r="N41" s="561"/>
    </row>
    <row r="42" spans="1:14" ht="15" customHeight="1">
      <c r="A42" s="23"/>
      <c r="B42" s="23" t="s">
        <v>443</v>
      </c>
      <c r="C42" s="23"/>
      <c r="D42" s="24">
        <f>+FCFF!Z153+FCFF!Z156</f>
        <v>-3252.8088005671216</v>
      </c>
      <c r="E42" s="24">
        <f>+FCFF!AF153+FCFF!AF156</f>
        <v>-2375.5894196445934</v>
      </c>
      <c r="F42" s="24">
        <f>+FCFF!AH153+FCFF!AH156</f>
        <v>-2820.1736995299916</v>
      </c>
      <c r="G42" s="24">
        <f>+FCFF!AJ153+FCFF!AJ156</f>
        <v>-2822.0848107250767</v>
      </c>
      <c r="H42" s="24">
        <f>+FCFF!AL153+FCFF!AL156</f>
        <v>-3109.5381714308141</v>
      </c>
      <c r="I42" s="561"/>
      <c r="J42" s="561"/>
      <c r="K42" s="561"/>
      <c r="L42" s="561"/>
      <c r="M42" s="561"/>
      <c r="N42" s="561"/>
    </row>
    <row r="43" spans="1:14" ht="15" customHeight="1">
      <c r="A43" s="23"/>
      <c r="B43" s="23" t="s">
        <v>444</v>
      </c>
      <c r="C43" s="503">
        <f>+BS!AF54</f>
        <v>27582</v>
      </c>
      <c r="D43" s="24">
        <f>+C43+D41+D42</f>
        <v>27300.705159841891</v>
      </c>
      <c r="E43" s="24">
        <f t="shared" ref="E43:H43" si="4">+D43+E41+E42</f>
        <v>26982.275872492646</v>
      </c>
      <c r="F43" s="24">
        <f t="shared" si="4"/>
        <v>26616.232414230784</v>
      </c>
      <c r="G43" s="24">
        <f t="shared" si="4"/>
        <v>27022.826943164131</v>
      </c>
      <c r="H43" s="24">
        <f t="shared" si="4"/>
        <v>27953.085856859911</v>
      </c>
      <c r="I43" s="561"/>
      <c r="J43" s="561"/>
      <c r="K43" s="561"/>
      <c r="L43" s="561"/>
      <c r="M43" s="561"/>
      <c r="N43" s="561"/>
    </row>
    <row r="44" spans="1:14" ht="15" customHeight="1">
      <c r="A44" s="23"/>
      <c r="B44" s="23" t="s">
        <v>445</v>
      </c>
      <c r="C44" s="503">
        <f>+C43+C28</f>
        <v>65301</v>
      </c>
      <c r="D44" s="24">
        <f t="shared" ref="D44:H44" si="5">+D43+D28</f>
        <v>64574.705159841891</v>
      </c>
      <c r="E44" s="24">
        <f t="shared" si="5"/>
        <v>62574.812222204149</v>
      </c>
      <c r="F44" s="24">
        <f t="shared" si="5"/>
        <v>63027.491068931653</v>
      </c>
      <c r="G44" s="24">
        <f t="shared" si="5"/>
        <v>63689.653261237523</v>
      </c>
      <c r="H44" s="24">
        <f t="shared" si="5"/>
        <v>65131.205185611805</v>
      </c>
      <c r="I44" s="561"/>
      <c r="J44" s="561"/>
      <c r="K44" s="23"/>
      <c r="L44" s="561"/>
      <c r="M44" s="561"/>
      <c r="N44" s="561"/>
    </row>
    <row r="45" spans="1:14" ht="15" customHeight="1">
      <c r="A45" s="505" t="s">
        <v>37</v>
      </c>
      <c r="B45" s="500" t="s">
        <v>370</v>
      </c>
      <c r="C45" s="562"/>
      <c r="D45" s="563">
        <f>+D41/((D44+C44)/2)</f>
        <v>4.5759350553698758E-2</v>
      </c>
      <c r="E45" s="563">
        <f>+E41/((E44+D44)/2)</f>
        <v>3.2358127260746175E-2</v>
      </c>
      <c r="F45" s="563">
        <f t="shared" ref="F45:H45" si="6">+F41/((F44+E44)/2)</f>
        <v>3.9077790406114733E-2</v>
      </c>
      <c r="G45" s="563">
        <f t="shared" si="6"/>
        <v>5.0958839969529365E-2</v>
      </c>
      <c r="H45" s="564">
        <f t="shared" si="6"/>
        <v>6.2719611308806628E-2</v>
      </c>
      <c r="I45" s="23"/>
      <c r="J45" s="23"/>
      <c r="K45" s="23"/>
      <c r="L45" s="23"/>
      <c r="M45" s="23"/>
      <c r="N45" s="23"/>
    </row>
    <row r="46" spans="1:14" ht="15" customHeight="1">
      <c r="A46" s="23"/>
      <c r="B46" s="23"/>
      <c r="C46" s="23"/>
      <c r="D46" s="23"/>
      <c r="E46" s="23"/>
      <c r="F46" s="23"/>
      <c r="G46" s="23"/>
      <c r="H46" s="23"/>
      <c r="I46" s="23"/>
      <c r="J46" s="23"/>
      <c r="K46" s="23"/>
      <c r="L46" s="23"/>
      <c r="M46" s="23"/>
      <c r="N46" s="23"/>
    </row>
    <row r="49" spans="23:23" ht="15" customHeight="1">
      <c r="W49" s="23" t="s">
        <v>446</v>
      </c>
    </row>
  </sheetData>
  <pageMargins left="0.7" right="0.7" top="0.75" bottom="0.75" header="0.3" footer="0.3"/>
  <pageSetup paperSize="9"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53999-E1D2-4A57-AAA5-BA00CDA43CBC}">
  <dimension ref="A7:AV21"/>
  <sheetViews>
    <sheetView topLeftCell="AS5" workbookViewId="0">
      <selection activeCell="AK10" sqref="AK10"/>
    </sheetView>
  </sheetViews>
  <sheetFormatPr defaultColWidth="8.875" defaultRowHeight="14.1" outlineLevelCol="1"/>
  <cols>
    <col min="1" max="1" width="30.125" customWidth="1"/>
    <col min="2" max="5" width="9" hidden="1" customWidth="1" outlineLevel="1"/>
    <col min="6" max="6" width="9" collapsed="1"/>
    <col min="7" max="7" width="7.625" customWidth="1"/>
    <col min="8" max="11" width="9" hidden="1" customWidth="1" outlineLevel="1"/>
    <col min="12" max="12" width="9" collapsed="1"/>
    <col min="13" max="13" width="6.875" customWidth="1"/>
    <col min="14" max="17" width="9" hidden="1" customWidth="1" outlineLevel="1"/>
    <col min="18" max="18" width="9" collapsed="1"/>
    <col min="19" max="19" width="6.875" customWidth="1"/>
    <col min="20" max="23" width="9" hidden="1" customWidth="1" outlineLevel="1"/>
    <col min="24" max="24" width="9" collapsed="1"/>
    <col min="25" max="25" width="6.875" customWidth="1"/>
    <col min="26" max="29" width="9" hidden="1" customWidth="1" outlineLevel="1"/>
    <col min="30" max="30" width="9" collapsed="1"/>
    <col min="32" max="35" width="0" hidden="1" customWidth="1" outlineLevel="1"/>
    <col min="36" max="36" width="9" customWidth="1" collapsed="1"/>
    <col min="38" max="41" width="0" hidden="1" customWidth="1" outlineLevel="1"/>
    <col min="42" max="42" width="9" collapsed="1"/>
  </cols>
  <sheetData>
    <row r="7" spans="1:48" s="680" customFormat="1">
      <c r="A7"/>
      <c r="B7" s="781" t="s">
        <v>447</v>
      </c>
      <c r="C7" s="781"/>
      <c r="D7" s="781"/>
      <c r="E7" s="781"/>
      <c r="F7" s="781"/>
      <c r="G7" s="781"/>
      <c r="H7" s="781"/>
      <c r="I7" s="781"/>
      <c r="J7" s="781"/>
      <c r="K7" s="781"/>
      <c r="L7" s="781"/>
      <c r="M7" s="781"/>
      <c r="N7" s="781"/>
      <c r="O7" s="781"/>
      <c r="P7" s="781"/>
      <c r="Q7" s="781"/>
      <c r="R7" s="781"/>
      <c r="S7" s="781"/>
      <c r="T7" s="781"/>
      <c r="U7" s="781"/>
      <c r="V7" s="781"/>
      <c r="W7" s="781"/>
      <c r="X7" s="781"/>
      <c r="Y7" s="781"/>
      <c r="Z7" s="781"/>
      <c r="AA7" s="781"/>
      <c r="AB7" s="781"/>
      <c r="AC7" s="781"/>
      <c r="AD7" s="781"/>
      <c r="AE7" s="781"/>
      <c r="AF7" s="781"/>
      <c r="AG7" s="781"/>
      <c r="AH7" s="3" t="s">
        <v>448</v>
      </c>
      <c r="AI7" s="3"/>
      <c r="AJ7" s="3"/>
      <c r="AK7" s="3"/>
      <c r="AL7" s="3"/>
      <c r="AM7" s="3"/>
      <c r="AN7" s="686"/>
      <c r="AO7" s="686"/>
      <c r="AP7" s="686"/>
      <c r="AQ7" s="686"/>
      <c r="AR7" s="686"/>
      <c r="AS7" s="686"/>
      <c r="AT7" s="686"/>
      <c r="AU7" s="686"/>
      <c r="AV7" s="686"/>
    </row>
    <row r="8" spans="1:48">
      <c r="B8" s="782">
        <f>IS!D8</f>
        <v>2020</v>
      </c>
      <c r="C8" s="782"/>
      <c r="D8" s="782"/>
      <c r="E8" s="782"/>
      <c r="F8" s="782"/>
      <c r="H8" s="782">
        <f>IS!J8</f>
        <v>2021</v>
      </c>
      <c r="I8" s="782"/>
      <c r="J8" s="782"/>
      <c r="K8" s="782"/>
      <c r="L8" s="782"/>
      <c r="N8" s="782">
        <f>IS!P8</f>
        <v>2022</v>
      </c>
      <c r="O8" s="782"/>
      <c r="P8" s="782"/>
      <c r="Q8" s="782"/>
      <c r="R8" s="782"/>
      <c r="T8" s="782">
        <f>IS!V8</f>
        <v>2023</v>
      </c>
      <c r="U8" s="782"/>
      <c r="V8" s="782"/>
      <c r="W8" s="782"/>
      <c r="X8" s="782"/>
      <c r="Z8" s="782">
        <f>IS!AB8</f>
        <v>2024</v>
      </c>
      <c r="AA8" s="782"/>
      <c r="AB8" s="782"/>
      <c r="AC8" s="782"/>
      <c r="AD8" s="782"/>
      <c r="AF8" s="782">
        <f>IS!AH8</f>
        <v>2025</v>
      </c>
      <c r="AG8" s="782"/>
      <c r="AH8" s="782"/>
      <c r="AI8" s="782"/>
      <c r="AJ8" s="782"/>
      <c r="AK8" s="677"/>
      <c r="AL8" s="782">
        <v>2026</v>
      </c>
      <c r="AM8" s="782"/>
      <c r="AN8" s="782"/>
      <c r="AO8" s="782"/>
      <c r="AP8" s="782"/>
      <c r="AQ8" s="677"/>
      <c r="AR8">
        <v>2027</v>
      </c>
      <c r="AT8">
        <v>2028</v>
      </c>
      <c r="AV8">
        <v>2029</v>
      </c>
    </row>
    <row r="9" spans="1:48">
      <c r="B9" t="str">
        <f>IS!D9</f>
        <v>Q1</v>
      </c>
      <c r="C9" t="str">
        <f>IS!E9</f>
        <v>Q2</v>
      </c>
      <c r="D9" t="str">
        <f>IS!F9</f>
        <v>Q3</v>
      </c>
      <c r="E9" t="str">
        <f>IS!G9</f>
        <v>Q4</v>
      </c>
      <c r="F9" s="677" t="str">
        <f>IS!H9</f>
        <v>FY</v>
      </c>
      <c r="G9" s="677"/>
      <c r="H9" s="677" t="str">
        <f>IS!J9</f>
        <v>Q1</v>
      </c>
      <c r="I9" s="677" t="str">
        <f>IS!K9</f>
        <v>Q2</v>
      </c>
      <c r="J9" s="677" t="str">
        <f>IS!L9</f>
        <v>Q3</v>
      </c>
      <c r="K9" s="677" t="str">
        <f>IS!M9</f>
        <v>Q4</v>
      </c>
      <c r="L9" s="677" t="str">
        <f>IS!N9</f>
        <v>FY</v>
      </c>
      <c r="M9" s="677"/>
      <c r="N9" s="677" t="str">
        <f>IS!P9</f>
        <v>Q1</v>
      </c>
      <c r="O9" s="677" t="str">
        <f>IS!Q9</f>
        <v>Q2</v>
      </c>
      <c r="P9" s="677" t="str">
        <f>IS!R9</f>
        <v>Q3</v>
      </c>
      <c r="Q9" s="677" t="str">
        <f>IS!S9</f>
        <v>Q4</v>
      </c>
      <c r="R9" s="677" t="str">
        <f>IS!T9</f>
        <v>FY</v>
      </c>
      <c r="S9" s="677"/>
      <c r="T9" s="677" t="str">
        <f>IS!V9</f>
        <v>Q1</v>
      </c>
      <c r="U9" s="677" t="str">
        <f>IS!W9</f>
        <v>Q2</v>
      </c>
      <c r="V9" s="677" t="str">
        <f>IS!X9</f>
        <v>Q3</v>
      </c>
      <c r="W9" s="677" t="str">
        <f>IS!Y9</f>
        <v>Q4</v>
      </c>
      <c r="X9" s="677" t="str">
        <f>IS!Z9</f>
        <v>FY</v>
      </c>
      <c r="Y9" s="677"/>
      <c r="Z9" s="677" t="str">
        <f>IS!AB9</f>
        <v>Q1</v>
      </c>
      <c r="AA9" s="677" t="str">
        <f>IS!AC9</f>
        <v>Q2</v>
      </c>
      <c r="AB9" s="677" t="str">
        <f>IS!AD9</f>
        <v>Q3</v>
      </c>
      <c r="AC9" s="677" t="str">
        <f>IS!AE9</f>
        <v>Q4</v>
      </c>
      <c r="AD9" s="677" t="str">
        <f>IS!AF9</f>
        <v>FY</v>
      </c>
      <c r="AF9" t="str">
        <f>IS!AH9</f>
        <v>Q1</v>
      </c>
      <c r="AG9" t="str">
        <f>IS!AI9</f>
        <v>Q2</v>
      </c>
      <c r="AH9" t="s">
        <v>245</v>
      </c>
      <c r="AI9" t="s">
        <v>246</v>
      </c>
      <c r="AJ9" t="s">
        <v>247</v>
      </c>
      <c r="AL9" t="str">
        <f>IS!AN9</f>
        <v>Q1</v>
      </c>
      <c r="AM9" t="s">
        <v>244</v>
      </c>
      <c r="AN9" t="s">
        <v>245</v>
      </c>
      <c r="AO9" t="s">
        <v>246</v>
      </c>
      <c r="AP9" s="677" t="s">
        <v>247</v>
      </c>
      <c r="AQ9" s="677"/>
      <c r="AR9" s="677" t="s">
        <v>247</v>
      </c>
      <c r="AS9" s="677"/>
      <c r="AT9" s="677" t="s">
        <v>247</v>
      </c>
      <c r="AU9" s="677"/>
      <c r="AV9" s="677" t="s">
        <v>247</v>
      </c>
    </row>
    <row r="10" spans="1:48">
      <c r="A10" s="678" t="str">
        <f>BS!B44</f>
        <v>Long-term borrowings</v>
      </c>
      <c r="B10" s="678">
        <f>BS!D44</f>
        <v>18726</v>
      </c>
      <c r="C10" s="678">
        <f>BS!E44</f>
        <v>18599</v>
      </c>
      <c r="D10" s="678">
        <f>BS!F44</f>
        <v>18536</v>
      </c>
      <c r="E10" s="678">
        <f>BS!G44</f>
        <v>21467</v>
      </c>
      <c r="F10" s="678">
        <f>BS!H44</f>
        <v>21467</v>
      </c>
      <c r="G10" s="683">
        <f>L10/F10-1</f>
        <v>-5.8648157637303799E-2</v>
      </c>
      <c r="H10" s="678">
        <f>BS!J44</f>
        <v>22731</v>
      </c>
      <c r="I10" s="678">
        <f>BS!K44</f>
        <v>22741</v>
      </c>
      <c r="J10" s="678">
        <f>BS!L44</f>
        <v>22281</v>
      </c>
      <c r="K10" s="678">
        <f>BS!M44</f>
        <v>20208</v>
      </c>
      <c r="L10" s="678">
        <f>BS!N44</f>
        <v>20208</v>
      </c>
      <c r="M10" s="682">
        <f>R10/L10-1</f>
        <v>-2.4445764053840024E-2</v>
      </c>
      <c r="N10" s="678">
        <f>BS!P44</f>
        <v>20050</v>
      </c>
      <c r="O10" s="678">
        <f>BS!Q44</f>
        <v>19876</v>
      </c>
      <c r="P10" s="678">
        <f>BS!R44</f>
        <v>19892</v>
      </c>
      <c r="Q10" s="678">
        <f>BS!S44</f>
        <v>19714</v>
      </c>
      <c r="R10" s="678">
        <f>BS!T44</f>
        <v>19714</v>
      </c>
      <c r="S10" s="683">
        <f>X10/R10-1</f>
        <v>-3.0942477427209347E-3</v>
      </c>
      <c r="T10" s="678">
        <f>BS!V44</f>
        <v>19374</v>
      </c>
      <c r="U10" s="678">
        <f>BS!W44</f>
        <v>19496</v>
      </c>
      <c r="V10" s="678">
        <f>BS!X44</f>
        <v>19583</v>
      </c>
      <c r="W10" s="678">
        <f>BS!Y44</f>
        <v>19653</v>
      </c>
      <c r="X10" s="678">
        <f>BS!Z44</f>
        <v>19653</v>
      </c>
      <c r="Y10" s="683">
        <f>AD10/X10-1</f>
        <v>2.5950236605098986E-3</v>
      </c>
      <c r="Z10" s="678">
        <f>BS!AB44</f>
        <v>19415</v>
      </c>
      <c r="AA10" s="678">
        <f>BS!AC44</f>
        <v>19487</v>
      </c>
      <c r="AB10" s="678">
        <f>BS!AD44</f>
        <v>19690</v>
      </c>
      <c r="AC10" s="678">
        <f>BS!AE44</f>
        <v>19704</v>
      </c>
      <c r="AD10" s="678">
        <f>BS!AF44</f>
        <v>19704</v>
      </c>
      <c r="AE10" s="683">
        <f>AJ10/AD10-1</f>
        <v>-2.0898286443338687E-2</v>
      </c>
      <c r="AF10" s="678">
        <f>BS!AH44</f>
        <v>19240</v>
      </c>
      <c r="AG10" s="678">
        <f>BS!AI44</f>
        <v>19013</v>
      </c>
      <c r="AJ10">
        <f>(1+AVERAGE(G10,M10,S10,Y10))*AD10</f>
        <v>19292.220163920454</v>
      </c>
      <c r="AK10" s="683">
        <f>AP10/AJ10-1</f>
        <v>-1.1460818644847492E-2</v>
      </c>
      <c r="AL10" s="678"/>
      <c r="AM10" s="678"/>
      <c r="AP10">
        <f>(1+AVERAGE(M10,S10,Y10,AE10))*AJ10</f>
        <v>19071.115527365291</v>
      </c>
      <c r="AQ10" s="683">
        <f>AR10/AP10-1</f>
        <v>-8.214582292599415E-3</v>
      </c>
      <c r="AR10">
        <f>(1+AVERAGE(Y10,AE10,S10,AK10))*AP10</f>
        <v>18914.454279454079</v>
      </c>
      <c r="AS10" s="683">
        <f>AT10/AR10-1</f>
        <v>-9.4946659300689795E-3</v>
      </c>
      <c r="AT10">
        <f>(1+AVERAGE(AE10,AK10,AQ10,Y10))*AR10</f>
        <v>18734.867854821099</v>
      </c>
      <c r="AU10" s="683">
        <f>AV10/AT10-1</f>
        <v>-1.2517088327713699E-2</v>
      </c>
      <c r="AV10">
        <f>(1+AVERAGE(AE10,AK10,AQ10,AS10))*AT10</f>
        <v>18500.361859074259</v>
      </c>
    </row>
    <row r="12" spans="1:48">
      <c r="A12" t="str">
        <f>IS!B36</f>
        <v>Interest expense</v>
      </c>
      <c r="B12">
        <f>IS!D36</f>
        <v>137</v>
      </c>
      <c r="C12">
        <f>IS!E36</f>
        <v>151</v>
      </c>
      <c r="D12">
        <f>IS!F36</f>
        <v>155</v>
      </c>
      <c r="E12">
        <f>IS!G36</f>
        <v>174</v>
      </c>
      <c r="F12">
        <f>IS!H36</f>
        <v>672</v>
      </c>
      <c r="H12">
        <f>IS!J36</f>
        <v>184</v>
      </c>
      <c r="I12">
        <f>IS!K36</f>
        <v>184</v>
      </c>
      <c r="J12">
        <f>IS!L36</f>
        <v>187</v>
      </c>
      <c r="K12">
        <f>IS!M36</f>
        <v>186</v>
      </c>
      <c r="L12">
        <f>IS!N36</f>
        <v>793</v>
      </c>
      <c r="N12">
        <f>IS!P36</f>
        <v>160</v>
      </c>
      <c r="O12">
        <f>IS!Q36</f>
        <v>155</v>
      </c>
      <c r="P12">
        <f>IS!R36</f>
        <v>163</v>
      </c>
      <c r="Q12">
        <f>IS!S36</f>
        <v>158</v>
      </c>
      <c r="R12">
        <f>IS!T36</f>
        <v>689</v>
      </c>
      <c r="T12">
        <f>IS!V36</f>
        <v>142</v>
      </c>
      <c r="U12">
        <f>IS!W36</f>
        <v>127</v>
      </c>
      <c r="V12">
        <f>IS!X36</f>
        <v>122</v>
      </c>
      <c r="W12">
        <f>IS!Y36</f>
        <v>303</v>
      </c>
      <c r="X12">
        <f>IS!Z36</f>
        <v>694</v>
      </c>
      <c r="Z12">
        <f>IS!AB36</f>
        <v>91</v>
      </c>
      <c r="AA12">
        <f>IS!AC36</f>
        <v>97</v>
      </c>
      <c r="AB12">
        <f>IS!AD36</f>
        <v>91</v>
      </c>
      <c r="AC12">
        <f>IS!AE36</f>
        <v>466</v>
      </c>
      <c r="AD12">
        <f>IS!AF36</f>
        <v>745</v>
      </c>
      <c r="AF12">
        <f>IS!AH36</f>
        <v>84</v>
      </c>
      <c r="AG12">
        <f>IS!AI36</f>
        <v>102</v>
      </c>
      <c r="AJ12" s="688">
        <f>AJ10*AJ13</f>
        <v>710.50315894905293</v>
      </c>
      <c r="AP12" s="688">
        <f>AP10*AP13</f>
        <v>690.85363613563493</v>
      </c>
      <c r="AR12" s="688">
        <f>AR10*AR13</f>
        <v>691.20918974604263</v>
      </c>
      <c r="AT12" s="688">
        <f>AT10*AT13</f>
        <v>690.41341224372093</v>
      </c>
      <c r="AV12" s="688">
        <f>AV10*AV13</f>
        <v>677.34157191501777</v>
      </c>
    </row>
    <row r="13" spans="1:48">
      <c r="A13" s="679" t="s">
        <v>449</v>
      </c>
      <c r="B13" s="680">
        <f t="shared" ref="B13:E13" si="0">B12/B10</f>
        <v>7.3160311865854959E-3</v>
      </c>
      <c r="C13" s="680">
        <f t="shared" si="0"/>
        <v>8.1187160600032261E-3</v>
      </c>
      <c r="D13" s="680">
        <f t="shared" si="0"/>
        <v>8.3621061717738462E-3</v>
      </c>
      <c r="E13" s="680">
        <f t="shared" si="0"/>
        <v>8.1054642008664465E-3</v>
      </c>
      <c r="F13" s="680">
        <f>F12/F10</f>
        <v>3.1303861741277313E-2</v>
      </c>
      <c r="G13" s="680"/>
      <c r="H13" s="680">
        <f t="shared" ref="H13" si="1">H12/H10</f>
        <v>8.0946724737143115E-3</v>
      </c>
      <c r="I13" s="680">
        <f t="shared" ref="I13" si="2">I12/I10</f>
        <v>8.0911129677674679E-3</v>
      </c>
      <c r="J13" s="680">
        <f t="shared" ref="J13" si="3">J12/J10</f>
        <v>8.3928010412459043E-3</v>
      </c>
      <c r="K13" s="680">
        <f t="shared" ref="K13" si="4">K12/K10</f>
        <v>9.2042755344418047E-3</v>
      </c>
      <c r="L13" s="680">
        <f>L12/L10</f>
        <v>3.9241884402216945E-2</v>
      </c>
      <c r="M13" s="680"/>
      <c r="N13" s="680">
        <f t="shared" ref="N13" si="5">N12/N10</f>
        <v>7.9800498753117202E-3</v>
      </c>
      <c r="O13" s="680">
        <f t="shared" ref="O13" si="6">O12/O10</f>
        <v>7.7983497685651035E-3</v>
      </c>
      <c r="P13" s="680">
        <f t="shared" ref="P13" si="7">P12/P10</f>
        <v>8.1942489442992164E-3</v>
      </c>
      <c r="Q13" s="680">
        <f t="shared" ref="Q13" si="8">Q12/Q10</f>
        <v>8.0146089073754694E-3</v>
      </c>
      <c r="R13" s="680">
        <f>R12/R10</f>
        <v>3.4949781880896827E-2</v>
      </c>
      <c r="S13" s="680"/>
      <c r="T13" s="680">
        <f t="shared" ref="T13" si="9">T12/T10</f>
        <v>7.3294105502219467E-3</v>
      </c>
      <c r="U13" s="680">
        <f t="shared" ref="U13" si="10">U12/U10</f>
        <v>6.5141567501025852E-3</v>
      </c>
      <c r="V13" s="680">
        <f t="shared" ref="V13" si="11">V12/V10</f>
        <v>6.229893274779145E-3</v>
      </c>
      <c r="W13" s="680">
        <f t="shared" ref="W13" si="12">W12/W10</f>
        <v>1.5417493512440849E-2</v>
      </c>
      <c r="X13" s="680">
        <f>X12/X10</f>
        <v>3.5312674909682998E-2</v>
      </c>
      <c r="Y13" s="680"/>
      <c r="Z13" s="680">
        <f t="shared" ref="Z13" si="13">Z12/Z10</f>
        <v>4.6870976049446303E-3</v>
      </c>
      <c r="AA13" s="680">
        <f t="shared" ref="AA13" si="14">AA12/AA10</f>
        <v>4.9776774259762922E-3</v>
      </c>
      <c r="AB13" s="680">
        <f t="shared" ref="AB13" si="15">AB12/AB10</f>
        <v>4.6216353478923311E-3</v>
      </c>
      <c r="AC13" s="680">
        <f t="shared" ref="AC13" si="16">AC12/AC10</f>
        <v>2.3650020300446609E-2</v>
      </c>
      <c r="AD13" s="680">
        <f>AD12/AD10</f>
        <v>3.7809581810799839E-2</v>
      </c>
      <c r="AE13" s="680"/>
      <c r="AF13" s="680">
        <f>AF12/AF10</f>
        <v>4.3659043659043661E-3</v>
      </c>
      <c r="AG13" s="680">
        <f>AG12/AG10</f>
        <v>5.3647504339136383E-3</v>
      </c>
      <c r="AH13" s="680"/>
      <c r="AI13" s="680"/>
      <c r="AJ13" s="680">
        <f>AVERAGE(L13,R13,X13,AD13)</f>
        <v>3.6828480750899152E-2</v>
      </c>
      <c r="AK13" s="680"/>
      <c r="AL13" s="680"/>
      <c r="AM13" s="680"/>
      <c r="AP13" s="680">
        <f>AVERAGE(R13,X13,AD13,AJ13)</f>
        <v>3.6225129838069706E-2</v>
      </c>
      <c r="AR13" s="680">
        <f>AVERAGE(X13,AD13,AJ13,AP13)</f>
        <v>3.6543966827362925E-2</v>
      </c>
      <c r="AT13" s="680">
        <f>AVERAGE(AD13,AJ13,AP13,AR13)</f>
        <v>3.6851789806782907E-2</v>
      </c>
      <c r="AV13" s="680">
        <f>AVERAGE(AJ13,AP13,AR13,AT13)</f>
        <v>3.6612341805778673E-2</v>
      </c>
    </row>
    <row r="14" spans="1:48">
      <c r="A14" t="s">
        <v>450</v>
      </c>
      <c r="G14" s="681">
        <f>AVERAGE(F13,L13,R13,X13,AD13)</f>
        <v>3.5723556948974791E-2</v>
      </c>
    </row>
    <row r="19" spans="1:48">
      <c r="A19" t="str">
        <f>BS!B45</f>
        <v>Long-term operating lease liabilities</v>
      </c>
      <c r="B19">
        <f>BS!D45</f>
        <v>12137</v>
      </c>
      <c r="C19">
        <f>BS!E45</f>
        <v>12524</v>
      </c>
      <c r="D19">
        <f>BS!F45</f>
        <v>12669</v>
      </c>
      <c r="E19">
        <f>BS!G45</f>
        <v>12680</v>
      </c>
      <c r="F19">
        <f>BS!H45</f>
        <v>12680</v>
      </c>
      <c r="G19" s="683">
        <f>L19/F19-1</f>
        <v>9.6214511041009532E-2</v>
      </c>
      <c r="H19">
        <f>BS!J45</f>
        <v>13187</v>
      </c>
      <c r="I19">
        <f>BS!K45</f>
        <v>13489</v>
      </c>
      <c r="J19">
        <f>BS!L45</f>
        <v>13506</v>
      </c>
      <c r="K19">
        <f>BS!M45</f>
        <v>13900</v>
      </c>
      <c r="L19">
        <f>BS!N45</f>
        <v>13900</v>
      </c>
      <c r="M19" s="682">
        <f>R19/L19-1</f>
        <v>7.5899280575539629E-2</v>
      </c>
      <c r="N19">
        <f>BS!P45</f>
        <v>13886</v>
      </c>
      <c r="O19">
        <f>BS!Q45</f>
        <v>14465</v>
      </c>
      <c r="P19">
        <f>BS!R45</f>
        <v>14951</v>
      </c>
      <c r="Q19">
        <f>BS!S45</f>
        <v>14955</v>
      </c>
      <c r="R19">
        <f>BS!T45</f>
        <v>14955</v>
      </c>
      <c r="S19" s="683">
        <f>X19/R19-1</f>
        <v>8.0775660314276188E-2</v>
      </c>
      <c r="T19">
        <f>BS!V45</f>
        <v>15662</v>
      </c>
      <c r="U19">
        <f>BS!W45</f>
        <v>15870</v>
      </c>
      <c r="V19">
        <f>BS!X45</f>
        <v>15912</v>
      </c>
      <c r="W19">
        <f>BS!Y45</f>
        <v>16163</v>
      </c>
      <c r="X19">
        <f>BS!Z45</f>
        <v>16163</v>
      </c>
      <c r="Y19" s="683">
        <f>AD19/X19-1</f>
        <v>-4.2009527934170676E-2</v>
      </c>
      <c r="Z19">
        <f>BS!AB45</f>
        <v>16068</v>
      </c>
      <c r="AA19">
        <f>BS!AC45</f>
        <v>15928</v>
      </c>
      <c r="AB19">
        <f>BS!AD45</f>
        <v>15310</v>
      </c>
      <c r="AC19">
        <f>BS!AE45</f>
        <v>15484</v>
      </c>
      <c r="AD19">
        <f>BS!AF45</f>
        <v>15484</v>
      </c>
      <c r="AE19" s="683">
        <f>AJ19/AD19-1</f>
        <v>5.271998099916364E-2</v>
      </c>
      <c r="AF19">
        <f>BS!AH45</f>
        <v>15393</v>
      </c>
      <c r="AG19">
        <f>BS!AI45</f>
        <v>15133</v>
      </c>
      <c r="AJ19">
        <f>(1+AVERAGE(G19,M19,S19,Y19))*AD19</f>
        <v>16300.316185791049</v>
      </c>
      <c r="AK19" s="683">
        <f>AJ19/AD19-1</f>
        <v>5.271998099916364E-2</v>
      </c>
      <c r="AL19" s="678"/>
      <c r="AM19" s="678"/>
      <c r="AP19">
        <f>(1+AVERAGE(AK19,S19,Y19,AE19))*AJ19</f>
        <v>16887.967419362667</v>
      </c>
      <c r="AQ19" s="683">
        <f>AR19/AP19-1</f>
        <v>3.605152359460817E-2</v>
      </c>
      <c r="AR19">
        <f>(1+AVERAGE(Y19,AE19,S19,AK19))*AP19</f>
        <v>17496.804375246793</v>
      </c>
      <c r="AS19" s="683">
        <f>AT19/AR19-1</f>
        <v>2.4870489414691166E-2</v>
      </c>
      <c r="AT19">
        <f>(1+AVERAGE(AE19,AK19,AQ19,Y19))*AR19</f>
        <v>17931.958463252289</v>
      </c>
      <c r="AU19" s="683">
        <f>AV19/AT19-1</f>
        <v>4.159049375190671E-2</v>
      </c>
      <c r="AV19">
        <f>(1+AVERAGE(AE19,AK19,AQ19,AS19))*AT19</f>
        <v>18677.757469677636</v>
      </c>
    </row>
    <row r="21" spans="1:48">
      <c r="A21" t="s">
        <v>451</v>
      </c>
      <c r="F21" s="678">
        <f>F19+F10</f>
        <v>34147</v>
      </c>
      <c r="L21" s="678">
        <f>L19+L10</f>
        <v>34108</v>
      </c>
      <c r="R21" s="678">
        <f>R19+R10</f>
        <v>34669</v>
      </c>
      <c r="X21" s="678">
        <f>X19+X10</f>
        <v>35816</v>
      </c>
      <c r="AD21" s="678">
        <f>AD19+AD10</f>
        <v>35188</v>
      </c>
      <c r="AJ21" s="678">
        <f>AJ19+AJ10</f>
        <v>35592.536349711503</v>
      </c>
      <c r="AP21" s="678">
        <f>AP19+AP10</f>
        <v>35959.082946727955</v>
      </c>
      <c r="AR21" s="678">
        <f>AR19+AR10</f>
        <v>36411.258654700869</v>
      </c>
      <c r="AT21" s="678">
        <f>AT19+AT10</f>
        <v>36666.826318073392</v>
      </c>
      <c r="AV21" s="678">
        <f>AV19+AV10</f>
        <v>37178.119328751898</v>
      </c>
    </row>
  </sheetData>
  <mergeCells count="8">
    <mergeCell ref="B7:AG7"/>
    <mergeCell ref="AF8:AJ8"/>
    <mergeCell ref="AL8:AP8"/>
    <mergeCell ref="B8:F8"/>
    <mergeCell ref="H8:L8"/>
    <mergeCell ref="N8:R8"/>
    <mergeCell ref="Z8:AD8"/>
    <mergeCell ref="T8:X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4">
    <tabColor theme="4"/>
  </sheetPr>
  <dimension ref="A1:BH225"/>
  <sheetViews>
    <sheetView showGridLines="0" topLeftCell="B41" zoomScale="70" zoomScaleNormal="70" zoomScalePageLayoutView="85" workbookViewId="0">
      <selection activeCell="M55" sqref="M55"/>
    </sheetView>
  </sheetViews>
  <sheetFormatPr defaultColWidth="9" defaultRowHeight="14.25" customHeight="1" outlineLevelCol="1"/>
  <cols>
    <col min="1" max="1" width="2.125" style="97" customWidth="1"/>
    <col min="2" max="2" width="50.625" style="97" customWidth="1"/>
    <col min="3" max="3" width="3.125" style="23" customWidth="1"/>
    <col min="4" max="7" width="15.125" style="97" customWidth="1" outlineLevel="1"/>
    <col min="8" max="8" width="15.125" style="97" bestFit="1" customWidth="1"/>
    <col min="9" max="9" width="1.625" style="23" customWidth="1"/>
    <col min="10" max="12" width="15.125" style="97" customWidth="1" outlineLevel="1"/>
    <col min="13" max="13" width="9.625" style="97" customWidth="1" outlineLevel="1"/>
    <col min="14" max="14" width="11.625" style="97" customWidth="1"/>
    <col min="15" max="15" width="1.625" style="23" customWidth="1"/>
    <col min="16" max="19" width="9.625" style="97" customWidth="1" outlineLevel="1"/>
    <col min="20" max="20" width="11.625" style="97" customWidth="1"/>
    <col min="21" max="21" width="1.625" style="23" customWidth="1"/>
    <col min="22" max="25" width="9.625" style="97" customWidth="1" outlineLevel="1"/>
    <col min="26" max="26" width="11.625" style="97" customWidth="1"/>
    <col min="27" max="27" width="1.625" style="23" customWidth="1"/>
    <col min="28" max="31" width="9.625" style="97" customWidth="1" outlineLevel="1"/>
    <col min="32" max="32" width="11.625" style="97" customWidth="1"/>
    <col min="33" max="33" width="1.625" style="23" customWidth="1"/>
    <col min="34" max="34" width="11.625" style="97" customWidth="1"/>
    <col min="35" max="35" width="1.625" style="23" customWidth="1"/>
    <col min="36" max="36" width="11.625" style="105" customWidth="1"/>
    <col min="37" max="37" width="1.625" style="97" customWidth="1"/>
    <col min="38" max="38" width="11.625" style="97" customWidth="1"/>
    <col min="39" max="39" width="1.625" style="97" customWidth="1"/>
    <col min="40" max="40" width="9" style="97"/>
    <col min="41" max="41" width="9.125" style="97" bestFit="1" customWidth="1"/>
    <col min="42" max="16384" width="9" style="97"/>
  </cols>
  <sheetData>
    <row r="1" spans="1:38" s="468" customFormat="1" ht="15" customHeight="1"/>
    <row r="2" spans="1:38" s="468" customFormat="1" ht="15" customHeight="1"/>
    <row r="3" spans="1:38" s="468" customFormat="1" ht="15" customHeight="1"/>
    <row r="4" spans="1:38" s="468" customFormat="1" ht="15" customHeight="1"/>
    <row r="5" spans="1:38" s="288" customFormat="1" ht="4.3499999999999996" customHeight="1">
      <c r="C5" s="36"/>
      <c r="I5" s="36"/>
      <c r="O5" s="36"/>
      <c r="U5" s="36"/>
      <c r="AA5" s="36"/>
      <c r="AG5" s="36"/>
      <c r="AI5" s="36"/>
      <c r="AJ5" s="289"/>
    </row>
    <row r="7" spans="1:38" s="41" customFormat="1" ht="15" customHeight="1">
      <c r="A7" s="30" t="s">
        <v>37</v>
      </c>
      <c r="B7" s="161" t="s">
        <v>452</v>
      </c>
      <c r="C7" s="18"/>
      <c r="D7" s="585"/>
      <c r="E7" s="586"/>
      <c r="F7" s="587"/>
      <c r="G7" s="162"/>
      <c r="H7" s="162"/>
      <c r="I7" s="18"/>
      <c r="J7" s="162"/>
      <c r="K7" s="162"/>
      <c r="L7" s="162"/>
      <c r="M7" s="162"/>
      <c r="N7" s="162"/>
      <c r="O7" s="18"/>
      <c r="P7" s="162"/>
      <c r="Q7" s="162"/>
      <c r="R7" s="162"/>
      <c r="S7" s="162"/>
      <c r="T7" s="162"/>
      <c r="U7" s="18"/>
      <c r="V7" s="162"/>
      <c r="W7" s="162"/>
      <c r="X7" s="162"/>
      <c r="Y7" s="162"/>
      <c r="Z7" s="162"/>
      <c r="AA7" s="18"/>
      <c r="AB7" s="162"/>
      <c r="AC7" s="162"/>
      <c r="AD7" s="162"/>
      <c r="AE7" s="162"/>
      <c r="AF7" s="162"/>
      <c r="AG7" s="18"/>
      <c r="AH7" s="162"/>
      <c r="AI7" s="18"/>
      <c r="AJ7" s="163"/>
      <c r="AK7" s="18"/>
      <c r="AL7" s="163"/>
    </row>
    <row r="8" spans="1:38" s="41" customFormat="1" ht="15" customHeight="1">
      <c r="B8" s="164"/>
      <c r="C8" s="18"/>
      <c r="D8" s="596">
        <v>2022</v>
      </c>
      <c r="E8" s="575">
        <f>D8+1</f>
        <v>2023</v>
      </c>
      <c r="F8" s="597">
        <f>E8+1</f>
        <v>2024</v>
      </c>
      <c r="G8" s="574">
        <f>F8+1</f>
        <v>2025</v>
      </c>
      <c r="H8" s="574">
        <f>G8+1</f>
        <v>2026</v>
      </c>
      <c r="I8" s="598"/>
      <c r="J8" s="166">
        <f>H8+1</f>
        <v>2027</v>
      </c>
      <c r="K8" s="166">
        <f>+J8+1</f>
        <v>2028</v>
      </c>
      <c r="L8" s="166">
        <f>+K8+1</f>
        <v>2029</v>
      </c>
      <c r="M8" s="167"/>
      <c r="N8" s="167"/>
      <c r="O8" s="169"/>
      <c r="P8" s="576"/>
      <c r="Q8" s="576"/>
      <c r="R8" s="576"/>
      <c r="S8" s="576"/>
      <c r="T8" s="576"/>
      <c r="U8" s="169"/>
      <c r="V8" s="577"/>
      <c r="W8" s="577"/>
      <c r="X8" s="577"/>
      <c r="Y8" s="577"/>
      <c r="Z8" s="577"/>
      <c r="AA8" s="169"/>
      <c r="AB8" s="785">
        <v>2026</v>
      </c>
      <c r="AC8" s="785"/>
      <c r="AD8" s="785"/>
      <c r="AE8" s="785"/>
      <c r="AF8" s="785"/>
      <c r="AG8" s="171"/>
    </row>
    <row r="9" spans="1:38" s="41" customFormat="1" ht="14.25" customHeight="1">
      <c r="B9" s="164"/>
      <c r="C9" s="18"/>
      <c r="D9" s="588" t="s">
        <v>247</v>
      </c>
      <c r="E9" s="168" t="s">
        <v>247</v>
      </c>
      <c r="F9" s="589" t="s">
        <v>247</v>
      </c>
      <c r="G9" s="168" t="s">
        <v>247</v>
      </c>
      <c r="H9" s="168" t="s">
        <v>247</v>
      </c>
      <c r="I9" s="165"/>
      <c r="J9" s="168" t="s">
        <v>247</v>
      </c>
      <c r="K9" s="168" t="s">
        <v>247</v>
      </c>
      <c r="L9" s="168" t="s">
        <v>247</v>
      </c>
      <c r="M9" s="165"/>
      <c r="N9" s="165"/>
      <c r="O9" s="165"/>
      <c r="P9" s="168"/>
      <c r="Q9" s="168"/>
      <c r="R9" s="168"/>
      <c r="S9" s="168"/>
      <c r="T9" s="168"/>
      <c r="U9" s="165"/>
      <c r="V9" s="168"/>
      <c r="W9" s="168"/>
      <c r="X9" s="168"/>
      <c r="Y9" s="168"/>
      <c r="Z9" s="168"/>
      <c r="AA9" s="165"/>
      <c r="AB9" s="168"/>
      <c r="AC9" s="168"/>
      <c r="AD9" s="168"/>
      <c r="AE9" s="168"/>
      <c r="AF9" s="168"/>
      <c r="AG9" s="165"/>
    </row>
    <row r="10" spans="1:38" ht="14.25" customHeight="1">
      <c r="D10" s="590"/>
      <c r="F10" s="591"/>
    </row>
    <row r="11" spans="1:38" ht="14.25" customHeight="1">
      <c r="B11" s="599" t="s">
        <v>453</v>
      </c>
      <c r="C11" s="600"/>
      <c r="D11" s="601" t="s">
        <v>454</v>
      </c>
      <c r="E11" s="599"/>
      <c r="F11" s="602"/>
      <c r="G11" s="599" t="s">
        <v>455</v>
      </c>
      <c r="H11" s="599"/>
      <c r="I11" s="600"/>
      <c r="J11" s="599"/>
      <c r="K11" s="599"/>
      <c r="L11" s="599"/>
    </row>
    <row r="12" spans="1:38" ht="14.25" customHeight="1">
      <c r="B12" s="97" t="str" cm="1">
        <f t="array" ref="B12:B25">Industry!B12:B25</f>
        <v xml:space="preserve">Global transportation and Logistics Market Size </v>
      </c>
      <c r="C12" s="411"/>
      <c r="D12" s="592">
        <f>Industry!D12</f>
        <v>1272945.166</v>
      </c>
      <c r="E12" s="583">
        <f>Industry!E12</f>
        <v>1337992.6639826</v>
      </c>
      <c r="F12" s="593">
        <f>Industry!F12</f>
        <v>1406364.0891121107</v>
      </c>
      <c r="G12" s="583">
        <f>Industry!G12</f>
        <v>1478229.2940657395</v>
      </c>
      <c r="H12" s="583">
        <f>Industry!H12</f>
        <v>1553766.8109924986</v>
      </c>
      <c r="I12" s="97"/>
      <c r="J12" s="583">
        <f>Industry!I12</f>
        <v>1633164.2950342153</v>
      </c>
      <c r="K12" s="583">
        <f>Industry!J12</f>
        <v>1716618.9905104635</v>
      </c>
      <c r="L12" s="583">
        <f>Industry!K12</f>
        <v>1804338.2209255481</v>
      </c>
      <c r="M12" s="786" t="s">
        <v>456</v>
      </c>
    </row>
    <row r="13" spans="1:38" s="578" customFormat="1" ht="14.25" customHeight="1">
      <c r="B13" s="578" t="str">
        <v>FedEx Market Share</v>
      </c>
      <c r="C13" s="604"/>
      <c r="D13" s="594">
        <f>SUM(D29:D31)/D12</f>
        <v>6.9585086903892604E-2</v>
      </c>
      <c r="E13" s="584">
        <f>SUM(E29:E31)/E12</f>
        <v>6.4187197965920137E-2</v>
      </c>
      <c r="F13" s="595">
        <f>SUM(F29:F31)/F12</f>
        <v>5.9867142976578275E-2</v>
      </c>
      <c r="G13" s="584">
        <f>SUM(G29:G31)/G12</f>
        <v>5.7974468133339195E-2</v>
      </c>
      <c r="H13" s="584">
        <f>SUM(H29:H31)/H12</f>
        <v>5.6684884335917347E-2</v>
      </c>
      <c r="I13" s="584"/>
      <c r="J13" s="584">
        <f>SUM(J29:J31)/J12</f>
        <v>5.5640594906816471E-2</v>
      </c>
      <c r="K13" s="584">
        <f>SUM(K29:K31)/K12</f>
        <v>5.4732613876278764E-2</v>
      </c>
      <c r="L13" s="584">
        <f>SUM(L29:L31)/L12</f>
        <v>5.1746460326324989E-2</v>
      </c>
      <c r="M13" s="786"/>
      <c r="O13" s="579"/>
      <c r="U13" s="579"/>
      <c r="AA13" s="579"/>
      <c r="AG13" s="579"/>
      <c r="AI13" s="579"/>
      <c r="AJ13" s="580"/>
    </row>
    <row r="14" spans="1:38" ht="14.25" customHeight="1">
      <c r="B14" s="97" t="str">
        <v>E-commerce Market Size</v>
      </c>
      <c r="C14" s="411"/>
      <c r="D14" s="592">
        <f>Industry!D14</f>
        <v>30830770</v>
      </c>
      <c r="E14" s="583">
        <f>Industry!E14</f>
        <v>36657785.530000001</v>
      </c>
      <c r="F14" s="593">
        <f>Industry!F14</f>
        <v>43586106.995170005</v>
      </c>
      <c r="G14" s="583">
        <f>Industry!G14</f>
        <v>51823881.217257135</v>
      </c>
      <c r="H14" s="583">
        <f>Industry!H14</f>
        <v>61618594.767318733</v>
      </c>
      <c r="I14" s="97"/>
      <c r="J14" s="583">
        <f>Industry!I14</f>
        <v>73264509.17834197</v>
      </c>
      <c r="K14" s="583">
        <f>Industry!J14</f>
        <v>87111501.41304861</v>
      </c>
      <c r="L14" s="583">
        <f>Industry!K14</f>
        <v>83260000</v>
      </c>
      <c r="M14" s="786"/>
    </row>
    <row r="15" spans="1:38" s="578" customFormat="1" ht="14.25" customHeight="1">
      <c r="B15" s="578" t="str">
        <v>FedEx Market Share</v>
      </c>
      <c r="C15" s="604"/>
      <c r="D15" s="594">
        <f>SUM(D29:D30)/FCFF!D14</f>
        <v>2.5638672015003195E-3</v>
      </c>
      <c r="E15" s="584">
        <f>SUM(E29:E30)/FCFF!E14</f>
        <v>2.0800492691408902E-3</v>
      </c>
      <c r="F15" s="595">
        <f>SUM(F29:F30)/FCFF!F14</f>
        <v>1.7233243613228328E-3</v>
      </c>
      <c r="G15" s="584">
        <f>SUM(G29:G30)/FCFF!G14</f>
        <v>1.4801945278281859E-3</v>
      </c>
      <c r="H15" s="584">
        <f>SUM(H29:H30)/FCFF!H14</f>
        <v>1.2825009624501213E-3</v>
      </c>
      <c r="I15" s="584"/>
      <c r="J15" s="584">
        <f>SUM(J29:J30)/FCFF!J14</f>
        <v>1.1152217230832734E-3</v>
      </c>
      <c r="K15" s="584">
        <f>SUM(K29:K30)/FCFF!K14</f>
        <v>9.7147653110942541E-4</v>
      </c>
      <c r="L15" s="584">
        <f>SUM(L29:L30)/FCFF!L14</f>
        <v>1.0158129188203662E-3</v>
      </c>
      <c r="M15" s="786"/>
      <c r="O15" s="579"/>
      <c r="U15" s="579"/>
      <c r="AA15" s="579"/>
      <c r="AG15" s="579"/>
      <c r="AI15" s="579"/>
      <c r="AJ15" s="580"/>
    </row>
    <row r="16" spans="1:38" ht="14.25" customHeight="1">
      <c r="B16" s="97" t="str">
        <v>E-commerce in the U.S. Market Size</v>
      </c>
      <c r="C16" s="411"/>
      <c r="D16" s="592">
        <f>Industry!D16</f>
        <v>921190.52154557069</v>
      </c>
      <c r="E16" s="583">
        <f>Industry!E16</f>
        <v>1019850.0264031013</v>
      </c>
      <c r="F16" s="593">
        <f>Industry!F16</f>
        <v>1129075.9642308734</v>
      </c>
      <c r="G16" s="583">
        <f>Industry!G16</f>
        <v>1250000</v>
      </c>
      <c r="H16" s="583">
        <f>Industry!H16</f>
        <v>1383875</v>
      </c>
      <c r="I16" s="97"/>
      <c r="J16" s="583">
        <f>Industry!I16</f>
        <v>1532088.0125</v>
      </c>
      <c r="K16" s="583">
        <f>Industry!J16</f>
        <v>1696174.63863875</v>
      </c>
      <c r="L16" s="583">
        <f>Industry!K16</f>
        <v>2080000</v>
      </c>
      <c r="M16" s="786"/>
    </row>
    <row r="17" spans="2:36" s="578" customFormat="1" ht="14.25" customHeight="1">
      <c r="B17" s="578" t="str">
        <v>FedEx Market Share</v>
      </c>
      <c r="C17" s="604"/>
      <c r="D17" s="594">
        <f>SUM(D38,D40)/D16</f>
        <v>5.7127161829353103E-2</v>
      </c>
      <c r="E17" s="584">
        <f>SUM(E38,E40)/E16</f>
        <v>5.12820499544E-2</v>
      </c>
      <c r="F17" s="595">
        <f>SUM(F38,F40)/F16</f>
        <v>4.603587504E-2</v>
      </c>
      <c r="G17" s="584">
        <f>SUM(G38,G40)/G16</f>
        <v>4.2099852470881535E-2</v>
      </c>
      <c r="H17" s="584">
        <f>SUM(H38,H40)/H16</f>
        <v>3.8920613326223368E-2</v>
      </c>
      <c r="I17" s="584"/>
      <c r="J17" s="584">
        <f>SUM(J38,J40)/J16</f>
        <v>3.6122107959640527E-2</v>
      </c>
      <c r="K17" s="584">
        <f>SUM(K38,K40)/K16</f>
        <v>3.3572921650101444E-2</v>
      </c>
      <c r="L17" s="584">
        <f>SUM(L38,L40)/L16</f>
        <v>2.7083178214270677E-2</v>
      </c>
      <c r="M17" s="786"/>
      <c r="O17" s="579"/>
      <c r="U17" s="579"/>
      <c r="AA17" s="579"/>
      <c r="AG17" s="579"/>
      <c r="AI17" s="579"/>
      <c r="AJ17" s="580"/>
    </row>
    <row r="18" spans="2:36" ht="14.25" customHeight="1">
      <c r="B18" s="97" t="str">
        <v>Global Express Delivery Service</v>
      </c>
      <c r="C18" s="411"/>
      <c r="D18" s="592">
        <f>Industry!D18</f>
        <v>227260.59095763616</v>
      </c>
      <c r="E18" s="583">
        <f>Industry!E18</f>
        <v>240896.22641509434</v>
      </c>
      <c r="F18" s="593">
        <f>Industry!F18</f>
        <v>255350</v>
      </c>
      <c r="G18" s="583">
        <f>Industry!G18</f>
        <v>270671</v>
      </c>
      <c r="H18" s="583">
        <f>Industry!H18</f>
        <v>286911.26</v>
      </c>
      <c r="I18" s="97"/>
      <c r="J18" s="583">
        <f>Industry!I18</f>
        <v>304125.93560000003</v>
      </c>
      <c r="K18" s="583">
        <f>Industry!J18</f>
        <v>322373.49173600005</v>
      </c>
      <c r="L18" s="583">
        <f>Industry!K18</f>
        <v>341715.90124016005</v>
      </c>
    </row>
    <row r="19" spans="2:36" s="578" customFormat="1" ht="14.25" customHeight="1">
      <c r="B19" s="578" t="str">
        <v>FedEx Market Share</v>
      </c>
      <c r="C19" s="604"/>
      <c r="D19" s="594">
        <f>D29/D18</f>
        <v>0.20159236498923047</v>
      </c>
      <c r="E19" s="584">
        <f>E29/E18</f>
        <v>0.17743324848247505</v>
      </c>
      <c r="F19" s="595">
        <f>F29/F18</f>
        <v>0.16000391619345997</v>
      </c>
      <c r="G19" s="584">
        <f>G29/G18</f>
        <v>0.15690973898201135</v>
      </c>
      <c r="H19" s="584">
        <f>H29/H18</f>
        <v>0.15432099686162476</v>
      </c>
      <c r="I19" s="584"/>
      <c r="J19" s="584">
        <f>J29/J18</f>
        <v>0.15213618006840143</v>
      </c>
      <c r="K19" s="584">
        <f>K29/K18</f>
        <v>0.14995715600075438</v>
      </c>
      <c r="L19" s="584">
        <f>L29/L18</f>
        <v>0.14477193868805777</v>
      </c>
      <c r="O19" s="579"/>
      <c r="U19" s="579"/>
      <c r="AA19" s="579"/>
      <c r="AG19" s="579"/>
      <c r="AI19" s="579"/>
      <c r="AJ19" s="580"/>
    </row>
    <row r="20" spans="2:36" ht="14.25" customHeight="1">
      <c r="B20" s="97" t="str">
        <v>US Express Delivery Service</v>
      </c>
      <c r="C20" s="411"/>
      <c r="D20" s="592">
        <f>Industry!D20</f>
        <v>87330.303639848149</v>
      </c>
      <c r="E20" s="583">
        <f>Industry!E20</f>
        <v>91705.551852204546</v>
      </c>
      <c r="F20" s="593">
        <f>Industry!F20</f>
        <v>96300</v>
      </c>
      <c r="G20" s="583">
        <f>Industry!G20</f>
        <v>101124.63</v>
      </c>
      <c r="H20" s="583">
        <f>Industry!H20</f>
        <v>106190.97396300001</v>
      </c>
      <c r="I20" s="97"/>
      <c r="J20" s="583">
        <f>Industry!I20</f>
        <v>111511.14175854632</v>
      </c>
      <c r="K20" s="583">
        <f>Industry!J20</f>
        <v>117097.84996064949</v>
      </c>
      <c r="L20" s="583">
        <f>Industry!K20</f>
        <v>122964.45224367802</v>
      </c>
    </row>
    <row r="21" spans="2:36" s="578" customFormat="1" ht="14.25" customHeight="1">
      <c r="B21" s="578" t="str">
        <v>FedEx Market Share</v>
      </c>
      <c r="C21" s="604"/>
      <c r="D21" s="594">
        <f>D38/D20</f>
        <v>0.23187827313084114</v>
      </c>
      <c r="E21" s="584">
        <f>E38/E20</f>
        <v>0.21430545482866045</v>
      </c>
      <c r="F21" s="595">
        <f>F38/F20</f>
        <v>0.19279335410176532</v>
      </c>
      <c r="G21" s="584">
        <f>G38/G20</f>
        <v>0.19023468328141227</v>
      </c>
      <c r="H21" s="584">
        <f>H38/H20</f>
        <v>0.1881877466251298</v>
      </c>
      <c r="I21" s="584"/>
      <c r="J21" s="584">
        <f>J38/J20</f>
        <v>0.18655019730010383</v>
      </c>
      <c r="K21" s="584">
        <f>K38/K20</f>
        <v>0.18436679820006921</v>
      </c>
      <c r="L21" s="584">
        <f>L38/L20</f>
        <v>0.18</v>
      </c>
      <c r="O21" s="579"/>
      <c r="U21" s="579"/>
      <c r="AA21" s="579"/>
      <c r="AG21" s="579"/>
      <c r="AI21" s="579"/>
      <c r="AJ21" s="580"/>
    </row>
    <row r="22" spans="2:36" s="578" customFormat="1" ht="14.25" customHeight="1">
      <c r="B22" s="97" t="str">
        <v>US freight and logistics market</v>
      </c>
      <c r="C22" s="411"/>
      <c r="D22" s="592">
        <f>Industry!D22</f>
        <v>0</v>
      </c>
      <c r="E22" s="583">
        <f>Industry!E22</f>
        <v>0</v>
      </c>
      <c r="F22" s="593">
        <f>Industry!F22</f>
        <v>1405500</v>
      </c>
      <c r="G22" s="583">
        <f>Industry!G22</f>
        <v>1450500</v>
      </c>
      <c r="H22" s="583">
        <f>Industry!H22</f>
        <v>1511421</v>
      </c>
      <c r="I22" s="583"/>
      <c r="J22" s="583">
        <f>Industry!I22</f>
        <v>1574900.682</v>
      </c>
      <c r="K22" s="583">
        <f>Industry!J22</f>
        <v>1641046.510644</v>
      </c>
      <c r="L22" s="583">
        <f>Industry!K22</f>
        <v>1709970.4640910481</v>
      </c>
      <c r="O22" s="579"/>
      <c r="U22" s="579"/>
      <c r="AA22" s="579"/>
      <c r="AG22" s="579"/>
      <c r="AI22" s="579"/>
      <c r="AJ22" s="580"/>
    </row>
    <row r="23" spans="2:36" s="578" customFormat="1" ht="14.25" customHeight="1">
      <c r="B23" s="605" t="str">
        <v>FedEx Market Share</v>
      </c>
      <c r="C23" s="604"/>
      <c r="D23" s="594"/>
      <c r="E23" s="584"/>
      <c r="F23" s="595">
        <f>SUM(F30:F31)/F22</f>
        <v>3.0834578441835646E-2</v>
      </c>
      <c r="G23" s="584">
        <f>SUM(G30:G31)/G22</f>
        <v>2.9802579208950502E-2</v>
      </c>
      <c r="H23" s="584">
        <f>SUM(H30:H31)/H22</f>
        <v>2.8978464843397136E-2</v>
      </c>
      <c r="I23" s="584"/>
      <c r="J23" s="584">
        <f>SUM(J30:J31)/J22</f>
        <v>2.832030956880531E-2</v>
      </c>
      <c r="K23" s="584">
        <f>SUM(K30:K31)/K22</f>
        <v>2.779496625700963E-2</v>
      </c>
      <c r="L23" s="584">
        <f>SUM(L30:L31)/L22</f>
        <v>2.5671345548447737E-2</v>
      </c>
      <c r="O23" s="579"/>
      <c r="U23" s="579"/>
      <c r="AA23" s="579"/>
      <c r="AG23" s="579"/>
      <c r="AI23" s="579"/>
      <c r="AJ23" s="580"/>
    </row>
    <row r="24" spans="2:36" s="578" customFormat="1" ht="14.25" customHeight="1">
      <c r="B24" s="97" t="str">
        <v>Rest of World freight and logistics market</v>
      </c>
      <c r="C24" s="604"/>
      <c r="D24" s="592">
        <f>Industry!D24</f>
        <v>4363400.2090090597</v>
      </c>
      <c r="E24" s="583">
        <f>Industry!E24</f>
        <v>4544481.3176829359</v>
      </c>
      <c r="F24" s="593">
        <f>Industry!F24</f>
        <v>4733077.2923667785</v>
      </c>
      <c r="G24" s="583">
        <f>Industry!G24</f>
        <v>4929500</v>
      </c>
      <c r="H24" s="583">
        <f>Industry!H24</f>
        <v>5186941</v>
      </c>
      <c r="I24" s="583"/>
      <c r="J24" s="583">
        <f>Industry!I24</f>
        <v>5457709.5818000007</v>
      </c>
      <c r="K24" s="583">
        <f>Industry!J24</f>
        <v>5742491.0053196214</v>
      </c>
      <c r="L24" s="583">
        <f>Industry!K24</f>
        <v>6042005.5739191584</v>
      </c>
      <c r="O24" s="579"/>
      <c r="U24" s="579"/>
      <c r="AA24" s="579"/>
      <c r="AG24" s="579"/>
      <c r="AI24" s="579"/>
      <c r="AJ24" s="580"/>
    </row>
    <row r="25" spans="2:36" s="578" customFormat="1" ht="14.25" customHeight="1">
      <c r="B25" s="605" t="str">
        <v>FedEx Market Share</v>
      </c>
      <c r="C25" s="604"/>
      <c r="D25" s="594">
        <f>SUM(D53,D55)/D24</f>
        <v>2.5026354395486365E-4</v>
      </c>
      <c r="E25" s="584">
        <f>SUM(E53,E55)/E24</f>
        <v>2.4733295648645911E-4</v>
      </c>
      <c r="F25" s="595">
        <f>SUM(F53,F55)/F24</f>
        <v>2.3325205396084798E-4</v>
      </c>
      <c r="G25" s="584">
        <f>SUM(G53,G55)/G24</f>
        <v>2.2460164316867836E-4</v>
      </c>
      <c r="H25" s="584">
        <f>SUM(H53,H55)/H24</f>
        <v>2.1768131453494267E-4</v>
      </c>
      <c r="I25" s="584"/>
      <c r="J25" s="584">
        <f>SUM(J53,J55)/J24</f>
        <v>2.1214505162795415E-4</v>
      </c>
      <c r="K25" s="584">
        <f>SUM(K53,K55)/K24</f>
        <v>2.0771604130236332E-4</v>
      </c>
      <c r="L25" s="584">
        <f>SUM(L53,L55)/L24</f>
        <v>1.8999999999999998E-4</v>
      </c>
      <c r="O25" s="579"/>
      <c r="U25" s="579"/>
      <c r="AA25" s="579"/>
      <c r="AG25" s="579"/>
      <c r="AI25" s="579"/>
      <c r="AJ25" s="580"/>
    </row>
    <row r="26" spans="2:36" ht="14.25" customHeight="1" thickBot="1">
      <c r="D26" s="590"/>
      <c r="F26" s="591"/>
    </row>
    <row r="27" spans="2:36" ht="14.25" customHeight="1">
      <c r="B27" s="619" t="s">
        <v>457</v>
      </c>
      <c r="C27" s="620"/>
      <c r="D27" s="621"/>
      <c r="E27" s="622"/>
      <c r="F27" s="623"/>
      <c r="G27" s="622"/>
      <c r="H27" s="622"/>
      <c r="I27" s="620"/>
      <c r="J27" s="622"/>
      <c r="K27" s="622"/>
      <c r="L27" s="624"/>
    </row>
    <row r="28" spans="2:36" ht="14.25" customHeight="1">
      <c r="B28" s="625" t="str" cm="1">
        <f t="array" ref="B28:B34">Segments!B12:B18</f>
        <v>Revenue by segment:</v>
      </c>
      <c r="D28" s="590"/>
      <c r="F28" s="591"/>
      <c r="G28" s="583"/>
      <c r="H28" s="583"/>
      <c r="I28" s="583"/>
      <c r="J28" s="583"/>
      <c r="K28" s="583"/>
      <c r="L28" s="626"/>
    </row>
    <row r="29" spans="2:36" ht="14.25" customHeight="1">
      <c r="B29" s="625" t="str">
        <v>FedEx Express</v>
      </c>
      <c r="D29" s="592" cm="1">
        <f t="array" ref="D29:D34">Segments!T13:T18</f>
        <v>45814</v>
      </c>
      <c r="E29" s="583" cm="1">
        <f t="array" ref="E29:E34">Segments!Z13:Z18</f>
        <v>42743</v>
      </c>
      <c r="F29" s="593" cm="1">
        <f t="array" ref="F29:F34">Segments!AF13:AF18</f>
        <v>40857</v>
      </c>
      <c r="G29" s="583">
        <f>SUM(G38+G51)</f>
        <v>42470.915959999998</v>
      </c>
      <c r="H29" s="583">
        <f>SUM(H38+H51)</f>
        <v>44276.431654024804</v>
      </c>
      <c r="I29" s="583"/>
      <c r="J29" s="583">
        <f>SUM(J38+J51)</f>
        <v>46268.558101912662</v>
      </c>
      <c r="K29" s="583">
        <f>SUM(K38+K51)</f>
        <v>48342.211990763259</v>
      </c>
      <c r="L29" s="626">
        <f>SUM(L38+L51)</f>
        <v>49470.87350307485</v>
      </c>
    </row>
    <row r="30" spans="2:36" ht="14.25" customHeight="1">
      <c r="B30" s="625" t="str">
        <v>FedEx Ground</v>
      </c>
      <c r="D30" s="592">
        <v>33232</v>
      </c>
      <c r="E30" s="583">
        <v>33507</v>
      </c>
      <c r="F30" s="593">
        <v>34256</v>
      </c>
      <c r="G30" s="583">
        <f>G40+G53</f>
        <v>34238.509428601916</v>
      </c>
      <c r="H30" s="583">
        <f>H40+H53</f>
        <v>34749.475439885478</v>
      </c>
      <c r="I30" s="583"/>
      <c r="J30" s="583">
        <f>J40+J53</f>
        <v>35437.614064808171</v>
      </c>
      <c r="K30" s="583">
        <f>K40+K53</f>
        <v>36284.567221719015</v>
      </c>
      <c r="L30" s="626">
        <f>L40+L53</f>
        <v>35105.710117908835</v>
      </c>
    </row>
    <row r="31" spans="2:36" ht="14.25" customHeight="1">
      <c r="B31" s="625" t="str">
        <v>FedEx Freight</v>
      </c>
      <c r="D31" s="592">
        <v>9532</v>
      </c>
      <c r="E31" s="583">
        <v>9632</v>
      </c>
      <c r="F31" s="593">
        <v>9082</v>
      </c>
      <c r="G31" s="583">
        <f>G42+G55</f>
        <v>8990.1317139807888</v>
      </c>
      <c r="H31" s="583">
        <f>H42+H55</f>
        <v>9049.184872186659</v>
      </c>
      <c r="I31" s="583"/>
      <c r="J31" s="583">
        <f>J42+J55</f>
        <v>9164.0607895544363</v>
      </c>
      <c r="K31" s="583">
        <f>K42+K55</f>
        <v>9328.2651678143557</v>
      </c>
      <c r="L31" s="626">
        <f>L42+L55</f>
        <v>8791.5325434120059</v>
      </c>
    </row>
    <row r="32" spans="2:36" ht="14.25" customHeight="1">
      <c r="B32" s="625" t="str">
        <v>FedEx Services</v>
      </c>
      <c r="D32" s="592">
        <v>253</v>
      </c>
      <c r="E32" s="583">
        <v>301</v>
      </c>
      <c r="F32" s="593">
        <v>260</v>
      </c>
      <c r="G32" s="583">
        <f>G44</f>
        <v>267.8</v>
      </c>
      <c r="H32" s="583">
        <f>H44</f>
        <v>275.834</v>
      </c>
      <c r="I32" s="618"/>
      <c r="J32" s="583">
        <f>J44</f>
        <v>284.10901999999999</v>
      </c>
      <c r="K32" s="583">
        <f>K44</f>
        <v>292.63229059999998</v>
      </c>
      <c r="L32" s="626">
        <f>L44</f>
        <v>301.41125931799996</v>
      </c>
    </row>
    <row r="33" spans="1:60" ht="14.25" customHeight="1">
      <c r="B33" s="625" t="str">
        <v>Corporate, other and eliminations</v>
      </c>
      <c r="D33" s="592">
        <v>4681</v>
      </c>
      <c r="E33" s="583">
        <v>3972</v>
      </c>
      <c r="F33" s="593">
        <v>3238</v>
      </c>
      <c r="G33" s="583">
        <f>G46+G57</f>
        <v>3909.3206844104061</v>
      </c>
      <c r="H33" s="583">
        <f>H46+H57</f>
        <v>3823.6973986423159</v>
      </c>
      <c r="I33" s="583"/>
      <c r="J33" s="583">
        <f>J46+J57</f>
        <v>3860.4760599302886</v>
      </c>
      <c r="K33" s="583">
        <f>K46+K57</f>
        <v>4122.2675301189756</v>
      </c>
      <c r="L33" s="626">
        <f>L46+L57</f>
        <v>4039.5436957818638</v>
      </c>
    </row>
    <row r="34" spans="1:60" ht="14.25" customHeight="1" thickBot="1">
      <c r="B34" s="627" t="str">
        <v>Total revenue</v>
      </c>
      <c r="C34" s="628"/>
      <c r="D34" s="629">
        <v>93512</v>
      </c>
      <c r="E34" s="630">
        <v>90155</v>
      </c>
      <c r="F34" s="631">
        <v>87693</v>
      </c>
      <c r="G34" s="630">
        <f>SUM(G29:G33)</f>
        <v>89876.677786993125</v>
      </c>
      <c r="H34" s="630">
        <f>SUM(H29:H33)</f>
        <v>92174.623364739251</v>
      </c>
      <c r="I34" s="630"/>
      <c r="J34" s="630">
        <f>SUM(J29:J33)</f>
        <v>95014.818036205557</v>
      </c>
      <c r="K34" s="630">
        <f>SUM(K29:K33)</f>
        <v>98369.944201015605</v>
      </c>
      <c r="L34" s="632">
        <f>SUM(L29:L33)</f>
        <v>97709.071119495551</v>
      </c>
    </row>
    <row r="35" spans="1:60" ht="14.25" customHeight="1">
      <c r="D35" s="590"/>
      <c r="F35" s="591">
        <f>F34/D34-1</f>
        <v>-6.2227307725211789E-2</v>
      </c>
    </row>
    <row r="36" spans="1:60" ht="14.25" customHeight="1">
      <c r="D36" s="590"/>
      <c r="F36" s="591"/>
    </row>
    <row r="37" spans="1:60" ht="14.25" customHeight="1">
      <c r="B37" s="610" t="s">
        <v>458</v>
      </c>
      <c r="C37" s="611"/>
      <c r="D37" s="610"/>
      <c r="E37" s="612"/>
      <c r="F37" s="613"/>
      <c r="G37" s="612"/>
      <c r="H37" s="612"/>
      <c r="I37" s="611"/>
      <c r="J37" s="612"/>
      <c r="K37" s="612"/>
      <c r="L37" s="613"/>
    </row>
    <row r="38" spans="1:60" ht="14.25" customHeight="1">
      <c r="B38" s="590" t="s">
        <v>459</v>
      </c>
      <c r="D38" s="592">
        <f>D29-D51</f>
        <v>20250</v>
      </c>
      <c r="E38" s="583">
        <f>E29-E51</f>
        <v>19653</v>
      </c>
      <c r="F38" s="593">
        <f>F29-F51</f>
        <v>18566</v>
      </c>
      <c r="G38" s="583">
        <f>G20*G39</f>
        <v>19237.411960000001</v>
      </c>
      <c r="H38" s="583">
        <f>H20*H39</f>
        <v>19983.840102024802</v>
      </c>
      <c r="I38" s="583"/>
      <c r="J38" s="583">
        <f t="shared" ref="J38" si="0">J20*J39</f>
        <v>20802.425496216663</v>
      </c>
      <c r="K38" s="583">
        <f>K20*K39</f>
        <v>21588.955673357046</v>
      </c>
      <c r="L38" s="593">
        <f>L20*L39</f>
        <v>22133.601403862045</v>
      </c>
    </row>
    <row r="39" spans="1:60" ht="14.25" customHeight="1">
      <c r="A39" s="578"/>
      <c r="B39" s="614" t="s">
        <v>460</v>
      </c>
      <c r="C39" s="579"/>
      <c r="D39" s="594">
        <f>D38/D20</f>
        <v>0.23187827313084114</v>
      </c>
      <c r="E39" s="584">
        <f>E38/E20</f>
        <v>0.21430545482866045</v>
      </c>
      <c r="F39" s="595">
        <f>F38/F20</f>
        <v>0.19279335410176532</v>
      </c>
      <c r="G39" s="584">
        <f>F39+($L$39-F39)/5</f>
        <v>0.19023468328141224</v>
      </c>
      <c r="H39" s="584">
        <f t="shared" ref="H39" si="1">G39+($L$39-G39)/5</f>
        <v>0.1881877466251298</v>
      </c>
      <c r="I39" s="584"/>
      <c r="J39" s="584">
        <f>H39+($L$39-H39)/5</f>
        <v>0.18655019730010383</v>
      </c>
      <c r="K39" s="584">
        <f>J39+($L$39-J39)/3</f>
        <v>0.18436679820006921</v>
      </c>
      <c r="L39" s="595">
        <v>0.18</v>
      </c>
      <c r="M39" s="584"/>
      <c r="N39" s="578"/>
      <c r="O39" s="579"/>
      <c r="P39" s="578"/>
      <c r="Q39" s="578"/>
      <c r="R39" s="578"/>
      <c r="S39" s="578"/>
      <c r="T39" s="578"/>
      <c r="U39" s="579"/>
      <c r="V39" s="578"/>
      <c r="W39" s="578"/>
      <c r="X39" s="578"/>
      <c r="Y39" s="578"/>
      <c r="Z39" s="578"/>
      <c r="AA39" s="579"/>
      <c r="AB39" s="578"/>
      <c r="AC39" s="578"/>
      <c r="AD39" s="578"/>
      <c r="AE39" s="578"/>
      <c r="AF39" s="578"/>
      <c r="AG39" s="579"/>
      <c r="AH39" s="578"/>
      <c r="AI39" s="579"/>
      <c r="AJ39" s="580"/>
      <c r="AK39" s="578"/>
      <c r="AL39" s="578"/>
      <c r="AM39" s="578"/>
      <c r="AN39" s="578"/>
      <c r="AO39" s="578"/>
      <c r="AP39" s="578"/>
      <c r="AQ39" s="578"/>
      <c r="AR39" s="578"/>
      <c r="AS39" s="581"/>
      <c r="AT39" s="581"/>
      <c r="AU39" s="581"/>
      <c r="AV39" s="582"/>
      <c r="AW39" s="582"/>
      <c r="AX39" s="582"/>
      <c r="AY39" s="582"/>
      <c r="AZ39" s="582"/>
      <c r="BA39" s="578"/>
      <c r="BB39" s="578"/>
      <c r="BC39" s="578"/>
      <c r="BD39" s="578"/>
      <c r="BE39" s="578"/>
      <c r="BF39" s="578"/>
      <c r="BG39" s="578"/>
      <c r="BH39" s="578"/>
    </row>
    <row r="40" spans="1:60" ht="14.25" customHeight="1">
      <c r="B40" s="590" t="s">
        <v>461</v>
      </c>
      <c r="D40" s="592">
        <f>D30-D53</f>
        <v>32375</v>
      </c>
      <c r="E40" s="583">
        <f>E30-E53</f>
        <v>32647</v>
      </c>
      <c r="F40" s="593">
        <f>F30-F53</f>
        <v>33412</v>
      </c>
      <c r="G40" s="583">
        <f>G22*G41</f>
        <v>33387.403628601918</v>
      </c>
      <c r="H40" s="583">
        <f>H22*H41</f>
        <v>33877.423664802562</v>
      </c>
      <c r="I40" s="583"/>
      <c r="J40" s="583">
        <f>J22*J41</f>
        <v>34539.823094979416</v>
      </c>
      <c r="K40" s="583">
        <f>K22*K41</f>
        <v>35356.582574550841</v>
      </c>
      <c r="L40" s="593">
        <f>L22*L41</f>
        <v>34199.409281820961</v>
      </c>
    </row>
    <row r="41" spans="1:60" ht="14.25" customHeight="1">
      <c r="A41" s="578"/>
      <c r="B41" s="614" t="s">
        <v>460</v>
      </c>
      <c r="C41" s="579"/>
      <c r="D41" s="594"/>
      <c r="E41" s="584"/>
      <c r="F41" s="595">
        <f>F40/F22</f>
        <v>2.377232301672003E-2</v>
      </c>
      <c r="G41" s="584">
        <f>F41+($L$41-F41)/5</f>
        <v>2.3017858413376023E-2</v>
      </c>
      <c r="H41" s="584">
        <f>G41+($L$41-G41)/5</f>
        <v>2.2414286730700818E-2</v>
      </c>
      <c r="I41" s="584"/>
      <c r="J41" s="584">
        <f>H41+($L$41-H41)/5</f>
        <v>2.1931429384560653E-2</v>
      </c>
      <c r="K41" s="584">
        <f>J41+($L$41-J41)/5</f>
        <v>2.1545143507648523E-2</v>
      </c>
      <c r="L41" s="595">
        <v>0.02</v>
      </c>
      <c r="M41" s="584"/>
      <c r="N41" s="578"/>
      <c r="O41" s="579"/>
      <c r="P41" s="578"/>
      <c r="Q41" s="578"/>
      <c r="R41" s="578"/>
      <c r="S41" s="578"/>
      <c r="T41" s="578"/>
      <c r="U41" s="579"/>
      <c r="V41" s="578"/>
      <c r="W41" s="578"/>
      <c r="X41" s="578"/>
      <c r="Y41" s="578"/>
      <c r="Z41" s="578"/>
      <c r="AA41" s="579"/>
      <c r="AB41" s="578"/>
      <c r="AC41" s="578"/>
      <c r="AD41" s="578"/>
      <c r="AE41" s="578"/>
      <c r="AF41" s="578"/>
      <c r="AG41" s="579"/>
      <c r="AH41" s="578"/>
      <c r="AI41" s="579"/>
      <c r="AJ41" s="580"/>
      <c r="AK41" s="578"/>
      <c r="AL41" s="578"/>
      <c r="AM41" s="578"/>
      <c r="AN41" s="578"/>
      <c r="AO41" s="578"/>
      <c r="AP41" s="578"/>
      <c r="AQ41" s="578"/>
      <c r="AR41" s="578"/>
      <c r="AS41" s="581"/>
      <c r="AT41" s="581"/>
      <c r="AU41" s="581"/>
      <c r="AV41" s="582"/>
      <c r="AW41" s="582"/>
      <c r="AX41" s="582"/>
      <c r="AY41" s="582"/>
      <c r="AZ41" s="582"/>
      <c r="BA41" s="578"/>
      <c r="BB41" s="578"/>
      <c r="BC41" s="578"/>
      <c r="BD41" s="578"/>
      <c r="BE41" s="578"/>
      <c r="BF41" s="578"/>
      <c r="BG41" s="578"/>
      <c r="BH41" s="578"/>
    </row>
    <row r="42" spans="1:60" ht="14.25" customHeight="1">
      <c r="B42" s="590" t="s">
        <v>462</v>
      </c>
      <c r="D42" s="592">
        <f>D31-D55</f>
        <v>9297</v>
      </c>
      <c r="E42" s="583">
        <f>E31-E55</f>
        <v>9368</v>
      </c>
      <c r="F42" s="593">
        <f>F31-F55</f>
        <v>8822</v>
      </c>
      <c r="G42" s="583">
        <f>G22*G43</f>
        <v>8734.0637139807895</v>
      </c>
      <c r="H42" s="583">
        <f>H22*H43</f>
        <v>8792.1365119743859</v>
      </c>
      <c r="I42" s="583"/>
      <c r="J42" s="583">
        <f>J22*J43</f>
        <v>8904.0256783818495</v>
      </c>
      <c r="K42" s="583">
        <f>K22*K43</f>
        <v>9063.4423161431096</v>
      </c>
      <c r="L42" s="593">
        <f>L22*L43</f>
        <v>8549.8523204552403</v>
      </c>
    </row>
    <row r="43" spans="1:60" ht="14.25" customHeight="1">
      <c r="A43" s="578"/>
      <c r="B43" s="614" t="s">
        <v>460</v>
      </c>
      <c r="C43" s="579"/>
      <c r="D43" s="594"/>
      <c r="E43" s="584"/>
      <c r="F43" s="595">
        <f>F42/F22</f>
        <v>6.2767698327997152E-3</v>
      </c>
      <c r="G43" s="584">
        <f>F43+($L$43-F43)/5</f>
        <v>6.0214158662397722E-3</v>
      </c>
      <c r="H43" s="584">
        <f>G43+($L$43-G43)/5</f>
        <v>5.8171326929918176E-3</v>
      </c>
      <c r="I43" s="584"/>
      <c r="J43" s="584">
        <f>H43+($L$43-H43)/5</f>
        <v>5.6537061543934543E-3</v>
      </c>
      <c r="K43" s="584">
        <f>J43+($L$43-J43)/5</f>
        <v>5.5229649235147638E-3</v>
      </c>
      <c r="L43" s="595">
        <v>5.0000000000000001E-3</v>
      </c>
      <c r="M43" s="584"/>
      <c r="N43" s="578"/>
      <c r="O43" s="579"/>
      <c r="P43" s="578"/>
      <c r="Q43" s="578"/>
      <c r="R43" s="578"/>
      <c r="S43" s="578"/>
      <c r="T43" s="578"/>
      <c r="U43" s="579"/>
      <c r="V43" s="578"/>
      <c r="W43" s="578"/>
      <c r="X43" s="578"/>
      <c r="Y43" s="578"/>
      <c r="Z43" s="578"/>
      <c r="AA43" s="579"/>
      <c r="AB43" s="578"/>
      <c r="AC43" s="578"/>
      <c r="AD43" s="578"/>
      <c r="AE43" s="578"/>
      <c r="AF43" s="578"/>
      <c r="AG43" s="579"/>
      <c r="AH43" s="578"/>
      <c r="AI43" s="579"/>
      <c r="AJ43" s="580"/>
      <c r="AK43" s="578"/>
      <c r="AL43" s="578"/>
      <c r="AM43" s="578"/>
      <c r="AN43" s="578"/>
      <c r="AO43" s="578"/>
      <c r="AP43" s="578"/>
      <c r="AQ43" s="578"/>
      <c r="AR43" s="578"/>
      <c r="AS43" s="581"/>
      <c r="AT43" s="581"/>
      <c r="AU43" s="581"/>
      <c r="AV43" s="582"/>
      <c r="AW43" s="582"/>
      <c r="AX43" s="582"/>
      <c r="AY43" s="582"/>
      <c r="AZ43" s="582"/>
      <c r="BA43" s="578"/>
      <c r="BB43" s="578"/>
      <c r="BC43" s="578"/>
      <c r="BD43" s="578"/>
      <c r="BE43" s="578"/>
      <c r="BF43" s="578"/>
      <c r="BG43" s="578"/>
      <c r="BH43" s="578"/>
    </row>
    <row r="44" spans="1:60" ht="14.25" customHeight="1">
      <c r="B44" s="590" t="s">
        <v>463</v>
      </c>
      <c r="D44" s="592">
        <v>253</v>
      </c>
      <c r="E44" s="583">
        <v>301</v>
      </c>
      <c r="F44" s="593">
        <v>260</v>
      </c>
      <c r="G44" s="583">
        <f>F44*(1+$N$47)</f>
        <v>267.8</v>
      </c>
      <c r="H44" s="583">
        <f>G44*(1+$N$47)</f>
        <v>275.834</v>
      </c>
      <c r="I44" s="583"/>
      <c r="J44" s="583">
        <f>H44*(1+$N$47)</f>
        <v>284.10901999999999</v>
      </c>
      <c r="K44" s="583">
        <f>J44*(1+$N$47)</f>
        <v>292.63229059999998</v>
      </c>
      <c r="L44" s="687">
        <f>K44*(1+$N$47)</f>
        <v>301.41125931799996</v>
      </c>
      <c r="AS44" s="498">
        <v>2022</v>
      </c>
      <c r="AT44" s="498">
        <f>+AS44+1</f>
        <v>2023</v>
      </c>
      <c r="AU44" s="498">
        <f t="shared" ref="AU44:AZ44" si="2">+AT44+1</f>
        <v>2024</v>
      </c>
      <c r="AV44" s="499">
        <f t="shared" si="2"/>
        <v>2025</v>
      </c>
      <c r="AW44" s="499">
        <f t="shared" si="2"/>
        <v>2026</v>
      </c>
      <c r="AX44" s="499">
        <f t="shared" si="2"/>
        <v>2027</v>
      </c>
      <c r="AY44" s="499">
        <f t="shared" si="2"/>
        <v>2028</v>
      </c>
      <c r="AZ44" s="499">
        <f t="shared" si="2"/>
        <v>2029</v>
      </c>
    </row>
    <row r="45" spans="1:60" ht="14.25" customHeight="1">
      <c r="A45" s="578"/>
      <c r="B45" s="614" t="s">
        <v>464</v>
      </c>
      <c r="C45" s="579"/>
      <c r="D45" s="594"/>
      <c r="E45" s="584"/>
      <c r="F45" s="595"/>
      <c r="G45" s="584">
        <f>G44/F44-1</f>
        <v>3.0000000000000027E-2</v>
      </c>
      <c r="H45" s="584">
        <f>H44/G44-1</f>
        <v>3.0000000000000027E-2</v>
      </c>
      <c r="I45" s="584"/>
      <c r="J45" s="584">
        <f>J44/H44-1</f>
        <v>3.0000000000000027E-2</v>
      </c>
      <c r="K45" s="584">
        <f>K44/J44-1</f>
        <v>3.0000000000000027E-2</v>
      </c>
      <c r="L45" s="665">
        <f>L44/K44-1</f>
        <v>3.0000000000000027E-2</v>
      </c>
      <c r="M45" s="584"/>
      <c r="N45" s="578"/>
      <c r="O45" s="579"/>
      <c r="P45" s="578"/>
      <c r="Q45" s="578"/>
      <c r="R45" s="578"/>
      <c r="S45" s="578"/>
      <c r="T45" s="578"/>
      <c r="U45" s="579"/>
      <c r="V45" s="578"/>
      <c r="W45" s="578"/>
      <c r="X45" s="578"/>
      <c r="Y45" s="578"/>
      <c r="Z45" s="578"/>
      <c r="AA45" s="579"/>
      <c r="AB45" s="578"/>
      <c r="AC45" s="578"/>
      <c r="AD45" s="578"/>
      <c r="AE45" s="578"/>
      <c r="AF45" s="578"/>
      <c r="AG45" s="579"/>
      <c r="AH45" s="578"/>
      <c r="AI45" s="579"/>
      <c r="AJ45" s="580"/>
      <c r="AK45" s="578"/>
      <c r="AL45" s="578"/>
      <c r="AM45" s="578"/>
      <c r="AN45" s="578"/>
      <c r="AO45" s="578"/>
      <c r="AP45" s="578"/>
      <c r="AQ45" s="578"/>
      <c r="AR45" s="578"/>
      <c r="AS45" s="581"/>
      <c r="AT45" s="581"/>
      <c r="AU45" s="581"/>
      <c r="AV45" s="582"/>
      <c r="AW45" s="582"/>
      <c r="AX45" s="582"/>
      <c r="AY45" s="582"/>
      <c r="AZ45" s="582"/>
      <c r="BA45" s="578"/>
      <c r="BB45" s="578"/>
      <c r="BC45" s="578"/>
      <c r="BD45" s="578"/>
      <c r="BE45" s="578"/>
      <c r="BF45" s="578"/>
      <c r="BG45" s="578"/>
      <c r="BH45" s="578"/>
    </row>
    <row r="46" spans="1:60" ht="14.25" customHeight="1">
      <c r="A46" s="578"/>
      <c r="B46" s="590" t="s">
        <v>254</v>
      </c>
      <c r="C46" s="579"/>
      <c r="D46" s="592">
        <f>64741- SUM(D38,D40,D42,D44)</f>
        <v>2566</v>
      </c>
      <c r="E46" s="583">
        <f>64890- SUM(E38,E40,E42,E44)</f>
        <v>2921</v>
      </c>
      <c r="F46" s="593">
        <f>63531- SUM(F38,F40,F42,F44)</f>
        <v>2471</v>
      </c>
      <c r="G46" s="583">
        <f>(G38+G40+G42+G44)*G47</f>
        <v>2647.3890940424608</v>
      </c>
      <c r="H46" s="583">
        <f>(H38+H40+H42+H44)*H47</f>
        <v>2738.7506166198373</v>
      </c>
      <c r="I46" s="583"/>
      <c r="J46" s="583">
        <f>(J38+J40+J42+J44)*J47</f>
        <v>2730.6676916165529</v>
      </c>
      <c r="K46" s="583">
        <f>(K38+K40+K42+K44)*K47</f>
        <v>2846.4521747817312</v>
      </c>
      <c r="L46" s="583">
        <f>(L38+L40+L42+L44)*L47</f>
        <v>2797.9043200316869</v>
      </c>
      <c r="M46" s="584"/>
      <c r="N46" s="578" t="s">
        <v>465</v>
      </c>
      <c r="O46" s="579"/>
      <c r="P46" s="578"/>
      <c r="Q46" s="578"/>
      <c r="R46" s="578"/>
      <c r="S46" s="578"/>
      <c r="T46" s="578"/>
      <c r="U46" s="579"/>
      <c r="V46" s="578"/>
      <c r="W46" s="578"/>
      <c r="X46" s="578"/>
      <c r="Y46" s="578"/>
      <c r="Z46" s="578"/>
      <c r="AA46" s="579"/>
      <c r="AB46" s="578"/>
      <c r="AC46" s="578"/>
      <c r="AD46" s="578"/>
      <c r="AE46" s="578"/>
      <c r="AF46" s="578"/>
      <c r="AG46" s="579"/>
      <c r="AH46" s="578"/>
      <c r="AI46" s="579"/>
      <c r="AJ46" s="580"/>
      <c r="AK46" s="578"/>
      <c r="AL46" s="578"/>
      <c r="AM46" s="578"/>
      <c r="AN46" s="578"/>
      <c r="AO46" s="578"/>
      <c r="AP46" s="578"/>
      <c r="AQ46" s="578"/>
      <c r="AR46" s="578"/>
      <c r="AS46" s="581"/>
      <c r="AT46" s="581"/>
      <c r="AU46" s="581"/>
      <c r="AV46" s="582"/>
      <c r="AW46" s="582"/>
      <c r="AX46" s="582"/>
      <c r="AY46" s="582"/>
      <c r="AZ46" s="582"/>
      <c r="BA46" s="578"/>
      <c r="BB46" s="578"/>
      <c r="BC46" s="578"/>
      <c r="BD46" s="578"/>
      <c r="BE46" s="578"/>
      <c r="BF46" s="578"/>
      <c r="BG46" s="578"/>
      <c r="BH46" s="578"/>
    </row>
    <row r="47" spans="1:60" ht="14.25" customHeight="1">
      <c r="A47" s="578"/>
      <c r="B47" s="637" t="s">
        <v>466</v>
      </c>
      <c r="C47" s="638"/>
      <c r="D47" s="671">
        <f>D46/SUM(D38,D40,D42,D44)</f>
        <v>4.1270607157217531E-2</v>
      </c>
      <c r="E47" s="671">
        <f>E46/SUM(E38,E40,E42,E44)</f>
        <v>4.7136471461537217E-2</v>
      </c>
      <c r="F47" s="671">
        <f>F46/SUM(F38,F40,F42,F44)</f>
        <v>4.0468391745823777E-2</v>
      </c>
      <c r="G47" s="672">
        <f>AVERAGE(D47:F47)</f>
        <v>4.2958490121526173E-2</v>
      </c>
      <c r="H47" s="672">
        <f>AVERAGE(E47:G47)</f>
        <v>4.352111777629572E-2</v>
      </c>
      <c r="I47" s="672"/>
      <c r="J47" s="672">
        <f>AVERAGE(F47:H47)</f>
        <v>4.2315999881215226E-2</v>
      </c>
      <c r="K47" s="672">
        <f>AVERAGE(G47:H47,J47)</f>
        <v>4.293186925967904E-2</v>
      </c>
      <c r="L47" s="672">
        <f>AVERAGE(J47:K47,H47)</f>
        <v>4.2922995639063329E-2</v>
      </c>
      <c r="M47" s="584"/>
      <c r="N47" s="668">
        <v>0.03</v>
      </c>
      <c r="O47" s="579"/>
      <c r="P47" s="578"/>
      <c r="Q47" s="578"/>
      <c r="R47" s="578"/>
      <c r="S47" s="578"/>
      <c r="T47" s="578"/>
      <c r="U47" s="579"/>
      <c r="V47" s="578"/>
      <c r="W47" s="578"/>
      <c r="X47" s="578"/>
      <c r="Y47" s="578"/>
      <c r="Z47" s="578"/>
      <c r="AA47" s="579"/>
      <c r="AB47" s="578"/>
      <c r="AC47" s="578"/>
      <c r="AD47" s="578"/>
      <c r="AE47" s="578"/>
      <c r="AF47" s="578"/>
      <c r="AG47" s="579"/>
      <c r="AH47" s="578"/>
      <c r="AI47" s="579"/>
      <c r="AJ47" s="580"/>
      <c r="AK47" s="578"/>
      <c r="AL47" s="578"/>
      <c r="AM47" s="578"/>
      <c r="AN47" s="578"/>
      <c r="AO47" s="578"/>
      <c r="AP47" s="578"/>
      <c r="AQ47" s="578"/>
      <c r="AR47" s="578"/>
      <c r="AS47" s="581"/>
      <c r="AT47" s="581"/>
      <c r="AU47" s="581"/>
      <c r="AV47" s="582"/>
      <c r="AW47" s="582"/>
      <c r="AX47" s="582"/>
      <c r="AY47" s="582"/>
      <c r="AZ47" s="582"/>
      <c r="BA47" s="578"/>
      <c r="BB47" s="578"/>
      <c r="BC47" s="578"/>
      <c r="BD47" s="578"/>
      <c r="BE47" s="578"/>
      <c r="BF47" s="578"/>
      <c r="BG47" s="578"/>
      <c r="BH47" s="578"/>
    </row>
    <row r="48" spans="1:60" ht="14.25" customHeight="1">
      <c r="B48" s="615" t="s">
        <v>439</v>
      </c>
      <c r="C48" s="616"/>
      <c r="D48" s="617">
        <f>SUM(D38,D40,D42,D44,D46)</f>
        <v>64741</v>
      </c>
      <c r="E48" s="642">
        <f>SUM(E38,E40,E42,E44,E46)</f>
        <v>64890</v>
      </c>
      <c r="F48" s="643">
        <f>SUM(F38,F40,F42,F44,F46)</f>
        <v>63531</v>
      </c>
      <c r="G48" s="642">
        <f>SUM(G38,G40,G42,G44,G46)</f>
        <v>64274.068396625175</v>
      </c>
      <c r="H48" s="642">
        <f>SUM(H38,H40,H42,H44,H46)</f>
        <v>65667.9848954216</v>
      </c>
      <c r="I48" s="642"/>
      <c r="J48" s="642">
        <f>SUM(J38,J40,J42,J44,J46)</f>
        <v>67261.050981194494</v>
      </c>
      <c r="K48" s="642">
        <f>SUM(K38,K40,K42,K44,K46)</f>
        <v>69148.065029432721</v>
      </c>
      <c r="L48" s="643">
        <f>SUM(L38,L40,L42,L44,L46)</f>
        <v>67982.178585487942</v>
      </c>
      <c r="AS48" s="498"/>
      <c r="AT48" s="498"/>
      <c r="AU48" s="498"/>
      <c r="AV48" s="499"/>
      <c r="AW48" s="499"/>
      <c r="AX48" s="499"/>
      <c r="AY48" s="499"/>
      <c r="AZ48" s="499"/>
    </row>
    <row r="49" spans="1:60" ht="14.25" customHeight="1">
      <c r="D49" s="590"/>
      <c r="F49" s="591"/>
      <c r="AS49" s="498"/>
      <c r="AT49" s="498"/>
      <c r="AU49" s="498"/>
      <c r="AV49" s="499"/>
      <c r="AW49" s="499"/>
      <c r="AX49" s="499"/>
      <c r="AY49" s="499"/>
      <c r="AZ49" s="499"/>
    </row>
    <row r="50" spans="1:60" ht="14.25" customHeight="1">
      <c r="B50" s="610" t="s">
        <v>258</v>
      </c>
      <c r="C50" s="611"/>
      <c r="D50" s="610"/>
      <c r="E50" s="612"/>
      <c r="F50" s="613"/>
      <c r="G50" s="612"/>
      <c r="H50" s="612"/>
      <c r="I50" s="611"/>
      <c r="J50" s="612"/>
      <c r="K50" s="612"/>
      <c r="L50" s="613"/>
      <c r="AS50" s="498"/>
      <c r="AT50" s="498"/>
      <c r="AU50" s="498"/>
      <c r="AV50" s="499"/>
      <c r="AW50" s="499"/>
      <c r="AX50" s="499"/>
      <c r="AY50" s="499"/>
      <c r="AZ50" s="499"/>
    </row>
    <row r="51" spans="1:60" ht="14.25" customHeight="1">
      <c r="B51" s="590" t="s">
        <v>459</v>
      </c>
      <c r="D51" s="592">
        <v>25564</v>
      </c>
      <c r="E51" s="583">
        <v>23090</v>
      </c>
      <c r="F51" s="593">
        <v>22291</v>
      </c>
      <c r="G51" s="583">
        <f>G18*G52</f>
        <v>23233.504000000001</v>
      </c>
      <c r="H51" s="583">
        <f>H18*H52</f>
        <v>24292.591552000002</v>
      </c>
      <c r="I51" s="583"/>
      <c r="J51" s="583">
        <f>J18*J52</f>
        <v>25466.132605695999</v>
      </c>
      <c r="K51" s="583">
        <f>K18*K52</f>
        <v>26753.256317406212</v>
      </c>
      <c r="L51" s="593">
        <f>L18*L52</f>
        <v>27337.272099212805</v>
      </c>
      <c r="AS51" s="498"/>
      <c r="AT51" s="498"/>
      <c r="AU51" s="498"/>
      <c r="AV51" s="499"/>
      <c r="AW51" s="499"/>
      <c r="AX51" s="499"/>
      <c r="AY51" s="499"/>
      <c r="AZ51" s="499"/>
    </row>
    <row r="52" spans="1:60" s="578" customFormat="1" ht="14.25" customHeight="1">
      <c r="B52" s="614" t="s">
        <v>460</v>
      </c>
      <c r="C52" s="579"/>
      <c r="D52" s="594">
        <f>D51/D18</f>
        <v>0.11248760681417662</v>
      </c>
      <c r="E52" s="584">
        <f t="shared" ref="E52:F52" si="3">E51/E18</f>
        <v>9.5850401409829644E-2</v>
      </c>
      <c r="F52" s="595">
        <f t="shared" si="3"/>
        <v>8.7295868415899744E-2</v>
      </c>
      <c r="G52" s="584">
        <f>F52+($L$52-F52)/5</f>
        <v>8.5836694732719793E-2</v>
      </c>
      <c r="H52" s="584">
        <f>G52+($L$52-G52)/5</f>
        <v>8.4669355786175834E-2</v>
      </c>
      <c r="I52" s="584"/>
      <c r="J52" s="584">
        <f>H52+($L$52-H52)/5</f>
        <v>8.3735484628940662E-2</v>
      </c>
      <c r="K52" s="584">
        <f>J52+($L$52-J52)/5</f>
        <v>8.2988387703152533E-2</v>
      </c>
      <c r="L52" s="595">
        <v>0.08</v>
      </c>
      <c r="M52" s="584"/>
      <c r="O52" s="579"/>
      <c r="U52" s="579"/>
      <c r="AA52" s="579"/>
      <c r="AG52" s="579"/>
      <c r="AI52" s="579"/>
      <c r="AJ52" s="580"/>
      <c r="AS52" s="581"/>
      <c r="AT52" s="581"/>
      <c r="AU52" s="581"/>
      <c r="AV52" s="582"/>
      <c r="AW52" s="582"/>
      <c r="AX52" s="582"/>
      <c r="AY52" s="582"/>
      <c r="AZ52" s="582"/>
    </row>
    <row r="53" spans="1:60" ht="14.25" customHeight="1">
      <c r="B53" s="590" t="s">
        <v>461</v>
      </c>
      <c r="D53" s="592">
        <v>857</v>
      </c>
      <c r="E53" s="583">
        <v>860</v>
      </c>
      <c r="F53" s="593">
        <v>844</v>
      </c>
      <c r="G53" s="673">
        <f>G54*G24</f>
        <v>851.10580000000004</v>
      </c>
      <c r="H53" s="673">
        <f>H54*H24</f>
        <v>872.05177508291706</v>
      </c>
      <c r="I53" s="673"/>
      <c r="J53" s="673">
        <f>J54*J24</f>
        <v>897.79096982875399</v>
      </c>
      <c r="K53" s="673">
        <f>K54*K24</f>
        <v>927.98464716817398</v>
      </c>
      <c r="L53" s="669">
        <f>L54*L24</f>
        <v>906.30083608787368</v>
      </c>
      <c r="AS53" s="498"/>
      <c r="AT53" s="498"/>
      <c r="AU53" s="498"/>
      <c r="AV53" s="499"/>
      <c r="AW53" s="499"/>
      <c r="AX53" s="499"/>
      <c r="AY53" s="499"/>
      <c r="AZ53" s="499"/>
    </row>
    <row r="54" spans="1:60" ht="14.25" customHeight="1">
      <c r="A54" s="578"/>
      <c r="B54" s="614" t="s">
        <v>460</v>
      </c>
      <c r="C54" s="579"/>
      <c r="D54" s="607">
        <f>D53/D24</f>
        <v>1.9640646260926569E-4</v>
      </c>
      <c r="E54" s="674">
        <f>E53/E24</f>
        <v>1.8924051830814488E-4</v>
      </c>
      <c r="F54" s="670">
        <f>F53/F24</f>
        <v>1.7831950502079319E-4</v>
      </c>
      <c r="G54" s="674">
        <f>F54+($L$54-F54)/5</f>
        <v>1.7265560401663455E-4</v>
      </c>
      <c r="H54" s="674">
        <f>G54+($L$54-G54)/5</f>
        <v>1.6812448321330763E-4</v>
      </c>
      <c r="I54" s="674"/>
      <c r="J54" s="674">
        <f>H54+($L$54-H54)/5</f>
        <v>1.6449958657064611E-4</v>
      </c>
      <c r="K54" s="674">
        <f>J54+($L$54-J54)/5</f>
        <v>1.6159966925651689E-4</v>
      </c>
      <c r="L54" s="670">
        <v>1.4999999999999999E-4</v>
      </c>
      <c r="M54" s="578"/>
      <c r="N54" s="578"/>
      <c r="O54" s="579"/>
      <c r="P54" s="578"/>
      <c r="Q54" s="578"/>
      <c r="R54" s="578"/>
      <c r="S54" s="578"/>
      <c r="T54" s="578"/>
      <c r="U54" s="579"/>
      <c r="V54" s="578"/>
      <c r="W54" s="578"/>
      <c r="X54" s="578"/>
      <c r="Y54" s="578"/>
      <c r="Z54" s="578"/>
      <c r="AA54" s="579"/>
      <c r="AB54" s="578"/>
      <c r="AC54" s="578"/>
      <c r="AD54" s="578"/>
      <c r="AE54" s="578"/>
      <c r="AF54" s="578"/>
      <c r="AG54" s="579"/>
      <c r="AH54" s="578"/>
      <c r="AI54" s="579"/>
      <c r="AJ54" s="580"/>
      <c r="AK54" s="578"/>
      <c r="AL54" s="578"/>
      <c r="AM54" s="578"/>
      <c r="AN54" s="578"/>
      <c r="AO54" s="578"/>
      <c r="AP54" s="578"/>
      <c r="AQ54" s="578"/>
      <c r="AR54" s="578"/>
      <c r="AS54" s="581"/>
      <c r="AT54" s="581"/>
      <c r="AU54" s="581"/>
      <c r="AV54" s="582"/>
      <c r="AW54" s="582"/>
      <c r="AX54" s="582"/>
      <c r="AY54" s="582"/>
      <c r="AZ54" s="582"/>
      <c r="BA54" s="578"/>
      <c r="BB54" s="578"/>
      <c r="BC54" s="578"/>
      <c r="BD54" s="578"/>
      <c r="BE54" s="578"/>
      <c r="BF54" s="578"/>
      <c r="BG54" s="578"/>
      <c r="BH54" s="578"/>
    </row>
    <row r="55" spans="1:60" ht="14.25" customHeight="1">
      <c r="B55" s="590" t="s">
        <v>462</v>
      </c>
      <c r="D55" s="592">
        <v>235</v>
      </c>
      <c r="E55" s="583">
        <v>264</v>
      </c>
      <c r="F55" s="593">
        <v>260</v>
      </c>
      <c r="G55" s="673">
        <f>G56*G24</f>
        <v>256.06800000000004</v>
      </c>
      <c r="H55" s="673">
        <f>H56*H24</f>
        <v>257.04836021227305</v>
      </c>
      <c r="I55" s="673"/>
      <c r="J55" s="673">
        <f>J56*J24</f>
        <v>260.03511117258728</v>
      </c>
      <c r="K55" s="673">
        <f>K56*K24</f>
        <v>264.82285167124638</v>
      </c>
      <c r="L55" s="669">
        <f>L56*L24</f>
        <v>241.68022295676636</v>
      </c>
      <c r="AS55" s="498"/>
      <c r="AT55" s="498"/>
      <c r="AU55" s="498"/>
      <c r="AV55" s="499"/>
      <c r="AW55" s="499"/>
      <c r="AX55" s="499"/>
      <c r="AY55" s="499"/>
      <c r="AZ55" s="499"/>
    </row>
    <row r="56" spans="1:60" ht="14.25" customHeight="1">
      <c r="A56" s="578"/>
      <c r="B56" s="614" t="s">
        <v>460</v>
      </c>
      <c r="C56" s="579"/>
      <c r="D56" s="607">
        <f>D55/D24</f>
        <v>5.3857081345597944E-5</v>
      </c>
      <c r="E56" s="674">
        <f>E55/E24</f>
        <v>5.8092438178314242E-5</v>
      </c>
      <c r="F56" s="670">
        <f>F55/F24</f>
        <v>5.4932548940054777E-5</v>
      </c>
      <c r="G56" s="674">
        <f>F56+($L$56-F56)/5</f>
        <v>5.1946039152043824E-5</v>
      </c>
      <c r="H56" s="674">
        <f>G56+($L$56-G56)/5</f>
        <v>4.9556831321635057E-5</v>
      </c>
      <c r="I56" s="674"/>
      <c r="J56" s="674">
        <f>H56+($L$56-H56)/5</f>
        <v>4.7645465057308048E-5</v>
      </c>
      <c r="K56" s="674">
        <f>J56+($L$56-J56)/5</f>
        <v>4.6116372045846439E-5</v>
      </c>
      <c r="L56" s="670">
        <v>4.0000000000000003E-5</v>
      </c>
      <c r="M56" s="578"/>
      <c r="N56" s="578"/>
      <c r="O56" s="579"/>
      <c r="P56" s="578"/>
      <c r="Q56" s="578"/>
      <c r="R56" s="578"/>
      <c r="S56" s="578"/>
      <c r="T56" s="578"/>
      <c r="U56" s="579"/>
      <c r="V56" s="578"/>
      <c r="W56" s="578"/>
      <c r="X56" s="578"/>
      <c r="Y56" s="578"/>
      <c r="Z56" s="578"/>
      <c r="AA56" s="579"/>
      <c r="AB56" s="578"/>
      <c r="AC56" s="578"/>
      <c r="AD56" s="578"/>
      <c r="AE56" s="578"/>
      <c r="AF56" s="578"/>
      <c r="AG56" s="579"/>
      <c r="AH56" s="578"/>
      <c r="AI56" s="579"/>
      <c r="AJ56" s="580"/>
      <c r="AK56" s="578"/>
      <c r="AL56" s="578"/>
      <c r="AM56" s="578"/>
      <c r="AN56" s="578"/>
      <c r="AO56" s="578"/>
      <c r="AP56" s="578"/>
      <c r="AQ56" s="578"/>
      <c r="AR56" s="578"/>
      <c r="AS56" s="581"/>
      <c r="AT56" s="581"/>
      <c r="AU56" s="581"/>
      <c r="AV56" s="582"/>
      <c r="AW56" s="582"/>
      <c r="AX56" s="582"/>
      <c r="AY56" s="582"/>
      <c r="AZ56" s="582"/>
      <c r="BA56" s="578"/>
      <c r="BB56" s="578"/>
      <c r="BC56" s="578"/>
      <c r="BD56" s="578"/>
      <c r="BE56" s="578"/>
      <c r="BF56" s="578"/>
      <c r="BG56" s="578"/>
      <c r="BH56" s="578"/>
    </row>
    <row r="57" spans="1:60" ht="14.25" customHeight="1">
      <c r="A57" s="578"/>
      <c r="B57" s="590" t="s">
        <v>254</v>
      </c>
      <c r="C57" s="579"/>
      <c r="D57" s="592">
        <f>D33-D46</f>
        <v>2115</v>
      </c>
      <c r="E57" s="583">
        <f>E33-E46</f>
        <v>1051</v>
      </c>
      <c r="F57" s="593">
        <f>F33-F46</f>
        <v>767</v>
      </c>
      <c r="G57" s="583">
        <f>(G51+G53+G55)*G58</f>
        <v>1261.9315903679455</v>
      </c>
      <c r="H57" s="583">
        <f>(H51+H53+H55)*H58</f>
        <v>1084.9467820224786</v>
      </c>
      <c r="I57" s="583"/>
      <c r="J57" s="583">
        <f>(J51+J53+J55)*J58</f>
        <v>1129.8083683137356</v>
      </c>
      <c r="K57" s="583">
        <f>(K51+K53+K55)*K58</f>
        <v>1275.815355337244</v>
      </c>
      <c r="L57" s="583">
        <f>(L51+L53+L55)*L58</f>
        <v>1241.6393757501771</v>
      </c>
      <c r="M57" s="578"/>
      <c r="N57" s="578"/>
      <c r="O57" s="579"/>
      <c r="P57" s="578"/>
      <c r="Q57" s="578"/>
      <c r="R57" s="578"/>
      <c r="S57" s="578"/>
      <c r="T57" s="578"/>
      <c r="U57" s="579"/>
      <c r="V57" s="578"/>
      <c r="W57" s="578"/>
      <c r="X57" s="578"/>
      <c r="Y57" s="578"/>
      <c r="Z57" s="578"/>
      <c r="AA57" s="579"/>
      <c r="AB57" s="578"/>
      <c r="AC57" s="578"/>
      <c r="AD57" s="578"/>
      <c r="AE57" s="578"/>
      <c r="AF57" s="578"/>
      <c r="AG57" s="579"/>
      <c r="AH57" s="578"/>
      <c r="AI57" s="579"/>
      <c r="AJ57" s="580"/>
      <c r="AK57" s="578"/>
      <c r="AL57" s="578"/>
      <c r="AM57" s="578"/>
      <c r="AN57" s="578"/>
      <c r="AO57" s="578"/>
      <c r="AP57" s="578"/>
      <c r="AQ57" s="578"/>
      <c r="AR57" s="578"/>
      <c r="AS57" s="581"/>
      <c r="AT57" s="581"/>
      <c r="AU57" s="581"/>
      <c r="AV57" s="582"/>
      <c r="AW57" s="582"/>
      <c r="AX57" s="582"/>
      <c r="AY57" s="582"/>
      <c r="AZ57" s="582"/>
      <c r="BA57" s="578"/>
      <c r="BB57" s="578"/>
      <c r="BC57" s="578"/>
      <c r="BD57" s="578"/>
      <c r="BE57" s="578"/>
      <c r="BF57" s="578"/>
      <c r="BG57" s="578"/>
      <c r="BH57" s="578"/>
    </row>
    <row r="58" spans="1:60" ht="14.25" customHeight="1">
      <c r="A58" s="578"/>
      <c r="B58" s="637" t="s">
        <v>466</v>
      </c>
      <c r="C58" s="638"/>
      <c r="D58" s="671">
        <f>D57/SUM(D49,D51,D53,D55)</f>
        <v>7.9344237695078035E-2</v>
      </c>
      <c r="E58" s="671">
        <f>E57/SUM(E49,E51,E53,E55)</f>
        <v>4.3404641942677791E-2</v>
      </c>
      <c r="F58" s="671">
        <f>F57/SUM(F49,F51,F53,F55)</f>
        <v>3.2784783073306262E-2</v>
      </c>
      <c r="G58" s="672">
        <f>AVERAGE(D58:F58)</f>
        <v>5.1844554237020696E-2</v>
      </c>
      <c r="H58" s="672">
        <f>AVERAGE(E58:G58)</f>
        <v>4.2677993084334918E-2</v>
      </c>
      <c r="I58" s="672"/>
      <c r="J58" s="672">
        <f>AVERAGE(F58:H58)</f>
        <v>4.243577679822063E-2</v>
      </c>
      <c r="K58" s="672">
        <f>AVERAGE(G58:H58,J58)</f>
        <v>4.5652774706525422E-2</v>
      </c>
      <c r="L58" s="672">
        <f>AVERAGE(J58:K58,H58)</f>
        <v>4.3588848196360323E-2</v>
      </c>
      <c r="M58" s="578"/>
      <c r="N58" s="578"/>
      <c r="O58" s="579"/>
      <c r="P58" s="578"/>
      <c r="Q58" s="578"/>
      <c r="R58" s="578"/>
      <c r="S58" s="578"/>
      <c r="T58" s="578"/>
      <c r="U58" s="579"/>
      <c r="V58" s="578"/>
      <c r="W58" s="578"/>
      <c r="X58" s="578"/>
      <c r="Y58" s="578"/>
      <c r="Z58" s="578"/>
      <c r="AA58" s="579"/>
      <c r="AB58" s="578"/>
      <c r="AC58" s="578"/>
      <c r="AD58" s="578"/>
      <c r="AE58" s="578"/>
      <c r="AF58" s="578"/>
      <c r="AG58" s="579"/>
      <c r="AH58" s="578"/>
      <c r="AI58" s="579"/>
      <c r="AJ58" s="580"/>
      <c r="AK58" s="578"/>
      <c r="AL58" s="578"/>
      <c r="AM58" s="578"/>
      <c r="AN58" s="578"/>
      <c r="AO58" s="578"/>
      <c r="AP58" s="578"/>
      <c r="AQ58" s="578"/>
      <c r="AR58" s="578"/>
      <c r="AS58" s="581"/>
      <c r="AT58" s="581"/>
      <c r="AU58" s="581"/>
      <c r="AV58" s="582"/>
      <c r="AW58" s="582"/>
      <c r="AX58" s="582"/>
      <c r="AY58" s="582"/>
      <c r="AZ58" s="582"/>
      <c r="BA58" s="578"/>
      <c r="BB58" s="578"/>
      <c r="BC58" s="578"/>
      <c r="BD58" s="578"/>
      <c r="BE58" s="578"/>
      <c r="BF58" s="578"/>
      <c r="BG58" s="578"/>
      <c r="BH58" s="578"/>
    </row>
    <row r="59" spans="1:60" ht="14.25" customHeight="1">
      <c r="B59" s="615" t="s">
        <v>439</v>
      </c>
      <c r="C59" s="616"/>
      <c r="D59" s="617">
        <f t="shared" ref="D59:L59" si="4">SUM(D51,D53,D55)</f>
        <v>26656</v>
      </c>
      <c r="E59" s="642">
        <f t="shared" si="4"/>
        <v>24214</v>
      </c>
      <c r="F59" s="643">
        <f t="shared" si="4"/>
        <v>23395</v>
      </c>
      <c r="G59" s="642">
        <f t="shared" si="4"/>
        <v>24340.677800000001</v>
      </c>
      <c r="H59" s="642">
        <f t="shared" si="4"/>
        <v>25421.691687295192</v>
      </c>
      <c r="I59" s="642"/>
      <c r="J59" s="642">
        <f t="shared" si="4"/>
        <v>26623.95868669734</v>
      </c>
      <c r="K59" s="642">
        <f t="shared" si="4"/>
        <v>27946.063816245634</v>
      </c>
      <c r="L59" s="643">
        <f t="shared" si="4"/>
        <v>28485.253158257445</v>
      </c>
      <c r="N59" s="97" t="s">
        <v>467</v>
      </c>
      <c r="AS59" s="498"/>
      <c r="AT59" s="498"/>
      <c r="AU59" s="498"/>
      <c r="AV59" s="499"/>
      <c r="AW59" s="499"/>
      <c r="AX59" s="499"/>
      <c r="AY59" s="499"/>
      <c r="AZ59" s="499"/>
    </row>
    <row r="60" spans="1:60" ht="14.25" customHeight="1">
      <c r="D60" s="590"/>
      <c r="F60" s="591"/>
      <c r="V60" s="294">
        <v>0.24</v>
      </c>
      <c r="W60" s="317">
        <v>0.245</v>
      </c>
      <c r="X60" s="317">
        <v>0.255</v>
      </c>
      <c r="Y60" s="294">
        <v>0.26</v>
      </c>
      <c r="AB60" s="294">
        <v>0.24</v>
      </c>
      <c r="AC60" s="317">
        <v>0.245</v>
      </c>
      <c r="AD60" s="317">
        <v>0.255</v>
      </c>
      <c r="AE60" s="294">
        <v>0.26</v>
      </c>
      <c r="AS60" s="498"/>
      <c r="AT60" s="498"/>
      <c r="AU60" s="498"/>
      <c r="AV60" s="499"/>
      <c r="AW60" s="499"/>
      <c r="AX60" s="499"/>
      <c r="AY60" s="499"/>
      <c r="AZ60" s="499"/>
    </row>
    <row r="61" spans="1:60" s="609" customFormat="1" ht="15" customHeight="1">
      <c r="A61" s="41"/>
      <c r="B61" s="644"/>
      <c r="C61" s="645"/>
      <c r="D61" s="646"/>
      <c r="E61" s="647"/>
      <c r="F61" s="648"/>
      <c r="G61" s="649"/>
      <c r="H61" s="649"/>
      <c r="I61" s="645"/>
      <c r="J61" s="649"/>
      <c r="K61" s="649"/>
      <c r="L61" s="649"/>
      <c r="M61" s="649"/>
      <c r="N61" s="649"/>
      <c r="O61" s="645"/>
      <c r="P61" s="649"/>
      <c r="Q61" s="649"/>
      <c r="R61" s="649"/>
      <c r="S61" s="649"/>
      <c r="T61" s="649"/>
      <c r="U61" s="650"/>
      <c r="V61" s="651">
        <f>$Z$61*V60</f>
        <v>21570.402668878349</v>
      </c>
      <c r="W61" s="651">
        <f>$Z$61*W60</f>
        <v>22019.786057813315</v>
      </c>
      <c r="X61" s="651">
        <f>$Z$61*X60</f>
        <v>22918.552835683247</v>
      </c>
      <c r="Y61" s="651">
        <f>$Z$61*Y60</f>
        <v>23367.936224618214</v>
      </c>
      <c r="Z61" s="651">
        <f>G34</f>
        <v>89876.677786993125</v>
      </c>
      <c r="AA61" s="652"/>
      <c r="AB61" s="651">
        <f>$AF$61*AB60</f>
        <v>22121.909607537418</v>
      </c>
      <c r="AC61" s="651">
        <f>$AF$61*AC60</f>
        <v>22582.782724361117</v>
      </c>
      <c r="AD61" s="651">
        <f>$AF$61*AD60</f>
        <v>23504.528958008508</v>
      </c>
      <c r="AE61" s="651">
        <f>$AF$61*AE60</f>
        <v>23965.402074832207</v>
      </c>
      <c r="AF61" s="651">
        <f>H34</f>
        <v>92174.623364739251</v>
      </c>
      <c r="AG61" s="652"/>
      <c r="AH61" s="651">
        <f>J34</f>
        <v>95014.818036205557</v>
      </c>
      <c r="AI61" s="652"/>
      <c r="AJ61" s="651">
        <f>K34</f>
        <v>98369.944201015605</v>
      </c>
      <c r="AK61" s="652"/>
      <c r="AL61" s="651">
        <f>L34</f>
        <v>97709.071119495551</v>
      </c>
      <c r="AM61" s="653"/>
      <c r="AN61" s="41"/>
      <c r="AO61" s="41"/>
      <c r="AP61" s="41"/>
      <c r="AQ61" s="41"/>
      <c r="AR61" s="41"/>
      <c r="AS61" s="41"/>
      <c r="AT61" s="41"/>
      <c r="AU61" s="41"/>
      <c r="AV61" s="41"/>
      <c r="AW61" s="41"/>
      <c r="AX61" s="41"/>
      <c r="AY61" s="41"/>
      <c r="AZ61" s="41"/>
      <c r="BA61" s="41"/>
      <c r="BB61" s="41"/>
      <c r="BC61" s="41"/>
      <c r="BD61" s="41"/>
      <c r="BE61" s="41"/>
      <c r="BF61" s="41"/>
      <c r="BG61" s="41"/>
      <c r="BH61" s="41"/>
    </row>
    <row r="62" spans="1:60" s="41" customFormat="1" ht="15" customHeight="1">
      <c r="C62" s="17"/>
      <c r="I62" s="17"/>
      <c r="O62" s="17"/>
      <c r="U62" s="17"/>
      <c r="AA62" s="17"/>
      <c r="AG62" s="17"/>
      <c r="AI62" s="17"/>
      <c r="AJ62" s="42"/>
      <c r="AK62" s="17"/>
      <c r="AL62" s="42"/>
    </row>
    <row r="63" spans="1:60" s="41" customFormat="1" ht="15" customHeight="1">
      <c r="A63" s="30" t="s">
        <v>37</v>
      </c>
      <c r="B63" s="161" t="s">
        <v>468</v>
      </c>
      <c r="C63" s="18"/>
      <c r="D63" s="608">
        <f>D71/$H$71</f>
        <v>0.23529600479082899</v>
      </c>
      <c r="E63" s="608">
        <f>E71/$H$71</f>
        <v>0.25102660621096756</v>
      </c>
      <c r="F63" s="608">
        <f>F71/$H$71</f>
        <v>0.25281247326546324</v>
      </c>
      <c r="G63" s="608">
        <f>G71/$H$71</f>
        <v>0.26086491573274018</v>
      </c>
      <c r="H63" s="162"/>
      <c r="I63" s="18"/>
      <c r="J63" s="608">
        <f>J71/$N$71</f>
        <v>0.25780045477233654</v>
      </c>
      <c r="K63" s="608">
        <f>K71/$N$71</f>
        <v>0.25305307525927567</v>
      </c>
      <c r="L63" s="608">
        <f>L71/$N$71</f>
        <v>0.24589872996506018</v>
      </c>
      <c r="M63" s="608">
        <f>M71/$N$71</f>
        <v>0.24324774000332761</v>
      </c>
      <c r="N63" s="162"/>
      <c r="O63" s="18"/>
      <c r="P63" s="608">
        <f>P71/$T$71</f>
        <v>0.24723752180903835</v>
      </c>
      <c r="Q63" s="608">
        <f>Q71/$T$71</f>
        <v>0.25275677648158917</v>
      </c>
      <c r="R63" s="608">
        <f>R71/$T$71</f>
        <v>0.24788751667749992</v>
      </c>
      <c r="S63" s="608">
        <f>S71/$T$71</f>
        <v>0.25211818503187255</v>
      </c>
      <c r="T63" s="162"/>
      <c r="U63" s="18"/>
      <c r="V63" s="162"/>
      <c r="W63" s="162"/>
      <c r="X63" s="162"/>
      <c r="Y63" s="162"/>
      <c r="Z63" s="162"/>
      <c r="AA63" s="18"/>
      <c r="AB63" s="162"/>
      <c r="AC63" s="162"/>
      <c r="AD63" s="162"/>
      <c r="AE63" s="162"/>
      <c r="AF63" s="162"/>
      <c r="AG63" s="18"/>
      <c r="AH63" s="162"/>
      <c r="AI63" s="18"/>
      <c r="AJ63" s="163"/>
      <c r="AK63" s="18"/>
      <c r="AL63" s="163"/>
      <c r="AM63" s="163"/>
    </row>
    <row r="64" spans="1:60" s="41" customFormat="1" ht="15" customHeight="1">
      <c r="B64" s="164"/>
      <c r="C64" s="18"/>
      <c r="D64" s="779">
        <f>D$8</f>
        <v>2022</v>
      </c>
      <c r="E64" s="779" t="e">
        <f>F64</f>
        <v>#REF!</v>
      </c>
      <c r="F64" s="779" t="e">
        <f>#REF!</f>
        <v>#REF!</v>
      </c>
      <c r="G64" s="779" t="e">
        <f>F64</f>
        <v>#REF!</v>
      </c>
      <c r="H64" s="779" t="e">
        <f>F64</f>
        <v>#REF!</v>
      </c>
      <c r="I64" s="169"/>
      <c r="J64" s="779">
        <f>E$8</f>
        <v>2023</v>
      </c>
      <c r="K64" s="779" t="e">
        <f>L64</f>
        <v>#REF!</v>
      </c>
      <c r="L64" s="779" t="e">
        <f>#REF!</f>
        <v>#REF!</v>
      </c>
      <c r="M64" s="779" t="e">
        <f>L64</f>
        <v>#REF!</v>
      </c>
      <c r="N64" s="779" t="e">
        <f>L64</f>
        <v>#REF!</v>
      </c>
      <c r="O64" s="169"/>
      <c r="P64" s="779">
        <f>F$8</f>
        <v>2024</v>
      </c>
      <c r="Q64" s="779">
        <f>R64</f>
        <v>0</v>
      </c>
      <c r="R64" s="779">
        <f>R$8</f>
        <v>0</v>
      </c>
      <c r="S64" s="779">
        <f>R64</f>
        <v>0</v>
      </c>
      <c r="T64" s="779">
        <f>R64</f>
        <v>0</v>
      </c>
      <c r="U64" s="169"/>
      <c r="V64" s="777">
        <f>G$8</f>
        <v>2025</v>
      </c>
      <c r="W64" s="777">
        <f>X64</f>
        <v>0</v>
      </c>
      <c r="X64" s="777">
        <f>X$8</f>
        <v>0</v>
      </c>
      <c r="Y64" s="777">
        <f>X64</f>
        <v>0</v>
      </c>
      <c r="Z64" s="777">
        <f>X64</f>
        <v>0</v>
      </c>
      <c r="AA64" s="169"/>
      <c r="AB64" s="777">
        <f>H$8</f>
        <v>2026</v>
      </c>
      <c r="AC64" s="777">
        <f>AD64</f>
        <v>0</v>
      </c>
      <c r="AD64" s="777">
        <f>AD$8</f>
        <v>0</v>
      </c>
      <c r="AE64" s="777">
        <f>AD64</f>
        <v>0</v>
      </c>
      <c r="AF64" s="777">
        <f>AD64</f>
        <v>0</v>
      </c>
      <c r="AG64" s="171"/>
      <c r="AH64" s="166">
        <f>J$8</f>
        <v>2027</v>
      </c>
      <c r="AI64" s="167"/>
      <c r="AJ64" s="166">
        <f>K$8</f>
        <v>2028</v>
      </c>
      <c r="AK64" s="167"/>
      <c r="AL64" s="166">
        <f>L$8</f>
        <v>2029</v>
      </c>
      <c r="AM64" s="163">
        <f>AN64</f>
        <v>0</v>
      </c>
    </row>
    <row r="65" spans="1:52" s="41" customFormat="1" ht="14.25" customHeight="1">
      <c r="B65" s="164"/>
      <c r="C65" s="18"/>
      <c r="D65" s="168" t="s">
        <v>243</v>
      </c>
      <c r="E65" s="168" t="s">
        <v>244</v>
      </c>
      <c r="F65" s="168" t="s">
        <v>245</v>
      </c>
      <c r="G65" s="168" t="s">
        <v>246</v>
      </c>
      <c r="H65" s="168" t="s">
        <v>247</v>
      </c>
      <c r="I65" s="165"/>
      <c r="J65" s="168" t="s">
        <v>243</v>
      </c>
      <c r="K65" s="168" t="s">
        <v>244</v>
      </c>
      <c r="L65" s="168" t="s">
        <v>245</v>
      </c>
      <c r="M65" s="168" t="s">
        <v>246</v>
      </c>
      <c r="N65" s="168" t="s">
        <v>247</v>
      </c>
      <c r="O65" s="165"/>
      <c r="P65" s="168" t="s">
        <v>243</v>
      </c>
      <c r="Q65" s="168" t="s">
        <v>244</v>
      </c>
      <c r="R65" s="168" t="s">
        <v>245</v>
      </c>
      <c r="S65" s="168" t="s">
        <v>246</v>
      </c>
      <c r="T65" s="168" t="s">
        <v>247</v>
      </c>
      <c r="U65" s="165"/>
      <c r="V65" s="168" t="s">
        <v>243</v>
      </c>
      <c r="W65" s="168" t="s">
        <v>244</v>
      </c>
      <c r="X65" s="168" t="s">
        <v>245</v>
      </c>
      <c r="Y65" s="168" t="s">
        <v>246</v>
      </c>
      <c r="Z65" s="168" t="s">
        <v>247</v>
      </c>
      <c r="AA65" s="165"/>
      <c r="AB65" s="168" t="s">
        <v>243</v>
      </c>
      <c r="AC65" s="168" t="s">
        <v>244</v>
      </c>
      <c r="AD65" s="168" t="s">
        <v>245</v>
      </c>
      <c r="AE65" s="168" t="s">
        <v>246</v>
      </c>
      <c r="AF65" s="168" t="s">
        <v>247</v>
      </c>
      <c r="AG65" s="165"/>
      <c r="AH65" s="168" t="s">
        <v>247</v>
      </c>
      <c r="AI65" s="165"/>
      <c r="AJ65" s="168" t="s">
        <v>247</v>
      </c>
      <c r="AK65" s="165"/>
      <c r="AL65" s="168" t="s">
        <v>247</v>
      </c>
      <c r="AM65" s="163"/>
    </row>
    <row r="66" spans="1:52" s="41" customFormat="1" ht="4.3499999999999996" customHeight="1">
      <c r="A66" s="43"/>
      <c r="B66" s="176"/>
      <c r="C66" s="35"/>
      <c r="D66" s="177"/>
      <c r="E66" s="177"/>
      <c r="F66" s="177"/>
      <c r="G66" s="177"/>
      <c r="H66" s="177"/>
      <c r="I66" s="178"/>
      <c r="J66" s="177"/>
      <c r="K66" s="177"/>
      <c r="L66" s="177"/>
      <c r="M66" s="177"/>
      <c r="N66" s="177"/>
      <c r="O66" s="178"/>
      <c r="P66" s="177"/>
      <c r="Q66" s="177"/>
      <c r="R66" s="177"/>
      <c r="S66" s="177"/>
      <c r="T66" s="177"/>
      <c r="U66" s="178"/>
      <c r="V66" s="177"/>
      <c r="W66" s="177"/>
      <c r="X66" s="177"/>
      <c r="Y66" s="177"/>
      <c r="Z66" s="179"/>
      <c r="AA66" s="180"/>
      <c r="AB66" s="179"/>
      <c r="AC66" s="179"/>
      <c r="AD66" s="179"/>
      <c r="AE66" s="179"/>
      <c r="AF66" s="179"/>
      <c r="AG66" s="180"/>
      <c r="AH66" s="179"/>
      <c r="AI66" s="180"/>
      <c r="AJ66" s="179"/>
      <c r="AK66" s="180"/>
      <c r="AL66" s="179"/>
      <c r="AM66" s="179"/>
    </row>
    <row r="67" spans="1:52" s="54" customFormat="1" ht="4.3499999999999996" customHeight="1">
      <c r="A67" s="44"/>
      <c r="B67" s="45"/>
      <c r="C67" s="23"/>
      <c r="D67" s="66"/>
      <c r="E67" s="66"/>
      <c r="F67" s="66"/>
      <c r="G67" s="66"/>
      <c r="H67" s="57"/>
      <c r="I67" s="57"/>
      <c r="J67" s="66"/>
      <c r="K67" s="66"/>
      <c r="L67" s="66"/>
      <c r="M67" s="66"/>
      <c r="N67" s="57"/>
      <c r="O67" s="57"/>
      <c r="P67" s="66"/>
      <c r="Q67" s="66"/>
      <c r="R67" s="66"/>
      <c r="S67" s="66"/>
      <c r="T67" s="57"/>
      <c r="U67" s="71"/>
      <c r="V67" s="66"/>
      <c r="W67" s="66"/>
      <c r="X67" s="68"/>
      <c r="Y67" s="68"/>
      <c r="Z67" s="57"/>
      <c r="AA67" s="71"/>
      <c r="AB67" s="68"/>
      <c r="AC67" s="68"/>
      <c r="AD67" s="68"/>
      <c r="AE67" s="68"/>
      <c r="AF67" s="57"/>
      <c r="AG67" s="71"/>
      <c r="AH67" s="58"/>
      <c r="AI67" s="72"/>
      <c r="AJ67" s="58"/>
    </row>
    <row r="68" spans="1:52" s="54" customFormat="1" ht="14.25" customHeight="1">
      <c r="A68" s="44"/>
      <c r="B68" s="161" t="s">
        <v>469</v>
      </c>
      <c r="C68" s="186"/>
      <c r="D68" s="187"/>
      <c r="E68" s="187"/>
      <c r="F68" s="187"/>
      <c r="G68" s="187"/>
      <c r="H68" s="188"/>
      <c r="I68" s="188"/>
      <c r="J68" s="187"/>
      <c r="K68" s="187"/>
      <c r="L68" s="187"/>
      <c r="M68" s="187"/>
      <c r="N68" s="188"/>
      <c r="O68" s="188"/>
      <c r="P68" s="187"/>
      <c r="Q68" s="187"/>
      <c r="R68" s="187"/>
      <c r="S68" s="187"/>
      <c r="T68" s="188"/>
      <c r="U68" s="189"/>
      <c r="V68" s="187"/>
      <c r="W68" s="187"/>
      <c r="X68" s="190"/>
      <c r="Y68" s="190"/>
      <c r="Z68" s="188"/>
      <c r="AA68" s="189"/>
      <c r="AB68" s="190"/>
      <c r="AC68" s="190"/>
      <c r="AD68" s="190"/>
      <c r="AE68" s="190"/>
      <c r="AF68" s="188"/>
      <c r="AG68" s="189"/>
      <c r="AH68" s="191"/>
      <c r="AI68" s="192"/>
      <c r="AJ68" s="191"/>
      <c r="AK68" s="193"/>
      <c r="AL68" s="193"/>
      <c r="AM68" s="193"/>
    </row>
    <row r="69" spans="1:52" s="54" customFormat="1" ht="4.3499999999999996" customHeight="1">
      <c r="A69" s="44"/>
      <c r="B69" s="194"/>
      <c r="C69" s="36"/>
      <c r="D69" s="195"/>
      <c r="E69" s="195"/>
      <c r="F69" s="195"/>
      <c r="G69" s="195"/>
      <c r="H69" s="196"/>
      <c r="I69" s="196"/>
      <c r="J69" s="195"/>
      <c r="K69" s="195"/>
      <c r="L69" s="195"/>
      <c r="M69" s="195"/>
      <c r="N69" s="196"/>
      <c r="O69" s="196"/>
      <c r="P69" s="195"/>
      <c r="Q69" s="195"/>
      <c r="R69" s="195"/>
      <c r="S69" s="195"/>
      <c r="T69" s="196"/>
      <c r="U69" s="197"/>
      <c r="V69" s="195"/>
      <c r="W69" s="195"/>
      <c r="X69" s="198"/>
      <c r="Y69" s="198"/>
      <c r="Z69" s="196"/>
      <c r="AA69" s="197"/>
      <c r="AB69" s="198"/>
      <c r="AC69" s="198"/>
      <c r="AD69" s="198"/>
      <c r="AE69" s="198"/>
      <c r="AF69" s="196"/>
      <c r="AG69" s="197"/>
      <c r="AH69" s="199"/>
      <c r="AI69" s="200"/>
      <c r="AJ69" s="199"/>
      <c r="AK69" s="201"/>
      <c r="AL69" s="201"/>
      <c r="AM69" s="201"/>
    </row>
    <row r="70" spans="1:52" s="54" customFormat="1" ht="4.3499999999999996" customHeight="1">
      <c r="A70" s="44"/>
      <c r="B70" s="45"/>
      <c r="C70" s="23"/>
      <c r="D70" s="66"/>
      <c r="E70" s="66"/>
      <c r="F70" s="66"/>
      <c r="G70" s="66"/>
      <c r="H70" s="57"/>
      <c r="I70" s="57"/>
      <c r="J70" s="66"/>
      <c r="K70" s="66"/>
      <c r="L70" s="66"/>
      <c r="M70" s="66"/>
      <c r="N70" s="57"/>
      <c r="O70" s="57"/>
      <c r="P70" s="66"/>
      <c r="Q70" s="66"/>
      <c r="R70" s="66"/>
      <c r="S70" s="66"/>
      <c r="T70" s="57"/>
      <c r="U70" s="49"/>
      <c r="V70" s="66"/>
      <c r="W70" s="66"/>
      <c r="X70" s="68"/>
      <c r="Y70" s="68"/>
      <c r="Z70" s="57"/>
      <c r="AA70" s="71"/>
      <c r="AB70" s="68"/>
      <c r="AC70" s="68"/>
      <c r="AD70" s="68"/>
      <c r="AE70" s="68"/>
      <c r="AF70" s="57"/>
      <c r="AG70" s="71"/>
      <c r="AH70" s="58"/>
      <c r="AI70" s="72"/>
      <c r="AJ70" s="58"/>
    </row>
    <row r="71" spans="1:52" s="54" customFormat="1" ht="14.25" customHeight="1">
      <c r="A71" s="44"/>
      <c r="B71" s="28" t="s">
        <v>470</v>
      </c>
      <c r="C71" s="23"/>
      <c r="D71" s="50">
        <f>IS!P18</f>
        <v>22003</v>
      </c>
      <c r="E71" s="50">
        <f>IS!Q18</f>
        <v>23474</v>
      </c>
      <c r="F71" s="50">
        <f>IS!R18</f>
        <v>23641</v>
      </c>
      <c r="G71" s="50">
        <f>IS!S18</f>
        <v>24394</v>
      </c>
      <c r="H71" s="58">
        <f>IS!T18</f>
        <v>93512</v>
      </c>
      <c r="I71" s="57"/>
      <c r="J71" s="50">
        <f>IS!V18</f>
        <v>23242</v>
      </c>
      <c r="K71" s="50">
        <f>IS!W18</f>
        <v>22814</v>
      </c>
      <c r="L71" s="50">
        <f>IS!X18</f>
        <v>22169</v>
      </c>
      <c r="M71" s="50">
        <f>IS!Y18</f>
        <v>21930</v>
      </c>
      <c r="N71" s="58">
        <f>IS!Z18</f>
        <v>90155</v>
      </c>
      <c r="O71" s="57"/>
      <c r="P71" s="50">
        <f>IS!AB18</f>
        <v>21681</v>
      </c>
      <c r="Q71" s="50">
        <f>IS!AC18</f>
        <v>22165</v>
      </c>
      <c r="R71" s="50">
        <f>IS!AD18</f>
        <v>21738</v>
      </c>
      <c r="S71" s="50">
        <f>IS!AE18</f>
        <v>22109</v>
      </c>
      <c r="T71" s="58">
        <f>IS!AF18</f>
        <v>87693</v>
      </c>
      <c r="U71" s="49"/>
      <c r="V71" s="50">
        <f>IS!AH18</f>
        <v>21579</v>
      </c>
      <c r="W71" s="50">
        <f>IS!AI18</f>
        <v>21967</v>
      </c>
      <c r="X71" s="299">
        <f>X61</f>
        <v>22918.552835683247</v>
      </c>
      <c r="Y71" s="299">
        <f>Y61</f>
        <v>23367.936224618214</v>
      </c>
      <c r="Z71" s="57">
        <f>SUM(V71:Y71)</f>
        <v>89832.489060301465</v>
      </c>
      <c r="AA71" s="71"/>
      <c r="AB71" s="299">
        <f>AB61</f>
        <v>22121.909607537418</v>
      </c>
      <c r="AC71" s="299">
        <f>AC61</f>
        <v>22582.782724361117</v>
      </c>
      <c r="AD71" s="299">
        <f>AD61</f>
        <v>23504.528958008508</v>
      </c>
      <c r="AE71" s="299">
        <f>AE61</f>
        <v>23965.402074832207</v>
      </c>
      <c r="AF71" s="57">
        <f>SUM(AB71:AE71)</f>
        <v>92174.623364739251</v>
      </c>
      <c r="AG71" s="71"/>
      <c r="AH71" s="316">
        <f>AH61</f>
        <v>95014.818036205557</v>
      </c>
      <c r="AI71" s="72"/>
      <c r="AJ71" s="316">
        <f>AJ61</f>
        <v>98369.944201015605</v>
      </c>
      <c r="AL71" s="316">
        <f>AL61</f>
        <v>97709.071119495551</v>
      </c>
      <c r="AS71" s="311"/>
      <c r="AT71" s="311"/>
      <c r="AU71" s="311"/>
      <c r="AV71" s="311"/>
      <c r="AW71" s="311"/>
      <c r="AX71" s="311"/>
      <c r="AY71" s="311"/>
      <c r="AZ71" s="311"/>
    </row>
    <row r="72" spans="1:52" s="54" customFormat="1" ht="14.25" customHeight="1">
      <c r="A72" s="55"/>
      <c r="B72" s="31" t="s">
        <v>471</v>
      </c>
      <c r="C72" s="23"/>
      <c r="D72" s="304">
        <f>D71/IS!J18-1</f>
        <v>0.13881269085451065</v>
      </c>
      <c r="E72" s="304">
        <f>E71/IS!K18-1</f>
        <v>0.14156494674901521</v>
      </c>
      <c r="F72" s="304">
        <f>F71/IS!L18-1</f>
        <v>9.907019990702004E-2</v>
      </c>
      <c r="G72" s="304">
        <f>G71/IS!M18-1</f>
        <v>8.1054730777753159E-2</v>
      </c>
      <c r="H72" s="305">
        <f>H71/IS!N18-1</f>
        <v>0.11378172679522147</v>
      </c>
      <c r="I72" s="57"/>
      <c r="J72" s="304">
        <f>J71/IS!P18-1</f>
        <v>5.6310503113211841E-2</v>
      </c>
      <c r="K72" s="304">
        <f>K71/IS!Q18-1</f>
        <v>-2.8116213683224034E-2</v>
      </c>
      <c r="L72" s="304">
        <f>L71/IS!R18-1</f>
        <v>-6.2264709614652469E-2</v>
      </c>
      <c r="M72" s="304">
        <f>M71/IS!S18-1</f>
        <v>-0.10100844469951631</v>
      </c>
      <c r="N72" s="305">
        <f>N71/H71-1</f>
        <v>-3.5899135939772453E-2</v>
      </c>
      <c r="O72" s="57"/>
      <c r="P72" s="304">
        <f>P71/IS!V18-1</f>
        <v>-6.7162894759487113E-2</v>
      </c>
      <c r="Q72" s="304">
        <f>Q71/IS!W18-1</f>
        <v>-2.8447444551591095E-2</v>
      </c>
      <c r="R72" s="304">
        <f>R71/IS!X18-1</f>
        <v>-1.9441562542288793E-2</v>
      </c>
      <c r="S72" s="304">
        <f>S71/IS!Y18-1</f>
        <v>8.1623347013224379E-3</v>
      </c>
      <c r="T72" s="305">
        <f>T71/N71-1</f>
        <v>-2.7308524208307872E-2</v>
      </c>
      <c r="U72" s="49"/>
      <c r="V72" s="304">
        <f>V71/IS!AB18-1</f>
        <v>-4.7045800470457699E-3</v>
      </c>
      <c r="W72" s="304">
        <f>W71/IS!AC18-1</f>
        <v>-8.9330024813896181E-3</v>
      </c>
      <c r="X72" s="304">
        <f>X71/IS!AD18-1</f>
        <v>5.4308254470661899E-2</v>
      </c>
      <c r="Y72" s="304">
        <f>Y71/IS!AE18-1</f>
        <v>5.6942250876033107E-2</v>
      </c>
      <c r="Z72" s="305">
        <f>Z71/T71-1</f>
        <v>2.4397489654835125E-2</v>
      </c>
      <c r="AA72" s="71"/>
      <c r="AB72" s="304">
        <f>AB71/IS!AH18-1</f>
        <v>2.5159164351333141E-2</v>
      </c>
      <c r="AC72" s="304">
        <f>AC71/IS!AI18-1</f>
        <v>2.8032172092735452E-2</v>
      </c>
      <c r="AD72" s="304">
        <f>AD71/X71-1</f>
        <v>2.556776278705164E-2</v>
      </c>
      <c r="AE72" s="304">
        <f>AE71/Y71-1</f>
        <v>2.5567762787051862E-2</v>
      </c>
      <c r="AF72" s="305">
        <f>AF71/Z71-1</f>
        <v>2.6072241000308916E-2</v>
      </c>
      <c r="AG72" s="71"/>
      <c r="AH72" s="305">
        <f>AH71/AF71-1</f>
        <v>3.0813195300267493E-2</v>
      </c>
      <c r="AI72" s="72"/>
      <c r="AJ72" s="305">
        <f>AJ71/AH71-1</f>
        <v>3.5311609643156716E-2</v>
      </c>
      <c r="AL72" s="305">
        <f>AL71/AJ71-1</f>
        <v>-6.7182419069953259E-3</v>
      </c>
    </row>
    <row r="73" spans="1:52" s="54" customFormat="1" ht="14.25" customHeight="1">
      <c r="B73" s="31"/>
      <c r="C73" s="23"/>
      <c r="D73" s="304"/>
      <c r="E73" s="304"/>
      <c r="F73" s="304"/>
      <c r="G73" s="304"/>
      <c r="H73" s="307"/>
      <c r="I73" s="48"/>
      <c r="J73" s="304"/>
      <c r="K73" s="304"/>
      <c r="L73" s="304"/>
      <c r="M73" s="304"/>
      <c r="N73" s="307"/>
      <c r="O73" s="71"/>
      <c r="P73" s="304"/>
      <c r="Q73" s="304"/>
      <c r="R73" s="304"/>
      <c r="S73" s="304"/>
      <c r="T73" s="307"/>
      <c r="U73" s="49"/>
      <c r="V73" s="304"/>
      <c r="W73" s="304"/>
      <c r="X73" s="50"/>
      <c r="Y73" s="50"/>
      <c r="Z73" s="66"/>
      <c r="AA73" s="71"/>
      <c r="AB73" s="50"/>
      <c r="AC73" s="50"/>
      <c r="AD73" s="50"/>
      <c r="AE73" s="50"/>
      <c r="AF73" s="66"/>
      <c r="AG73" s="71"/>
      <c r="AH73" s="68"/>
      <c r="AI73" s="72"/>
      <c r="AJ73" s="68"/>
    </row>
    <row r="74" spans="1:52" s="54" customFormat="1" ht="14.25" customHeight="1">
      <c r="B74" s="28" t="s">
        <v>472</v>
      </c>
      <c r="C74" s="23"/>
      <c r="D74" s="50">
        <f>IS!P21</f>
        <v>16446</v>
      </c>
      <c r="E74" s="50">
        <f>IS!Q21</f>
        <v>17537</v>
      </c>
      <c r="F74" s="50">
        <f>IS!R21</f>
        <v>17764</v>
      </c>
      <c r="G74" s="50">
        <f>IS!S21</f>
        <v>17628</v>
      </c>
      <c r="H74" s="58">
        <f>IS!T21</f>
        <v>69375</v>
      </c>
      <c r="I74" s="57"/>
      <c r="J74" s="50">
        <f>IS!V21</f>
        <v>17511</v>
      </c>
      <c r="K74" s="50">
        <f>IS!W21</f>
        <v>17127</v>
      </c>
      <c r="L74" s="50">
        <f>IS!X21</f>
        <v>16563</v>
      </c>
      <c r="M74" s="50">
        <f>IS!Y21</f>
        <v>15612</v>
      </c>
      <c r="N74" s="58">
        <f>IS!Z21</f>
        <v>66813</v>
      </c>
      <c r="O74" s="57"/>
      <c r="P74" s="50">
        <f>IS!AB21</f>
        <v>15897</v>
      </c>
      <c r="Q74" s="50">
        <f>IS!AC21</f>
        <v>16548</v>
      </c>
      <c r="R74" s="50">
        <f>IS!AD21</f>
        <v>16127</v>
      </c>
      <c r="S74" s="50">
        <f>IS!AE21</f>
        <v>15882</v>
      </c>
      <c r="T74" s="58">
        <f>IS!AF21</f>
        <v>64454</v>
      </c>
      <c r="U74" s="49"/>
      <c r="V74" s="50">
        <f>IS!AH21</f>
        <v>16125</v>
      </c>
      <c r="W74" s="50">
        <f>IS!AI21</f>
        <v>16325</v>
      </c>
      <c r="X74" s="46">
        <f>(X75+Sensitivity!$U$39)*X$71</f>
        <v>16730.543570048769</v>
      </c>
      <c r="Y74" s="46">
        <f>(Y75+Sensitivity!$U$39)*Y$71</f>
        <v>17058.593443971295</v>
      </c>
      <c r="Z74" s="57">
        <f>SUM(V74:Y74)</f>
        <v>66239.13701402006</v>
      </c>
      <c r="AA74" s="71"/>
      <c r="AB74" s="46">
        <f>(AB75+Sensitivity!$U$39)*AB$71</f>
        <v>16148.994013502315</v>
      </c>
      <c r="AC74" s="46">
        <f>(AC75+Sensitivity!$U$39)*AC$71</f>
        <v>16485.431388783614</v>
      </c>
      <c r="AD74" s="46">
        <f>(AD75+Sensitivity!$U$39)*AD$71</f>
        <v>17158.306139346212</v>
      </c>
      <c r="AE74" s="46">
        <f>(AE75+Sensitivity!$U$39)*AE$71</f>
        <v>17494.743514627509</v>
      </c>
      <c r="AF74" s="57">
        <f>SUM(AB74:AE74)</f>
        <v>67287.47505625966</v>
      </c>
      <c r="AG74" s="71"/>
      <c r="AH74" s="57">
        <f>(AH75+Sensitivity!$U$39)*AH$71</f>
        <v>69360.817166430061</v>
      </c>
      <c r="AI74" s="72"/>
      <c r="AJ74" s="57">
        <f>(AJ75+Sensitivity!$U$39)*AJ$71</f>
        <v>70826.359824731233</v>
      </c>
      <c r="AL74" s="57">
        <f>(AL75+Sensitivity!$U$39)*AL$71</f>
        <v>69373.440494841838</v>
      </c>
    </row>
    <row r="75" spans="1:52" s="54" customFormat="1" ht="14.25" customHeight="1">
      <c r="B75" s="31" t="s">
        <v>473</v>
      </c>
      <c r="C75" s="23"/>
      <c r="D75" s="304">
        <f>D74/D71</f>
        <v>0.74744353042766898</v>
      </c>
      <c r="E75" s="304">
        <f t="shared" ref="E75:H75" si="5">E74/E71</f>
        <v>0.74708187782227142</v>
      </c>
      <c r="F75" s="304">
        <f t="shared" si="5"/>
        <v>0.75140645488769509</v>
      </c>
      <c r="G75" s="304">
        <f t="shared" si="5"/>
        <v>0.72263671394605233</v>
      </c>
      <c r="H75" s="305">
        <f t="shared" si="5"/>
        <v>0.74188339464453756</v>
      </c>
      <c r="I75" s="57"/>
      <c r="J75" s="304">
        <f>J74/J71</f>
        <v>0.75342053179588675</v>
      </c>
      <c r="K75" s="304">
        <f t="shared" ref="K75:N75" si="6">K74/K71</f>
        <v>0.75072324011571845</v>
      </c>
      <c r="L75" s="304">
        <f t="shared" si="6"/>
        <v>0.74712436284902339</v>
      </c>
      <c r="M75" s="304">
        <f t="shared" si="6"/>
        <v>0.71190150478796166</v>
      </c>
      <c r="N75" s="305">
        <f t="shared" si="6"/>
        <v>0.74109034440685484</v>
      </c>
      <c r="O75" s="57"/>
      <c r="P75" s="304">
        <f>P74/P71</f>
        <v>0.73322263733222637</v>
      </c>
      <c r="Q75" s="304">
        <f t="shared" ref="Q75:T75" si="7">Q74/Q71</f>
        <v>0.74658244980825628</v>
      </c>
      <c r="R75" s="304">
        <f t="shared" si="7"/>
        <v>0.74188057779004513</v>
      </c>
      <c r="S75" s="304">
        <f t="shared" si="7"/>
        <v>0.71834999321543258</v>
      </c>
      <c r="T75" s="305">
        <f t="shared" si="7"/>
        <v>0.73499595178634558</v>
      </c>
      <c r="U75" s="49"/>
      <c r="V75" s="304">
        <f>V74/V71</f>
        <v>0.7472542749895732</v>
      </c>
      <c r="W75" s="304">
        <f t="shared" ref="W75" si="8">W74/W71</f>
        <v>0.74316019483771112</v>
      </c>
      <c r="X75" s="315">
        <v>0.73</v>
      </c>
      <c r="Y75" s="315">
        <v>0.73</v>
      </c>
      <c r="Z75" s="305">
        <f>AVERAGE(V75:Y75)</f>
        <v>0.73760361745682113</v>
      </c>
      <c r="AA75" s="71"/>
      <c r="AB75" s="315">
        <v>0.73</v>
      </c>
      <c r="AC75" s="315">
        <v>0.73</v>
      </c>
      <c r="AD75" s="315">
        <v>0.73</v>
      </c>
      <c r="AE75" s="315">
        <v>0.73</v>
      </c>
      <c r="AF75" s="305">
        <f>AVERAGE(AB75:AE75)</f>
        <v>0.73</v>
      </c>
      <c r="AG75" s="71"/>
      <c r="AH75" s="315">
        <v>0.73</v>
      </c>
      <c r="AI75" s="72"/>
      <c r="AJ75" s="315">
        <v>0.72</v>
      </c>
      <c r="AL75" s="315">
        <v>0.71</v>
      </c>
    </row>
    <row r="76" spans="1:52" s="54" customFormat="1" ht="14.25" customHeight="1">
      <c r="B76" s="31"/>
      <c r="C76" s="23"/>
      <c r="D76" s="46"/>
      <c r="E76" s="46"/>
      <c r="F76" s="46"/>
      <c r="G76" s="46"/>
      <c r="H76" s="57"/>
      <c r="I76" s="57"/>
      <c r="J76" s="46"/>
      <c r="K76" s="46"/>
      <c r="L76" s="46"/>
      <c r="M76" s="46"/>
      <c r="N76" s="57"/>
      <c r="O76" s="57"/>
      <c r="P76" s="46"/>
      <c r="Q76" s="46"/>
      <c r="R76" s="46"/>
      <c r="S76" s="46"/>
      <c r="T76" s="57"/>
      <c r="U76" s="49"/>
      <c r="V76" s="46"/>
      <c r="W76" s="46"/>
      <c r="X76" s="50"/>
      <c r="Y76" s="50"/>
      <c r="Z76" s="57"/>
      <c r="AA76" s="71"/>
      <c r="AB76" s="50"/>
      <c r="AC76" s="50"/>
      <c r="AD76" s="50"/>
      <c r="AE76" s="50"/>
      <c r="AF76" s="57"/>
      <c r="AG76" s="71"/>
      <c r="AH76" s="58"/>
      <c r="AI76" s="72"/>
      <c r="AJ76" s="58"/>
    </row>
    <row r="77" spans="1:52" s="54" customFormat="1" ht="14.25" customHeight="1">
      <c r="B77" s="28" t="s">
        <v>474</v>
      </c>
      <c r="C77" s="23"/>
      <c r="D77" s="50">
        <f>IS!P22</f>
        <v>971</v>
      </c>
      <c r="E77" s="50">
        <f>IS!Q22</f>
        <v>995</v>
      </c>
      <c r="F77" s="50">
        <f>IS!R22</f>
        <v>986</v>
      </c>
      <c r="G77" s="50">
        <f>IS!S22</f>
        <v>1018</v>
      </c>
      <c r="H77" s="58">
        <f>IS!T22</f>
        <v>3970</v>
      </c>
      <c r="I77" s="57"/>
      <c r="J77" s="50">
        <f>IS!V22</f>
        <v>1024</v>
      </c>
      <c r="K77" s="50">
        <f>IS!W22</f>
        <v>1046</v>
      </c>
      <c r="L77" s="50">
        <f>IS!X22</f>
        <v>1031</v>
      </c>
      <c r="M77" s="50">
        <f>IS!Y22</f>
        <v>1075</v>
      </c>
      <c r="N77" s="58">
        <f>IS!Z22</f>
        <v>4176</v>
      </c>
      <c r="O77" s="57"/>
      <c r="P77" s="50">
        <f>IS!AB22</f>
        <v>1071</v>
      </c>
      <c r="Q77" s="50">
        <f>IS!AC22</f>
        <v>1040</v>
      </c>
      <c r="R77" s="50">
        <f>IS!AD22</f>
        <v>1072</v>
      </c>
      <c r="S77" s="50">
        <f>IS!AE22</f>
        <v>1104</v>
      </c>
      <c r="T77" s="58">
        <f>IS!AF22</f>
        <v>4287</v>
      </c>
      <c r="U77" s="49"/>
      <c r="V77" s="50">
        <f>IS!AH22</f>
        <v>1078</v>
      </c>
      <c r="W77" s="50">
        <f>IS!AI22</f>
        <v>1063</v>
      </c>
      <c r="X77" s="46">
        <f>X78*X74</f>
        <v>1087.4853320531699</v>
      </c>
      <c r="Y77" s="46">
        <f>Y78*Y74</f>
        <v>1108.8085738581342</v>
      </c>
      <c r="Z77" s="57">
        <f>SUM(V77:Y77)</f>
        <v>4337.2939059113041</v>
      </c>
      <c r="AA77" s="71"/>
      <c r="AB77" s="46">
        <f t="shared" ref="AB77:AE77" si="9">AB78*AB74</f>
        <v>1081.9825989046551</v>
      </c>
      <c r="AC77" s="46">
        <f t="shared" si="9"/>
        <v>1104.5239030485022</v>
      </c>
      <c r="AD77" s="46">
        <f t="shared" si="9"/>
        <v>1149.6065113361963</v>
      </c>
      <c r="AE77" s="46">
        <f t="shared" si="9"/>
        <v>1172.1478154800432</v>
      </c>
      <c r="AF77" s="57">
        <f>SUM(AB77:AE77)</f>
        <v>4508.2608287693974</v>
      </c>
      <c r="AG77" s="71"/>
      <c r="AH77" s="57">
        <f t="shared" ref="AH77:AL77" si="10">AH78*AH74</f>
        <v>4647.1747501508144</v>
      </c>
      <c r="AI77" s="72"/>
      <c r="AJ77" s="57">
        <f t="shared" si="10"/>
        <v>4816.1924680817237</v>
      </c>
      <c r="AL77" s="57">
        <f t="shared" si="10"/>
        <v>4717.3939536492453</v>
      </c>
    </row>
    <row r="78" spans="1:52" s="54" customFormat="1" ht="14.25" customHeight="1">
      <c r="B78" s="31" t="s">
        <v>475</v>
      </c>
      <c r="C78" s="23"/>
      <c r="D78" s="306">
        <f>D77/D74</f>
        <v>5.90417122704609E-2</v>
      </c>
      <c r="E78" s="306">
        <f t="shared" ref="E78:H78" si="11">E77/E74</f>
        <v>5.6737184239037466E-2</v>
      </c>
      <c r="F78" s="306">
        <f t="shared" si="11"/>
        <v>5.5505516775501015E-2</v>
      </c>
      <c r="G78" s="306">
        <f t="shared" si="11"/>
        <v>5.7749035625141817E-2</v>
      </c>
      <c r="H78" s="305">
        <f t="shared" si="11"/>
        <v>5.7225225225225225E-2</v>
      </c>
      <c r="I78" s="57"/>
      <c r="J78" s="306">
        <f>J77/J74</f>
        <v>5.8477528410713263E-2</v>
      </c>
      <c r="K78" s="306">
        <f t="shared" ref="K78:N78" si="12">K77/K74</f>
        <v>6.1073159339055293E-2</v>
      </c>
      <c r="L78" s="306">
        <f t="shared" si="12"/>
        <v>6.2247177443699814E-2</v>
      </c>
      <c r="M78" s="306">
        <f t="shared" si="12"/>
        <v>6.8857289264668206E-2</v>
      </c>
      <c r="N78" s="305">
        <f t="shared" si="12"/>
        <v>6.2502806340083511E-2</v>
      </c>
      <c r="O78" s="57"/>
      <c r="P78" s="306">
        <f>P77/P74</f>
        <v>6.7371202113606338E-2</v>
      </c>
      <c r="Q78" s="306">
        <f t="shared" ref="Q78:T78" si="13">Q77/Q74</f>
        <v>6.2847474014986707E-2</v>
      </c>
      <c r="R78" s="306">
        <f t="shared" si="13"/>
        <v>6.6472375519315438E-2</v>
      </c>
      <c r="S78" s="306">
        <f t="shared" si="13"/>
        <v>6.9512655836796375E-2</v>
      </c>
      <c r="T78" s="305">
        <f t="shared" si="13"/>
        <v>6.6512551587178448E-2</v>
      </c>
      <c r="U78" s="49"/>
      <c r="V78" s="306">
        <f>V77/V74</f>
        <v>6.6852713178294568E-2</v>
      </c>
      <c r="W78" s="306">
        <f t="shared" ref="W78" si="14">W77/W74</f>
        <v>6.5114854517611023E-2</v>
      </c>
      <c r="X78" s="315">
        <v>6.5000000000000002E-2</v>
      </c>
      <c r="Y78" s="315">
        <v>6.5000000000000002E-2</v>
      </c>
      <c r="Z78" s="305">
        <f>AVERAGE(V78:Y78)</f>
        <v>6.5491891923976392E-2</v>
      </c>
      <c r="AA78" s="71"/>
      <c r="AB78" s="315">
        <v>6.7000000000000004E-2</v>
      </c>
      <c r="AC78" s="315">
        <v>6.7000000000000004E-2</v>
      </c>
      <c r="AD78" s="315">
        <v>6.7000000000000004E-2</v>
      </c>
      <c r="AE78" s="315">
        <v>6.7000000000000004E-2</v>
      </c>
      <c r="AF78" s="305">
        <f>AVERAGE(AB78:AE78)</f>
        <v>6.7000000000000004E-2</v>
      </c>
      <c r="AG78" s="71"/>
      <c r="AH78" s="315">
        <v>6.7000000000000004E-2</v>
      </c>
      <c r="AI78" s="72"/>
      <c r="AJ78" s="315">
        <v>6.8000000000000005E-2</v>
      </c>
      <c r="AL78" s="315">
        <v>6.8000000000000005E-2</v>
      </c>
    </row>
    <row r="79" spans="1:52" s="54" customFormat="1" ht="14.25" customHeight="1">
      <c r="B79" s="31"/>
      <c r="C79" s="23"/>
      <c r="D79" s="60"/>
      <c r="E79" s="60"/>
      <c r="F79" s="60"/>
      <c r="G79" s="60"/>
      <c r="H79" s="181"/>
      <c r="I79" s="57"/>
      <c r="J79" s="60"/>
      <c r="K79" s="60"/>
      <c r="L79" s="60"/>
      <c r="M79" s="60"/>
      <c r="N79" s="181"/>
      <c r="O79" s="57"/>
      <c r="P79" s="60"/>
      <c r="Q79" s="60"/>
      <c r="R79" s="60"/>
      <c r="S79" s="60"/>
      <c r="T79" s="181"/>
      <c r="U79" s="49"/>
      <c r="V79" s="60"/>
      <c r="W79" s="60"/>
      <c r="X79" s="62"/>
      <c r="Y79" s="62"/>
      <c r="Z79" s="181"/>
      <c r="AA79" s="71"/>
      <c r="AB79" s="62"/>
      <c r="AC79" s="62"/>
      <c r="AD79" s="62"/>
      <c r="AE79" s="62"/>
      <c r="AF79" s="181"/>
      <c r="AG79" s="71"/>
      <c r="AH79" s="182"/>
      <c r="AI79" s="72"/>
      <c r="AJ79" s="182"/>
    </row>
    <row r="80" spans="1:52" s="54" customFormat="1" ht="14.25" customHeight="1">
      <c r="B80" s="28" t="s">
        <v>476</v>
      </c>
      <c r="C80" s="23"/>
      <c r="D80" s="50">
        <f>IS!P24</f>
        <v>4586</v>
      </c>
      <c r="E80" s="50">
        <f>IS!Q24</f>
        <v>4942</v>
      </c>
      <c r="F80" s="50">
        <f>IS!R24</f>
        <v>4891</v>
      </c>
      <c r="G80" s="50">
        <f>IS!S24</f>
        <v>5748</v>
      </c>
      <c r="H80" s="58">
        <f>IS!T24</f>
        <v>20167</v>
      </c>
      <c r="I80" s="57"/>
      <c r="J80" s="50">
        <f>IS!V24</f>
        <v>4707</v>
      </c>
      <c r="K80" s="50">
        <f>IS!W24</f>
        <v>4641</v>
      </c>
      <c r="L80" s="50">
        <f>IS!X24</f>
        <v>4575</v>
      </c>
      <c r="M80" s="50">
        <f>IS!Y24</f>
        <v>5243</v>
      </c>
      <c r="N80" s="58">
        <f>IS!Z24</f>
        <v>19166</v>
      </c>
      <c r="O80" s="57"/>
      <c r="P80" s="50">
        <f>IS!AB24</f>
        <v>4713</v>
      </c>
      <c r="Q80" s="50">
        <f>IS!AC24</f>
        <v>4577</v>
      </c>
      <c r="R80" s="50">
        <f>IS!AD24</f>
        <v>4539</v>
      </c>
      <c r="S80" s="50">
        <f>IS!AE24</f>
        <v>5123</v>
      </c>
      <c r="T80" s="58">
        <f>IS!AF24</f>
        <v>18952</v>
      </c>
      <c r="U80" s="49"/>
      <c r="V80" s="50">
        <f>IS!AH24</f>
        <v>4376</v>
      </c>
      <c r="W80" s="50">
        <f>IS!AI24</f>
        <v>4579</v>
      </c>
      <c r="X80" s="46">
        <f>X71-X74-X77</f>
        <v>5100.5239335813085</v>
      </c>
      <c r="Y80" s="46">
        <f>Y71-Y74-Y77</f>
        <v>5200.534206788785</v>
      </c>
      <c r="Z80" s="57">
        <f>SUM(V80:Y80)</f>
        <v>19256.058140370093</v>
      </c>
      <c r="AA80" s="71"/>
      <c r="AB80" s="46">
        <f t="shared" ref="AB80:AE80" si="15">AB71-AB74-AB77</f>
        <v>4890.932995130448</v>
      </c>
      <c r="AC80" s="46">
        <f t="shared" si="15"/>
        <v>4992.8274325290004</v>
      </c>
      <c r="AD80" s="46">
        <f t="shared" si="15"/>
        <v>5196.6163073260996</v>
      </c>
      <c r="AE80" s="46">
        <f t="shared" si="15"/>
        <v>5298.5107447246546</v>
      </c>
      <c r="AF80" s="57">
        <f>SUM(AB80:AE80)</f>
        <v>20378.887479710203</v>
      </c>
      <c r="AG80" s="57"/>
      <c r="AH80" s="57">
        <f t="shared" ref="AH80:AL80" si="16">AH71-AH74-AH77</f>
        <v>21006.826119624682</v>
      </c>
      <c r="AI80" s="57"/>
      <c r="AJ80" s="57">
        <f t="shared" si="16"/>
        <v>22727.391908202648</v>
      </c>
      <c r="AK80" s="57"/>
      <c r="AL80" s="57">
        <f t="shared" si="16"/>
        <v>23618.236671004466</v>
      </c>
    </row>
    <row r="81" spans="2:45" s="54" customFormat="1" ht="14.25" customHeight="1">
      <c r="B81" s="31" t="s">
        <v>473</v>
      </c>
      <c r="C81" s="21"/>
      <c r="D81" s="304">
        <f>D80/D71</f>
        <v>0.20842612371040312</v>
      </c>
      <c r="E81" s="304">
        <f t="shared" ref="E81:H81" si="17">E80/E71</f>
        <v>0.21053080003408026</v>
      </c>
      <c r="F81" s="304">
        <f t="shared" si="17"/>
        <v>0.20688634152531618</v>
      </c>
      <c r="G81" s="304">
        <f t="shared" si="17"/>
        <v>0.2356317127162417</v>
      </c>
      <c r="H81" s="307">
        <f t="shared" si="17"/>
        <v>0.21566216100607408</v>
      </c>
      <c r="I81" s="48"/>
      <c r="J81" s="304">
        <f>J80/J71</f>
        <v>0.20252129765080457</v>
      </c>
      <c r="K81" s="304">
        <f t="shared" ref="K81:N81" si="18">K80/K71</f>
        <v>0.20342771982116245</v>
      </c>
      <c r="L81" s="304">
        <f t="shared" si="18"/>
        <v>0.20636925436420225</v>
      </c>
      <c r="M81" s="304">
        <f t="shared" si="18"/>
        <v>0.23907888736890104</v>
      </c>
      <c r="N81" s="307">
        <f t="shared" si="18"/>
        <v>0.21258942931617769</v>
      </c>
      <c r="O81" s="71"/>
      <c r="P81" s="304">
        <f>P80/P71</f>
        <v>0.21737927217379271</v>
      </c>
      <c r="Q81" s="304">
        <f t="shared" ref="Q81:T81" si="19">Q80/Q71</f>
        <v>0.20649672907737424</v>
      </c>
      <c r="R81" s="304">
        <f t="shared" si="19"/>
        <v>0.20880485785260833</v>
      </c>
      <c r="S81" s="304">
        <f t="shared" si="19"/>
        <v>0.23171559093581801</v>
      </c>
      <c r="T81" s="307">
        <f t="shared" si="19"/>
        <v>0.21611759205409781</v>
      </c>
      <c r="U81" s="49"/>
      <c r="V81" s="304">
        <f>V80/V71</f>
        <v>0.20278974929329441</v>
      </c>
      <c r="W81" s="304">
        <f t="shared" ref="W81:AL81" si="20">W80/W71</f>
        <v>0.20844903719215185</v>
      </c>
      <c r="X81" s="304">
        <f t="shared" si="20"/>
        <v>0.22255000000000008</v>
      </c>
      <c r="Y81" s="304">
        <f t="shared" si="20"/>
        <v>0.22255000000000008</v>
      </c>
      <c r="Z81" s="305">
        <f>Z80/Z$71</f>
        <v>0.2143551663969164</v>
      </c>
      <c r="AA81" s="183"/>
      <c r="AB81" s="304">
        <f t="shared" si="20"/>
        <v>0.22109000000000001</v>
      </c>
      <c r="AC81" s="304">
        <f t="shared" si="20"/>
        <v>0.22109000000000004</v>
      </c>
      <c r="AD81" s="304">
        <f t="shared" si="20"/>
        <v>0.22108999999999993</v>
      </c>
      <c r="AE81" s="304">
        <f t="shared" si="20"/>
        <v>0.22109000000000009</v>
      </c>
      <c r="AF81" s="305">
        <f>AF80/AF$71</f>
        <v>0.22109000000000004</v>
      </c>
      <c r="AG81" s="183"/>
      <c r="AH81" s="307">
        <f t="shared" si="20"/>
        <v>0.22108999999999995</v>
      </c>
      <c r="AI81" s="184"/>
      <c r="AJ81" s="307">
        <f t="shared" si="20"/>
        <v>0.23104000000000002</v>
      </c>
      <c r="AL81" s="307">
        <f t="shared" si="20"/>
        <v>0.24172000000000002</v>
      </c>
    </row>
    <row r="82" spans="2:45" s="54" customFormat="1" ht="14.25" customHeight="1">
      <c r="B82" s="28"/>
      <c r="C82" s="23"/>
      <c r="D82" s="60"/>
      <c r="E82" s="60"/>
      <c r="F82" s="60"/>
      <c r="G82" s="60"/>
      <c r="H82" s="66"/>
      <c r="I82" s="48"/>
      <c r="J82" s="60"/>
      <c r="K82" s="60"/>
      <c r="L82" s="60"/>
      <c r="M82" s="60"/>
      <c r="N82" s="66"/>
      <c r="O82" s="71"/>
      <c r="P82" s="60"/>
      <c r="Q82" s="60"/>
      <c r="R82" s="60"/>
      <c r="S82" s="60"/>
      <c r="T82" s="66"/>
      <c r="U82" s="49"/>
      <c r="V82" s="60"/>
      <c r="W82" s="60"/>
      <c r="X82" s="50"/>
      <c r="Y82" s="50"/>
      <c r="Z82" s="66"/>
      <c r="AA82" s="71"/>
      <c r="AB82" s="50"/>
      <c r="AC82" s="50"/>
      <c r="AD82" s="50"/>
      <c r="AE82" s="50"/>
      <c r="AF82" s="66"/>
      <c r="AG82" s="71"/>
      <c r="AH82" s="68"/>
      <c r="AI82" s="72"/>
      <c r="AJ82" s="68"/>
    </row>
    <row r="83" spans="2:45" s="54" customFormat="1" ht="14.25" customHeight="1">
      <c r="B83" s="28" t="s">
        <v>477</v>
      </c>
      <c r="C83" s="21"/>
      <c r="D83" s="62">
        <f>IS!P27</f>
        <v>0</v>
      </c>
      <c r="E83" s="62">
        <f>IS!Q27</f>
        <v>0</v>
      </c>
      <c r="F83" s="62">
        <f>IS!R27</f>
        <v>0</v>
      </c>
      <c r="G83" s="62">
        <f>IS!S27</f>
        <v>0</v>
      </c>
      <c r="H83" s="68">
        <f>IS!T27</f>
        <v>0</v>
      </c>
      <c r="I83" s="48"/>
      <c r="J83" s="62">
        <f>IS!V27</f>
        <v>0</v>
      </c>
      <c r="K83" s="62">
        <f>IS!W27</f>
        <v>0</v>
      </c>
      <c r="L83" s="62">
        <f>IS!X27</f>
        <v>0</v>
      </c>
      <c r="M83" s="62">
        <f>IS!Y27</f>
        <v>0</v>
      </c>
      <c r="N83" s="68">
        <f>IS!Z27</f>
        <v>0</v>
      </c>
      <c r="O83" s="71"/>
      <c r="P83" s="62">
        <f>IS!AB27</f>
        <v>0</v>
      </c>
      <c r="Q83" s="62">
        <f>IS!AC27</f>
        <v>0</v>
      </c>
      <c r="R83" s="62">
        <f>IS!AD27</f>
        <v>0</v>
      </c>
      <c r="S83" s="62">
        <f>IS!AE27</f>
        <v>0</v>
      </c>
      <c r="T83" s="68">
        <f>IS!AF27</f>
        <v>0</v>
      </c>
      <c r="U83" s="49"/>
      <c r="V83" s="62">
        <f>IS!AH27</f>
        <v>0</v>
      </c>
      <c r="W83" s="62">
        <f>IS!AI27</f>
        <v>0</v>
      </c>
      <c r="X83" s="46">
        <f>(X84+Sensitivity!$U$40)*X$71</f>
        <v>0</v>
      </c>
      <c r="Y83" s="46">
        <f>(Y84+Sensitivity!$U$40)*Y$71</f>
        <v>0</v>
      </c>
      <c r="Z83" s="57">
        <f>SUM(V83:Y83)</f>
        <v>0</v>
      </c>
      <c r="AA83" s="71"/>
      <c r="AB83" s="46">
        <f>(AB84+Sensitivity!$U$40)*AB$71</f>
        <v>0</v>
      </c>
      <c r="AC83" s="46">
        <f>(AC84+Sensitivity!$U$40)*AC$71</f>
        <v>0</v>
      </c>
      <c r="AD83" s="46">
        <f>(AD84+Sensitivity!$U$40)*AD$71</f>
        <v>0</v>
      </c>
      <c r="AE83" s="46">
        <f>(AE84+Sensitivity!$U$40)*AE$71</f>
        <v>0</v>
      </c>
      <c r="AF83" s="57">
        <f>SUM(AB83:AE83)</f>
        <v>0</v>
      </c>
      <c r="AG83" s="57"/>
      <c r="AH83" s="57">
        <f>(AH84+Sensitivity!$U$40)*AH$71</f>
        <v>0</v>
      </c>
      <c r="AI83" s="57"/>
      <c r="AJ83" s="57">
        <f>(AJ84+Sensitivity!$U$40)*AJ$71</f>
        <v>0</v>
      </c>
      <c r="AK83" s="57"/>
      <c r="AL83" s="57">
        <f>(AL84+Sensitivity!$U$40)*AL$71</f>
        <v>0</v>
      </c>
    </row>
    <row r="84" spans="2:45" s="54" customFormat="1" ht="14.25" customHeight="1">
      <c r="B84" s="31" t="s">
        <v>473</v>
      </c>
      <c r="C84" s="23"/>
      <c r="D84" s="304">
        <f>D83/D71</f>
        <v>0</v>
      </c>
      <c r="E84" s="304">
        <f t="shared" ref="E84:H84" si="21">E83/E71</f>
        <v>0</v>
      </c>
      <c r="F84" s="304">
        <f t="shared" si="21"/>
        <v>0</v>
      </c>
      <c r="G84" s="304">
        <f t="shared" si="21"/>
        <v>0</v>
      </c>
      <c r="H84" s="307">
        <f t="shared" si="21"/>
        <v>0</v>
      </c>
      <c r="I84" s="48"/>
      <c r="J84" s="304">
        <f>J83/J71</f>
        <v>0</v>
      </c>
      <c r="K84" s="304">
        <f t="shared" ref="K84:N84" si="22">K83/K71</f>
        <v>0</v>
      </c>
      <c r="L84" s="304">
        <f t="shared" si="22"/>
        <v>0</v>
      </c>
      <c r="M84" s="304">
        <f t="shared" si="22"/>
        <v>0</v>
      </c>
      <c r="N84" s="307">
        <f t="shared" si="22"/>
        <v>0</v>
      </c>
      <c r="O84" s="71"/>
      <c r="P84" s="304">
        <f>P83/P71</f>
        <v>0</v>
      </c>
      <c r="Q84" s="304">
        <f t="shared" ref="Q84:T84" si="23">Q83/Q71</f>
        <v>0</v>
      </c>
      <c r="R84" s="304">
        <f t="shared" si="23"/>
        <v>0</v>
      </c>
      <c r="S84" s="304">
        <f t="shared" si="23"/>
        <v>0</v>
      </c>
      <c r="T84" s="307">
        <f t="shared" si="23"/>
        <v>0</v>
      </c>
      <c r="U84" s="49"/>
      <c r="V84" s="304">
        <f>V83/V71</f>
        <v>0</v>
      </c>
      <c r="W84" s="304">
        <f t="shared" ref="W84" si="24">W83/W71</f>
        <v>0</v>
      </c>
      <c r="X84" s="315">
        <v>0</v>
      </c>
      <c r="Y84" s="315">
        <v>0</v>
      </c>
      <c r="Z84" s="305"/>
      <c r="AA84" s="71"/>
      <c r="AB84" s="315">
        <v>0</v>
      </c>
      <c r="AC84" s="315">
        <v>0</v>
      </c>
      <c r="AD84" s="315">
        <v>0</v>
      </c>
      <c r="AE84" s="315">
        <v>0</v>
      </c>
      <c r="AF84" s="305"/>
      <c r="AG84" s="71"/>
      <c r="AH84" s="315">
        <v>0</v>
      </c>
      <c r="AI84" s="72"/>
      <c r="AJ84" s="315">
        <v>0</v>
      </c>
      <c r="AL84" s="315">
        <v>0</v>
      </c>
    </row>
    <row r="85" spans="2:45" s="54" customFormat="1" ht="14.25" customHeight="1">
      <c r="B85" s="29"/>
      <c r="C85" s="21"/>
      <c r="D85" s="46"/>
      <c r="E85" s="46"/>
      <c r="F85" s="46"/>
      <c r="G85" s="46"/>
      <c r="H85" s="66"/>
      <c r="I85" s="48"/>
      <c r="J85" s="46"/>
      <c r="K85" s="46"/>
      <c r="L85" s="46"/>
      <c r="M85" s="46"/>
      <c r="N85" s="66"/>
      <c r="O85" s="71"/>
      <c r="P85" s="46"/>
      <c r="Q85" s="46"/>
      <c r="R85" s="46"/>
      <c r="S85" s="46"/>
      <c r="T85" s="66"/>
      <c r="U85" s="49"/>
      <c r="V85" s="46"/>
      <c r="W85" s="46"/>
      <c r="X85" s="50"/>
      <c r="Y85" s="50"/>
      <c r="Z85" s="66"/>
      <c r="AA85" s="71"/>
      <c r="AB85" s="50"/>
      <c r="AC85" s="50"/>
      <c r="AD85" s="50"/>
      <c r="AE85" s="50"/>
      <c r="AF85" s="66"/>
      <c r="AG85" s="71"/>
      <c r="AH85" s="68"/>
      <c r="AI85" s="72"/>
      <c r="AJ85" s="68"/>
    </row>
    <row r="86" spans="2:45" s="54" customFormat="1" ht="14.25" customHeight="1">
      <c r="B86" s="28" t="s">
        <v>478</v>
      </c>
      <c r="C86" s="23"/>
      <c r="D86" s="50">
        <f>IS!P29</f>
        <v>0</v>
      </c>
      <c r="E86" s="50">
        <f>IS!Q29</f>
        <v>0</v>
      </c>
      <c r="F86" s="50">
        <f>IS!R29</f>
        <v>0</v>
      </c>
      <c r="G86" s="50">
        <f>IS!S29</f>
        <v>0</v>
      </c>
      <c r="H86" s="68">
        <f>IS!T29</f>
        <v>0</v>
      </c>
      <c r="I86" s="48"/>
      <c r="J86" s="50">
        <f>IS!V29</f>
        <v>0</v>
      </c>
      <c r="K86" s="50">
        <f>IS!W29</f>
        <v>0</v>
      </c>
      <c r="L86" s="50">
        <f>IS!X29</f>
        <v>0</v>
      </c>
      <c r="M86" s="50">
        <f>IS!Y29</f>
        <v>0</v>
      </c>
      <c r="N86" s="68">
        <f>IS!Z29</f>
        <v>0</v>
      </c>
      <c r="O86" s="71"/>
      <c r="P86" s="50">
        <f>IS!AB29</f>
        <v>0</v>
      </c>
      <c r="Q86" s="50">
        <f>IS!AC29</f>
        <v>0</v>
      </c>
      <c r="R86" s="50">
        <f>IS!AD29</f>
        <v>0</v>
      </c>
      <c r="S86" s="50">
        <f>IS!AE29</f>
        <v>0</v>
      </c>
      <c r="T86" s="68">
        <f>IS!AF29</f>
        <v>0</v>
      </c>
      <c r="U86" s="49"/>
      <c r="V86" s="50">
        <f>IS!AH29</f>
        <v>0</v>
      </c>
      <c r="W86" s="50">
        <f>IS!AI29</f>
        <v>0</v>
      </c>
      <c r="X86" s="46">
        <f>X87*X80</f>
        <v>0</v>
      </c>
      <c r="Y86" s="46">
        <f>Y87*Y80</f>
        <v>0</v>
      </c>
      <c r="Z86" s="57">
        <f>SUM(V86:Y86)</f>
        <v>0</v>
      </c>
      <c r="AA86" s="71"/>
      <c r="AB86" s="46">
        <f t="shared" ref="AB86:AE86" si="25">AB87*AB80</f>
        <v>0</v>
      </c>
      <c r="AC86" s="46">
        <f t="shared" si="25"/>
        <v>0</v>
      </c>
      <c r="AD86" s="46">
        <f t="shared" si="25"/>
        <v>0</v>
      </c>
      <c r="AE86" s="46">
        <f t="shared" si="25"/>
        <v>0</v>
      </c>
      <c r="AF86" s="57">
        <f>SUM(AB86:AE86)</f>
        <v>0</v>
      </c>
      <c r="AG86" s="71"/>
      <c r="AH86" s="57">
        <f t="shared" ref="AH86:AJ86" si="26">AH87*AH80</f>
        <v>0</v>
      </c>
      <c r="AI86" s="72"/>
      <c r="AJ86" s="57">
        <f t="shared" si="26"/>
        <v>0</v>
      </c>
      <c r="AL86" s="57">
        <f>AL87*AL80</f>
        <v>0</v>
      </c>
      <c r="AS86" s="311"/>
    </row>
    <row r="87" spans="2:45" s="54" customFormat="1" ht="14.25" customHeight="1">
      <c r="B87" s="31" t="s">
        <v>479</v>
      </c>
      <c r="C87" s="21"/>
      <c r="D87" s="304">
        <f>D86/D80</f>
        <v>0</v>
      </c>
      <c r="E87" s="304">
        <f t="shared" ref="E87:G87" si="27">E86/E80</f>
        <v>0</v>
      </c>
      <c r="F87" s="304">
        <f t="shared" si="27"/>
        <v>0</v>
      </c>
      <c r="G87" s="304">
        <f t="shared" si="27"/>
        <v>0</v>
      </c>
      <c r="H87" s="307">
        <f>H86/H80</f>
        <v>0</v>
      </c>
      <c r="I87" s="48"/>
      <c r="J87" s="304">
        <f>J86/J80</f>
        <v>0</v>
      </c>
      <c r="K87" s="304">
        <f t="shared" ref="K87" si="28">K86/K80</f>
        <v>0</v>
      </c>
      <c r="L87" s="304">
        <f t="shared" ref="L87" si="29">L86/L80</f>
        <v>0</v>
      </c>
      <c r="M87" s="304">
        <f t="shared" ref="M87" si="30">M86/M80</f>
        <v>0</v>
      </c>
      <c r="N87" s="307">
        <f>N86/N80</f>
        <v>0</v>
      </c>
      <c r="O87" s="86"/>
      <c r="P87" s="304">
        <f>P86/P80</f>
        <v>0</v>
      </c>
      <c r="Q87" s="304">
        <f t="shared" ref="Q87" si="31">Q86/Q80</f>
        <v>0</v>
      </c>
      <c r="R87" s="304">
        <f t="shared" ref="R87" si="32">R86/R80</f>
        <v>0</v>
      </c>
      <c r="S87" s="304">
        <f t="shared" ref="S87" si="33">S86/S80</f>
        <v>0</v>
      </c>
      <c r="T87" s="307">
        <f>T86/T80</f>
        <v>0</v>
      </c>
      <c r="U87" s="82"/>
      <c r="V87" s="304">
        <f>V86/V80</f>
        <v>0</v>
      </c>
      <c r="W87" s="304">
        <f t="shared" ref="W87" si="34">W86/W80</f>
        <v>0</v>
      </c>
      <c r="X87" s="315">
        <v>0</v>
      </c>
      <c r="Y87" s="315">
        <v>0</v>
      </c>
      <c r="Z87" s="305">
        <f>Z86/Z$80</f>
        <v>0</v>
      </c>
      <c r="AA87" s="71"/>
      <c r="AB87" s="315">
        <v>0</v>
      </c>
      <c r="AC87" s="315">
        <v>0</v>
      </c>
      <c r="AD87" s="315">
        <v>0</v>
      </c>
      <c r="AE87" s="315">
        <v>0</v>
      </c>
      <c r="AF87" s="305">
        <f>AF86/AF$80</f>
        <v>0</v>
      </c>
      <c r="AG87" s="71"/>
      <c r="AH87" s="315">
        <v>0</v>
      </c>
      <c r="AI87" s="72"/>
      <c r="AJ87" s="315">
        <v>0</v>
      </c>
      <c r="AL87" s="315">
        <v>0</v>
      </c>
    </row>
    <row r="88" spans="2:45" s="54" customFormat="1" ht="14.25" customHeight="1">
      <c r="B88" s="31"/>
      <c r="C88" s="23"/>
      <c r="D88" s="304"/>
      <c r="E88" s="304"/>
      <c r="F88" s="304"/>
      <c r="G88" s="304"/>
      <c r="H88" s="307"/>
      <c r="I88" s="48"/>
      <c r="J88" s="304"/>
      <c r="K88" s="304"/>
      <c r="L88" s="304"/>
      <c r="M88" s="304"/>
      <c r="N88" s="307"/>
      <c r="O88" s="71"/>
      <c r="P88" s="304"/>
      <c r="Q88" s="304"/>
      <c r="R88" s="304"/>
      <c r="S88" s="304"/>
      <c r="T88" s="307"/>
      <c r="U88" s="49"/>
      <c r="V88" s="304"/>
      <c r="W88" s="304"/>
      <c r="X88" s="50"/>
      <c r="Y88" s="50"/>
      <c r="Z88" s="66"/>
      <c r="AA88" s="71"/>
      <c r="AB88" s="50"/>
      <c r="AC88" s="50"/>
      <c r="AD88" s="50"/>
      <c r="AE88" s="50"/>
      <c r="AF88" s="66"/>
      <c r="AG88" s="71"/>
      <c r="AH88" s="68"/>
      <c r="AI88" s="72"/>
      <c r="AJ88" s="68"/>
    </row>
    <row r="89" spans="2:45" s="54" customFormat="1" ht="14.25" customHeight="1">
      <c r="B89" s="28" t="s">
        <v>480</v>
      </c>
      <c r="C89" s="21"/>
      <c r="D89" s="50">
        <f>IS!P28</f>
        <v>971</v>
      </c>
      <c r="E89" s="50">
        <f>IS!Q28</f>
        <v>995</v>
      </c>
      <c r="F89" s="50">
        <f>IS!R28</f>
        <v>986</v>
      </c>
      <c r="G89" s="50">
        <f>IS!S28</f>
        <v>1018</v>
      </c>
      <c r="H89" s="68">
        <f>IS!T28</f>
        <v>3970</v>
      </c>
      <c r="I89" s="48"/>
      <c r="J89" s="50">
        <f>IS!V28</f>
        <v>1024</v>
      </c>
      <c r="K89" s="50">
        <f>IS!W28</f>
        <v>1046</v>
      </c>
      <c r="L89" s="50">
        <f>IS!X28</f>
        <v>1031</v>
      </c>
      <c r="M89" s="50">
        <f>IS!Y28</f>
        <v>1075</v>
      </c>
      <c r="N89" s="68">
        <f>IS!Z28</f>
        <v>4176</v>
      </c>
      <c r="O89" s="86"/>
      <c r="P89" s="50">
        <f>IS!AB28</f>
        <v>1071</v>
      </c>
      <c r="Q89" s="50">
        <f>IS!AC28</f>
        <v>1040</v>
      </c>
      <c r="R89" s="50">
        <f>IS!AD28</f>
        <v>1072</v>
      </c>
      <c r="S89" s="50">
        <f>IS!AE28</f>
        <v>1104</v>
      </c>
      <c r="T89" s="68">
        <f>IS!AF28</f>
        <v>4287</v>
      </c>
      <c r="U89" s="82"/>
      <c r="V89" s="50">
        <f>IS!AH28</f>
        <v>1078</v>
      </c>
      <c r="W89" s="50">
        <f>IS!AI28</f>
        <v>1063</v>
      </c>
      <c r="X89" s="46">
        <f>(X119+X122)*X90</f>
        <v>1023.8775358580275</v>
      </c>
      <c r="Y89" s="46">
        <f>(Y119+Y122)*Y90</f>
        <v>1026.739266799839</v>
      </c>
      <c r="Z89" s="57">
        <f>SUM(V89:Y89)</f>
        <v>4191.6168026578662</v>
      </c>
      <c r="AA89" s="185"/>
      <c r="AB89" s="46">
        <f>(AB119+AB122)*AB90</f>
        <v>959.45219165662741</v>
      </c>
      <c r="AC89" s="46">
        <f>(AC119+AC122)*AC90</f>
        <v>1018.1873052440586</v>
      </c>
      <c r="AD89" s="46">
        <f>(AD119+AD122)*AD90</f>
        <v>1014.904192639204</v>
      </c>
      <c r="AE89" s="46">
        <f>(AE119+AE122)*AE90</f>
        <v>1043.6882370579629</v>
      </c>
      <c r="AF89" s="57">
        <f>SUM(AB89:AE89)</f>
        <v>4036.2319265978526</v>
      </c>
      <c r="AG89" s="185"/>
      <c r="AH89" s="46">
        <f>(AH119+AH122)*AH90</f>
        <v>4052.5186673869093</v>
      </c>
      <c r="AI89" s="185"/>
      <c r="AJ89" s="46">
        <f>(AJ119+AJ122)*AJ90</f>
        <v>4083.311965121713</v>
      </c>
      <c r="AK89" s="66"/>
      <c r="AL89" s="46">
        <f>(AL119+AL122)*AL90</f>
        <v>4120.8737529697009</v>
      </c>
    </row>
    <row r="90" spans="2:45" s="54" customFormat="1" ht="14.25" customHeight="1">
      <c r="B90" s="31" t="s">
        <v>481</v>
      </c>
      <c r="C90" s="23"/>
      <c r="D90" s="304">
        <f>D89/(D119+D122)</f>
        <v>1.6531036126527971E-2</v>
      </c>
      <c r="E90" s="304">
        <f>E89/(E119+E122)</f>
        <v>1.6618509177759592E-2</v>
      </c>
      <c r="F90" s="304">
        <f>F89/(F119+F122)</f>
        <v>1.6234193888303477E-2</v>
      </c>
      <c r="G90" s="304">
        <f>G89/(G119+G122)</f>
        <v>1.6539667581926595E-2</v>
      </c>
      <c r="H90" s="307">
        <f>H89/(H119+H122)</f>
        <v>6.450145412598092E-2</v>
      </c>
      <c r="I90" s="48"/>
      <c r="J90" s="304">
        <f>J89/(J119+J122)</f>
        <v>1.6425787202643524E-2</v>
      </c>
      <c r="K90" s="304">
        <f>K89/(K119+K122)</f>
        <v>1.6479967229128263E-2</v>
      </c>
      <c r="L90" s="304">
        <f>L89/(L119+L122)</f>
        <v>1.6181686913394229E-2</v>
      </c>
      <c r="M90" s="304">
        <f>M89/(M119+M122)</f>
        <v>1.6611552368884629E-2</v>
      </c>
      <c r="N90" s="307">
        <f>N89/(N119+N122)</f>
        <v>6.4530086225546249E-2</v>
      </c>
      <c r="O90" s="71"/>
      <c r="P90" s="304">
        <f>P89/(P119+P122)</f>
        <v>1.6496465043205028E-2</v>
      </c>
      <c r="Q90" s="304">
        <f>Q89/(Q119+Q122)</f>
        <v>1.5940407400027588E-2</v>
      </c>
      <c r="R90" s="304">
        <f>R89/(R119+R122)</f>
        <v>1.6520519656644424E-2</v>
      </c>
      <c r="S90" s="304">
        <f>S89/(S119+S122)</f>
        <v>1.6929918724122067E-2</v>
      </c>
      <c r="T90" s="307">
        <f>T89/(T119+T122)</f>
        <v>6.5741450697745743E-2</v>
      </c>
      <c r="U90" s="49"/>
      <c r="V90" s="304">
        <f>V89/(V119+V122)</f>
        <v>1.6620156951018331E-2</v>
      </c>
      <c r="W90" s="304">
        <f>W89/(W119+W122)</f>
        <v>1.6579066394248016E-2</v>
      </c>
      <c r="X90" s="315">
        <v>1.6E-2</v>
      </c>
      <c r="Y90" s="315">
        <v>1.6E-2</v>
      </c>
      <c r="Z90" s="307">
        <f>Z89/( Z119+Z122)</f>
        <v>6.531927920859408E-2</v>
      </c>
      <c r="AA90" s="71"/>
      <c r="AB90" s="315">
        <v>1.4999999999999999E-2</v>
      </c>
      <c r="AC90" s="315">
        <v>1.6E-2</v>
      </c>
      <c r="AD90" s="315">
        <v>1.6E-2</v>
      </c>
      <c r="AE90" s="315">
        <v>1.6500000000000001E-2</v>
      </c>
      <c r="AF90" s="307">
        <f>AF89/( AF119+AF122)</f>
        <v>6.3810077017439792E-2</v>
      </c>
      <c r="AG90" s="71"/>
      <c r="AH90" s="315">
        <v>6.5000000000000002E-2</v>
      </c>
      <c r="AI90" s="654"/>
      <c r="AJ90" s="315">
        <v>6.6000000000000003E-2</v>
      </c>
      <c r="AL90" s="315">
        <v>6.6500000000000004E-2</v>
      </c>
    </row>
    <row r="91" spans="2:45" s="54" customFormat="1" ht="14.25" customHeight="1">
      <c r="B91" s="31"/>
      <c r="C91" s="23"/>
      <c r="D91" s="304"/>
      <c r="E91" s="304"/>
      <c r="F91" s="304"/>
      <c r="G91" s="304"/>
      <c r="H91" s="307"/>
      <c r="I91" s="48"/>
      <c r="J91" s="304"/>
      <c r="K91" s="304"/>
      <c r="L91" s="304"/>
      <c r="M91" s="304"/>
      <c r="N91" s="307"/>
      <c r="O91" s="71"/>
      <c r="P91" s="304"/>
      <c r="Q91" s="304"/>
      <c r="R91" s="304"/>
      <c r="S91" s="304"/>
      <c r="T91" s="307"/>
      <c r="U91" s="49"/>
      <c r="V91" s="304"/>
      <c r="W91" s="304"/>
      <c r="X91" s="50"/>
      <c r="Y91" s="50"/>
      <c r="Z91" s="66"/>
      <c r="AA91" s="71"/>
      <c r="AB91" s="50"/>
      <c r="AC91" s="50"/>
      <c r="AD91" s="50"/>
      <c r="AE91" s="50"/>
      <c r="AF91" s="66"/>
      <c r="AG91" s="71"/>
      <c r="AH91" s="68"/>
      <c r="AI91" s="72"/>
      <c r="AJ91" s="68"/>
    </row>
    <row r="92" spans="2:45" s="54" customFormat="1" ht="14.25" customHeight="1">
      <c r="B92" s="300" t="s">
        <v>482</v>
      </c>
      <c r="C92" s="23"/>
      <c r="D92" s="50">
        <f>IS!P64</f>
        <v>0</v>
      </c>
      <c r="E92" s="50">
        <f>IS!Q64</f>
        <v>0</v>
      </c>
      <c r="F92" s="50">
        <f>IS!R64</f>
        <v>0</v>
      </c>
      <c r="G92" s="50">
        <f>IS!S64</f>
        <v>0</v>
      </c>
      <c r="H92" s="68">
        <f>IS!T64</f>
        <v>0</v>
      </c>
      <c r="I92" s="48"/>
      <c r="J92" s="50">
        <f>IS!V64</f>
        <v>0</v>
      </c>
      <c r="K92" s="50">
        <f>IS!W64</f>
        <v>0</v>
      </c>
      <c r="L92" s="50">
        <f>IS!X64</f>
        <v>0</v>
      </c>
      <c r="M92" s="50">
        <f>IS!Y64</f>
        <v>0</v>
      </c>
      <c r="N92" s="68">
        <f>IS!Z64</f>
        <v>0</v>
      </c>
      <c r="O92" s="71"/>
      <c r="P92" s="50">
        <f>IS!AB64</f>
        <v>0</v>
      </c>
      <c r="Q92" s="50">
        <f>IS!AC64</f>
        <v>0</v>
      </c>
      <c r="R92" s="50">
        <f>IS!AD64</f>
        <v>0</v>
      </c>
      <c r="S92" s="50">
        <f>IS!AE64</f>
        <v>0</v>
      </c>
      <c r="T92" s="68">
        <f>IS!AF64</f>
        <v>0</v>
      </c>
      <c r="U92" s="49"/>
      <c r="V92" s="50">
        <f>IS!AH64</f>
        <v>0</v>
      </c>
      <c r="W92" s="50">
        <f>IS!AI64</f>
        <v>0</v>
      </c>
      <c r="X92" s="46">
        <f>X93*W119</f>
        <v>0</v>
      </c>
      <c r="Y92" s="46">
        <f>Y93*X119</f>
        <v>0</v>
      </c>
      <c r="Z92" s="57">
        <f>SUM(V92:Y92)</f>
        <v>0</v>
      </c>
      <c r="AA92" s="71"/>
      <c r="AB92" s="46">
        <f>AB93*Y119</f>
        <v>0</v>
      </c>
      <c r="AC92" s="46">
        <f>AC93*AB119</f>
        <v>0</v>
      </c>
      <c r="AD92" s="46">
        <f t="shared" ref="AD92:AE92" si="35">AD93*AC119</f>
        <v>0</v>
      </c>
      <c r="AE92" s="46">
        <f t="shared" si="35"/>
        <v>0</v>
      </c>
      <c r="AF92" s="57">
        <f>SUM(AB92:AE92)</f>
        <v>0</v>
      </c>
      <c r="AG92" s="71"/>
      <c r="AH92" s="57">
        <f>AH93*AF119</f>
        <v>0</v>
      </c>
      <c r="AI92" s="72"/>
      <c r="AJ92" s="57">
        <f>AJ93*AH119</f>
        <v>0</v>
      </c>
      <c r="AL92" s="57">
        <f>AL93*AJ119</f>
        <v>0</v>
      </c>
    </row>
    <row r="93" spans="2:45" s="54" customFormat="1" ht="14.25" customHeight="1">
      <c r="B93" s="301" t="s">
        <v>483</v>
      </c>
      <c r="C93" s="23"/>
      <c r="D93" s="304">
        <f>D92/D119</f>
        <v>0</v>
      </c>
      <c r="E93" s="304">
        <f>E92/E119</f>
        <v>0</v>
      </c>
      <c r="F93" s="304">
        <f>F92/F119</f>
        <v>0</v>
      </c>
      <c r="G93" s="304">
        <f>G92/G119</f>
        <v>0</v>
      </c>
      <c r="H93" s="307">
        <f>H92/H119</f>
        <v>0</v>
      </c>
      <c r="I93" s="48"/>
      <c r="J93" s="304">
        <f>J92/J119</f>
        <v>0</v>
      </c>
      <c r="K93" s="304">
        <f>K92/K119</f>
        <v>0</v>
      </c>
      <c r="L93" s="304">
        <f>L92/L119</f>
        <v>0</v>
      </c>
      <c r="M93" s="304">
        <f>M92/M119</f>
        <v>0</v>
      </c>
      <c r="N93" s="307">
        <f>N92/N119</f>
        <v>0</v>
      </c>
      <c r="O93" s="71"/>
      <c r="P93" s="304">
        <f>P92/P119</f>
        <v>0</v>
      </c>
      <c r="Q93" s="304">
        <f>Q92/Q119</f>
        <v>0</v>
      </c>
      <c r="R93" s="304">
        <f>R92/R119</f>
        <v>0</v>
      </c>
      <c r="S93" s="304">
        <f>S92/S119</f>
        <v>0</v>
      </c>
      <c r="T93" s="307">
        <f>T92/T119</f>
        <v>0</v>
      </c>
      <c r="U93" s="49"/>
      <c r="V93" s="304">
        <f>V92/V119</f>
        <v>0</v>
      </c>
      <c r="W93" s="304">
        <f>W92/W119</f>
        <v>0</v>
      </c>
      <c r="X93" s="315">
        <v>0</v>
      </c>
      <c r="Y93" s="315">
        <v>0</v>
      </c>
      <c r="Z93" s="305">
        <f>Z92/Z119</f>
        <v>0</v>
      </c>
      <c r="AA93" s="71"/>
      <c r="AB93" s="315">
        <v>0</v>
      </c>
      <c r="AC93" s="315">
        <v>0</v>
      </c>
      <c r="AD93" s="315">
        <v>0</v>
      </c>
      <c r="AE93" s="315">
        <v>0</v>
      </c>
      <c r="AF93" s="305">
        <f>AF92/AF119</f>
        <v>0</v>
      </c>
      <c r="AG93" s="71"/>
      <c r="AH93" s="315">
        <v>0</v>
      </c>
      <c r="AI93" s="72"/>
      <c r="AJ93" s="315">
        <v>0</v>
      </c>
      <c r="AL93" s="315">
        <v>0</v>
      </c>
    </row>
    <row r="94" spans="2:45" s="54" customFormat="1" ht="14.25" customHeight="1">
      <c r="B94" s="31"/>
      <c r="C94" s="23"/>
      <c r="D94" s="304"/>
      <c r="E94" s="304"/>
      <c r="F94" s="304"/>
      <c r="G94" s="304"/>
      <c r="H94" s="307"/>
      <c r="I94" s="48"/>
      <c r="J94" s="304"/>
      <c r="K94" s="304"/>
      <c r="L94" s="304"/>
      <c r="M94" s="304"/>
      <c r="N94" s="307"/>
      <c r="O94" s="71"/>
      <c r="P94" s="304"/>
      <c r="Q94" s="304"/>
      <c r="R94" s="304"/>
      <c r="S94" s="304"/>
      <c r="T94" s="307"/>
      <c r="U94" s="49"/>
      <c r="V94" s="304"/>
      <c r="W94" s="304"/>
      <c r="X94" s="50"/>
      <c r="Y94" s="50"/>
      <c r="Z94" s="66"/>
      <c r="AA94" s="71"/>
      <c r="AB94" s="50"/>
      <c r="AC94" s="50"/>
      <c r="AD94" s="50"/>
      <c r="AE94" s="50"/>
      <c r="AF94" s="66"/>
      <c r="AG94" s="71"/>
      <c r="AH94" s="68"/>
      <c r="AI94" s="72"/>
      <c r="AJ94" s="68"/>
    </row>
    <row r="95" spans="2:45" s="54" customFormat="1" ht="14.25" customHeight="1">
      <c r="B95" s="300" t="s">
        <v>484</v>
      </c>
      <c r="C95" s="23"/>
      <c r="D95" s="50">
        <f>IS!P65</f>
        <v>0</v>
      </c>
      <c r="E95" s="50">
        <f>IS!Q65</f>
        <v>0</v>
      </c>
      <c r="F95" s="50">
        <f>IS!R65</f>
        <v>0</v>
      </c>
      <c r="G95" s="50">
        <f>IS!S65</f>
        <v>0</v>
      </c>
      <c r="H95" s="68">
        <f>IS!T65</f>
        <v>0</v>
      </c>
      <c r="I95" s="48"/>
      <c r="J95" s="50">
        <f>IS!V65</f>
        <v>0</v>
      </c>
      <c r="K95" s="50">
        <f>IS!W65</f>
        <v>0</v>
      </c>
      <c r="L95" s="50">
        <f>IS!X65</f>
        <v>0</v>
      </c>
      <c r="M95" s="50">
        <f>IS!Y65</f>
        <v>0</v>
      </c>
      <c r="N95" s="68">
        <f>IS!Z65</f>
        <v>0</v>
      </c>
      <c r="O95" s="71"/>
      <c r="P95" s="50">
        <f>IS!AB65</f>
        <v>0</v>
      </c>
      <c r="Q95" s="50">
        <f>IS!AC65</f>
        <v>0</v>
      </c>
      <c r="R95" s="50">
        <f>IS!AD65</f>
        <v>0</v>
      </c>
      <c r="S95" s="50">
        <f>IS!AE65</f>
        <v>0</v>
      </c>
      <c r="T95" s="68">
        <f>IS!AF65</f>
        <v>0</v>
      </c>
      <c r="U95" s="49"/>
      <c r="V95" s="50">
        <f>IS!AH65</f>
        <v>0</v>
      </c>
      <c r="W95" s="50">
        <f>IS!AI65</f>
        <v>0</v>
      </c>
      <c r="X95" s="46">
        <f>X96*W122</f>
        <v>0</v>
      </c>
      <c r="Y95" s="46">
        <f>Y96*X122</f>
        <v>0</v>
      </c>
      <c r="Z95" s="57">
        <f>SUM(V95:Y95)</f>
        <v>0</v>
      </c>
      <c r="AA95" s="71"/>
      <c r="AB95" s="46">
        <f>AB96*Y122</f>
        <v>0</v>
      </c>
      <c r="AC95" s="46">
        <f t="shared" ref="AC95:AE95" si="36">AC96*AB122</f>
        <v>0</v>
      </c>
      <c r="AD95" s="46">
        <f t="shared" si="36"/>
        <v>0</v>
      </c>
      <c r="AE95" s="46">
        <f t="shared" si="36"/>
        <v>0</v>
      </c>
      <c r="AF95" s="57">
        <f>SUM(AB95:AE95)</f>
        <v>0</v>
      </c>
      <c r="AG95" s="71"/>
      <c r="AH95" s="57">
        <f>AH96*AF122</f>
        <v>0</v>
      </c>
      <c r="AI95" s="72"/>
      <c r="AJ95" s="57">
        <f>AJ96*AH122</f>
        <v>0</v>
      </c>
      <c r="AL95" s="57">
        <f>AL96*AJ122</f>
        <v>0</v>
      </c>
    </row>
    <row r="96" spans="2:45" s="54" customFormat="1" ht="14.1" customHeight="1">
      <c r="B96" s="301" t="s">
        <v>485</v>
      </c>
      <c r="C96" s="23"/>
      <c r="D96" s="304">
        <f>D95/D122</f>
        <v>0</v>
      </c>
      <c r="E96" s="304">
        <f>E95/E122</f>
        <v>0</v>
      </c>
      <c r="F96" s="304">
        <f>F95/F122</f>
        <v>0</v>
      </c>
      <c r="G96" s="304">
        <f>G95/G122</f>
        <v>0</v>
      </c>
      <c r="H96" s="307">
        <f>H95/H122</f>
        <v>0</v>
      </c>
      <c r="I96" s="48"/>
      <c r="J96" s="304">
        <f>J95/J122</f>
        <v>0</v>
      </c>
      <c r="K96" s="304">
        <f>K95/K122</f>
        <v>0</v>
      </c>
      <c r="L96" s="304">
        <f>L95/L122</f>
        <v>0</v>
      </c>
      <c r="M96" s="304">
        <f>M95/M122</f>
        <v>0</v>
      </c>
      <c r="N96" s="307">
        <f>N95/N122</f>
        <v>0</v>
      </c>
      <c r="O96" s="71"/>
      <c r="P96" s="304">
        <f>P95/P122</f>
        <v>0</v>
      </c>
      <c r="Q96" s="304">
        <f>Q95/Q122</f>
        <v>0</v>
      </c>
      <c r="R96" s="304">
        <f>R95/R122</f>
        <v>0</v>
      </c>
      <c r="S96" s="304">
        <f>S95/S122</f>
        <v>0</v>
      </c>
      <c r="T96" s="307">
        <f>T95/T122</f>
        <v>0</v>
      </c>
      <c r="U96" s="49"/>
      <c r="V96" s="304">
        <f>V95/V122</f>
        <v>0</v>
      </c>
      <c r="W96" s="304">
        <f>W95/W122</f>
        <v>0</v>
      </c>
      <c r="X96" s="315">
        <v>0</v>
      </c>
      <c r="Y96" s="315">
        <v>0</v>
      </c>
      <c r="Z96" s="305">
        <f>Z95/Z122</f>
        <v>0</v>
      </c>
      <c r="AA96" s="71"/>
      <c r="AB96" s="315">
        <v>0</v>
      </c>
      <c r="AC96" s="315">
        <v>0</v>
      </c>
      <c r="AD96" s="315">
        <v>0</v>
      </c>
      <c r="AE96" s="315">
        <v>0</v>
      </c>
      <c r="AF96" s="305">
        <f>AF95/AF122</f>
        <v>0</v>
      </c>
      <c r="AG96" s="71"/>
      <c r="AH96" s="315">
        <v>0</v>
      </c>
      <c r="AI96" s="72"/>
      <c r="AJ96" s="315">
        <v>0</v>
      </c>
      <c r="AL96" s="315">
        <v>0</v>
      </c>
    </row>
    <row r="97" spans="2:38" s="54" customFormat="1" ht="14.25" customHeight="1">
      <c r="B97" s="31"/>
      <c r="C97" s="23"/>
      <c r="D97" s="46"/>
      <c r="E97" s="46"/>
      <c r="F97" s="46"/>
      <c r="G97" s="46"/>
      <c r="H97" s="66"/>
      <c r="I97" s="48"/>
      <c r="J97" s="46"/>
      <c r="K97" s="46"/>
      <c r="L97" s="46"/>
      <c r="M97" s="46"/>
      <c r="N97" s="66"/>
      <c r="O97" s="71"/>
      <c r="P97" s="46"/>
      <c r="Q97" s="46"/>
      <c r="R97" s="46"/>
      <c r="S97" s="46"/>
      <c r="T97" s="66"/>
      <c r="U97" s="49"/>
      <c r="V97" s="46"/>
      <c r="W97" s="46"/>
      <c r="X97" s="50"/>
      <c r="Y97" s="50"/>
      <c r="Z97" s="66"/>
      <c r="AA97" s="71"/>
      <c r="AB97" s="50"/>
      <c r="AC97" s="50"/>
      <c r="AD97" s="50"/>
      <c r="AE97" s="50"/>
      <c r="AF97" s="66"/>
      <c r="AG97" s="71"/>
      <c r="AH97" s="68"/>
      <c r="AI97" s="72"/>
      <c r="AJ97" s="68"/>
    </row>
    <row r="98" spans="2:38" s="54" customFormat="1" ht="14.25" customHeight="1">
      <c r="B98" s="39" t="s">
        <v>486</v>
      </c>
      <c r="C98" s="23"/>
      <c r="D98" s="50">
        <f>IS!P30+IS!P32</f>
        <v>3092</v>
      </c>
      <c r="E98" s="50">
        <f>IS!Q30+IS!Q32</f>
        <v>3020.1646000000001</v>
      </c>
      <c r="F98" s="50">
        <f>IS!R30+IS!R32</f>
        <v>3429</v>
      </c>
      <c r="G98" s="50">
        <f>IS!S30+IS!S32</f>
        <v>3514</v>
      </c>
      <c r="H98" s="68">
        <f>IS!T30+IS!T32</f>
        <v>13302</v>
      </c>
      <c r="I98" s="48"/>
      <c r="J98" s="50">
        <f>IS!V30+IS!V32</f>
        <v>3473</v>
      </c>
      <c r="K98" s="50">
        <f>IS!W30+IS!W32</f>
        <v>3394.8227999999999</v>
      </c>
      <c r="L98" s="50">
        <f>IS!X30+IS!X32</f>
        <v>3410</v>
      </c>
      <c r="M98" s="50">
        <f>IS!Y30+IS!Y32</f>
        <v>3476</v>
      </c>
      <c r="N98" s="68">
        <f>IS!Z30+IS!Z32</f>
        <v>13793</v>
      </c>
      <c r="O98" s="71"/>
      <c r="P98" s="50">
        <f>IS!AB30+IS!AB32</f>
        <v>3123</v>
      </c>
      <c r="Q98" s="50">
        <f>IS!AC30+IS!AC32</f>
        <v>3156</v>
      </c>
      <c r="R98" s="50">
        <f>IS!AD30+IS!AD32</f>
        <v>3182</v>
      </c>
      <c r="S98" s="50">
        <f>IS!AE30+IS!AE32</f>
        <v>3250</v>
      </c>
      <c r="T98" s="68">
        <f>IS!AF30+IS!AF32</f>
        <v>12711</v>
      </c>
      <c r="U98" s="49"/>
      <c r="V98" s="50">
        <f>IS!AH30+IS!AH32</f>
        <v>3168</v>
      </c>
      <c r="W98" s="50">
        <f>IS!AI30+IS!AI32</f>
        <v>3201</v>
      </c>
      <c r="X98" s="46">
        <f>X99*X$71</f>
        <v>3391.9458196811206</v>
      </c>
      <c r="Y98" s="46">
        <f>Y99*Y$71</f>
        <v>3505.1904336927319</v>
      </c>
      <c r="Z98" s="57">
        <f>SUM(V98:Y98)</f>
        <v>13266.136253373854</v>
      </c>
      <c r="AA98" s="71"/>
      <c r="AB98" s="46">
        <f>AB99*AB$71</f>
        <v>3141.3111642703129</v>
      </c>
      <c r="AC98" s="46">
        <f>AC99*AC$71</f>
        <v>3342.2518432054453</v>
      </c>
      <c r="AD98" s="46">
        <f>AD99*AD$71</f>
        <v>3525.6793437012761</v>
      </c>
      <c r="AE98" s="46">
        <f>AE99*AE$71</f>
        <v>3594.8103112248309</v>
      </c>
      <c r="AF98" s="57">
        <f>SUM(AB98:AE98)</f>
        <v>13604.052662401864</v>
      </c>
      <c r="AG98" s="71"/>
      <c r="AH98" s="57">
        <f>AH99*AH$71</f>
        <v>13682.133797213599</v>
      </c>
      <c r="AI98" s="72"/>
      <c r="AJ98" s="57">
        <f>AJ99*AJ$71</f>
        <v>14362.011853348278</v>
      </c>
      <c r="AL98" s="57">
        <f>AL99*AL$71</f>
        <v>14167.815312326855</v>
      </c>
    </row>
    <row r="99" spans="2:38" s="54" customFormat="1" ht="14.25" customHeight="1">
      <c r="B99" s="31" t="s">
        <v>473</v>
      </c>
      <c r="C99" s="21"/>
      <c r="D99" s="304">
        <f>D98/D71</f>
        <v>0.14052629186929055</v>
      </c>
      <c r="E99" s="304">
        <f>E98/E71</f>
        <v>0.1286599897759223</v>
      </c>
      <c r="F99" s="304">
        <f>F98/F71</f>
        <v>0.14504462586185018</v>
      </c>
      <c r="G99" s="304">
        <f>G98/G71</f>
        <v>0.14405181602033287</v>
      </c>
      <c r="H99" s="307">
        <f>H98/H71</f>
        <v>0.14224912310719479</v>
      </c>
      <c r="I99" s="48"/>
      <c r="J99" s="304">
        <f>J98/J71</f>
        <v>0.14942776008949316</v>
      </c>
      <c r="K99" s="304">
        <f>K98/K71</f>
        <v>0.14880436574033487</v>
      </c>
      <c r="L99" s="304">
        <f>L98/L71</f>
        <v>0.15381839505615949</v>
      </c>
      <c r="M99" s="304">
        <f>M98/M71</f>
        <v>0.15850433196534428</v>
      </c>
      <c r="N99" s="307">
        <f>N98/N71</f>
        <v>0.15299206921413122</v>
      </c>
      <c r="O99" s="86"/>
      <c r="P99" s="304">
        <f>P98/P71</f>
        <v>0.14404317144043172</v>
      </c>
      <c r="Q99" s="304">
        <f>Q98/Q71</f>
        <v>0.14238664561245207</v>
      </c>
      <c r="R99" s="304">
        <f>R98/R71</f>
        <v>0.14637961173981048</v>
      </c>
      <c r="S99" s="304">
        <f>S98/S71</f>
        <v>0.14699895969966981</v>
      </c>
      <c r="T99" s="307">
        <f>T98/T71</f>
        <v>0.14494885566692894</v>
      </c>
      <c r="U99" s="82"/>
      <c r="V99" s="304">
        <f>V98/V71</f>
        <v>0.14680939802585846</v>
      </c>
      <c r="W99" s="304">
        <f>W98/W71</f>
        <v>0.1457185778668002</v>
      </c>
      <c r="X99" s="315">
        <v>0.14799999999999999</v>
      </c>
      <c r="Y99" s="315">
        <v>0.15</v>
      </c>
      <c r="Z99" s="305">
        <f>Z98/Z$71</f>
        <v>0.14767637401729738</v>
      </c>
      <c r="AA99" s="71"/>
      <c r="AB99" s="315">
        <v>0.14199999999999999</v>
      </c>
      <c r="AC99" s="315">
        <v>0.14799999999999999</v>
      </c>
      <c r="AD99" s="315">
        <v>0.15</v>
      </c>
      <c r="AE99" s="315">
        <v>0.15</v>
      </c>
      <c r="AF99" s="305">
        <f>AF98/AF$71</f>
        <v>0.14758999999999997</v>
      </c>
      <c r="AG99" s="71"/>
      <c r="AH99" s="315">
        <v>0.14399999999999999</v>
      </c>
      <c r="AI99" s="72"/>
      <c r="AJ99" s="315">
        <v>0.14599999999999999</v>
      </c>
      <c r="AL99" s="315">
        <v>0.14499999999999999</v>
      </c>
    </row>
    <row r="100" spans="2:38" s="54" customFormat="1" ht="14.25" customHeight="1">
      <c r="B100" s="39"/>
      <c r="C100" s="23"/>
      <c r="D100" s="46"/>
      <c r="E100" s="46"/>
      <c r="F100" s="46"/>
      <c r="G100" s="46"/>
      <c r="H100" s="66"/>
      <c r="I100" s="48"/>
      <c r="J100" s="46"/>
      <c r="K100" s="46"/>
      <c r="L100" s="46"/>
      <c r="M100" s="46"/>
      <c r="N100" s="66"/>
      <c r="O100" s="71"/>
      <c r="P100" s="46"/>
      <c r="Q100" s="46"/>
      <c r="R100" s="46"/>
      <c r="S100" s="46"/>
      <c r="T100" s="66"/>
      <c r="U100" s="49"/>
      <c r="V100" s="46"/>
      <c r="W100" s="46"/>
      <c r="X100" s="50"/>
      <c r="Y100" s="50"/>
      <c r="Z100" s="66"/>
      <c r="AA100" s="71"/>
      <c r="AB100" s="50"/>
      <c r="AC100" s="50"/>
      <c r="AD100" s="50"/>
      <c r="AE100" s="50"/>
      <c r="AF100" s="66"/>
      <c r="AG100" s="71"/>
      <c r="AH100" s="68"/>
      <c r="AI100" s="72"/>
      <c r="AJ100" s="68"/>
    </row>
    <row r="101" spans="2:38" s="54" customFormat="1" ht="14.25" customHeight="1">
      <c r="B101" s="28" t="s">
        <v>487</v>
      </c>
      <c r="C101" s="23"/>
      <c r="D101" s="50">
        <f>IS!P33</f>
        <v>1494</v>
      </c>
      <c r="E101" s="50">
        <f>IS!Q33</f>
        <v>1921.8353999999999</v>
      </c>
      <c r="F101" s="50">
        <f>IS!R33</f>
        <v>1462</v>
      </c>
      <c r="G101" s="50">
        <f>IS!S33</f>
        <v>2234</v>
      </c>
      <c r="H101" s="68">
        <f>IS!T33</f>
        <v>6865</v>
      </c>
      <c r="I101" s="48"/>
      <c r="J101" s="50">
        <f>IS!V33</f>
        <v>1234</v>
      </c>
      <c r="K101" s="50">
        <f>IS!W33</f>
        <v>1246.1772000000001</v>
      </c>
      <c r="L101" s="50">
        <f>IS!X33</f>
        <v>1165</v>
      </c>
      <c r="M101" s="50">
        <f>IS!Y33</f>
        <v>1767</v>
      </c>
      <c r="N101" s="68">
        <f>IS!Z33</f>
        <v>5373</v>
      </c>
      <c r="O101" s="71"/>
      <c r="P101" s="50">
        <f>IS!AB33</f>
        <v>1590</v>
      </c>
      <c r="Q101" s="50">
        <f>IS!AC33</f>
        <v>1421</v>
      </c>
      <c r="R101" s="50">
        <f>IS!AD33</f>
        <v>1357</v>
      </c>
      <c r="S101" s="50">
        <f>IS!AE33</f>
        <v>1873</v>
      </c>
      <c r="T101" s="68">
        <f>IS!AF33</f>
        <v>6241</v>
      </c>
      <c r="U101" s="49"/>
      <c r="V101" s="50">
        <f>IS!AH33</f>
        <v>1208</v>
      </c>
      <c r="W101" s="50">
        <f>IS!AI33</f>
        <v>1378</v>
      </c>
      <c r="X101" s="46">
        <f>X80-X83-X86-X89-X98</f>
        <v>684.70057804216049</v>
      </c>
      <c r="Y101" s="46">
        <f>Y80-Y83-Y86-Y89-Y98</f>
        <v>668.60450629621391</v>
      </c>
      <c r="Z101" s="66">
        <f>SUM(V101:Y101)</f>
        <v>3939.3050843383744</v>
      </c>
      <c r="AA101" s="71"/>
      <c r="AB101" s="46">
        <f>AB80-AB83-AB86-AB89-AB98</f>
        <v>790.16963920350781</v>
      </c>
      <c r="AC101" s="46">
        <f t="shared" ref="AC101:AE101" si="37">AC80-AC83-AC86-AC89-AC98</f>
        <v>632.38828407949632</v>
      </c>
      <c r="AD101" s="46">
        <f t="shared" si="37"/>
        <v>656.03277098561966</v>
      </c>
      <c r="AE101" s="46">
        <f t="shared" si="37"/>
        <v>660.0121964418604</v>
      </c>
      <c r="AF101" s="66">
        <f>SUM(AB101:AE101)</f>
        <v>2738.6028907104842</v>
      </c>
      <c r="AG101" s="71"/>
      <c r="AH101" s="54">
        <f>AH80-AH83-AH86-AH89-AH98</f>
        <v>3272.1736550241731</v>
      </c>
      <c r="AI101" s="72"/>
      <c r="AJ101" s="54">
        <f>AJ80-AJ83-AJ86-AJ89-AJ98</f>
        <v>4282.0680897326565</v>
      </c>
      <c r="AL101" s="54">
        <f>AL80-AL83-AL86-AL89-AL98</f>
        <v>5329.5476057079086</v>
      </c>
    </row>
    <row r="102" spans="2:38" s="54" customFormat="1" ht="14.25" customHeight="1">
      <c r="B102" s="31" t="s">
        <v>473</v>
      </c>
      <c r="C102" s="23"/>
      <c r="D102" s="304">
        <f>D101/D71</f>
        <v>6.7899831841112576E-2</v>
      </c>
      <c r="E102" s="304">
        <f>E101/E71</f>
        <v>8.1870810258157956E-2</v>
      </c>
      <c r="F102" s="304">
        <f>F101/F71</f>
        <v>6.184171566346601E-2</v>
      </c>
      <c r="G102" s="304">
        <f>G101/G71</f>
        <v>9.1579896695908825E-2</v>
      </c>
      <c r="H102" s="307">
        <f>H101/H71</f>
        <v>7.3413037898879291E-2</v>
      </c>
      <c r="I102" s="48"/>
      <c r="J102" s="304">
        <f>J101/J71</f>
        <v>5.3093537561311417E-2</v>
      </c>
      <c r="K102" s="304">
        <f>K101/K71</f>
        <v>5.4623354080827566E-2</v>
      </c>
      <c r="L102" s="304">
        <f>L101/L71</f>
        <v>5.2550859308042763E-2</v>
      </c>
      <c r="M102" s="304">
        <f>M101/M71</f>
        <v>8.0574555403556777E-2</v>
      </c>
      <c r="N102" s="307">
        <f>N101/N71</f>
        <v>5.9597360102046477E-2</v>
      </c>
      <c r="O102" s="71"/>
      <c r="P102" s="304">
        <f>P101/P71</f>
        <v>7.3336100733361012E-2</v>
      </c>
      <c r="Q102" s="304">
        <f>Q101/Q71</f>
        <v>6.4110083464922168E-2</v>
      </c>
      <c r="R102" s="304">
        <f>R101/R71</f>
        <v>6.2425246112797865E-2</v>
      </c>
      <c r="S102" s="304">
        <f>S101/S71</f>
        <v>8.4716631236148171E-2</v>
      </c>
      <c r="T102" s="307">
        <f>T101/T71</f>
        <v>7.1168736387168877E-2</v>
      </c>
      <c r="U102" s="49"/>
      <c r="V102" s="304">
        <f>V101/V71</f>
        <v>5.5980351267435932E-2</v>
      </c>
      <c r="W102" s="304">
        <f>W101/W71</f>
        <v>6.2730459325351665E-2</v>
      </c>
      <c r="X102" s="306">
        <f t="shared" ref="X102:Y102" si="38">X101/X$71</f>
        <v>2.9875384495312015E-2</v>
      </c>
      <c r="Y102" s="306">
        <f t="shared" si="38"/>
        <v>2.8612047716556004E-2</v>
      </c>
      <c r="Z102" s="305">
        <f>Z101/Z$71</f>
        <v>4.3851674661870434E-2</v>
      </c>
      <c r="AA102" s="71"/>
      <c r="AB102" s="306">
        <f>AB101/AB$71</f>
        <v>3.5718871165366289E-2</v>
      </c>
      <c r="AC102" s="306">
        <f t="shared" ref="AC102" si="39">AC101/AC$71</f>
        <v>2.8003115993199063E-2</v>
      </c>
      <c r="AD102" s="306">
        <f t="shared" ref="AD102" si="40">AD101/AD$71</f>
        <v>2.7910909091504892E-2</v>
      </c>
      <c r="AE102" s="306">
        <f t="shared" ref="AE102" si="41">AE101/AE$71</f>
        <v>2.7540209606371959E-2</v>
      </c>
      <c r="AF102" s="305">
        <f>AF101/AF$71</f>
        <v>2.9711028814012136E-2</v>
      </c>
      <c r="AG102" s="71"/>
      <c r="AH102" s="305">
        <f>AH101/AH$71</f>
        <v>3.443856150708309E-2</v>
      </c>
      <c r="AI102" s="72"/>
      <c r="AJ102" s="305">
        <f>AJ101/AJ$71</f>
        <v>4.3530248232960235E-2</v>
      </c>
      <c r="AL102" s="305">
        <f>AL101/AL$71</f>
        <v>5.4545064697115134E-2</v>
      </c>
    </row>
    <row r="103" spans="2:38" s="54" customFormat="1" ht="14.25" customHeight="1">
      <c r="B103" s="31"/>
      <c r="C103" s="23"/>
      <c r="D103" s="46"/>
      <c r="E103" s="46"/>
      <c r="F103" s="46"/>
      <c r="G103" s="46"/>
      <c r="H103" s="66"/>
      <c r="I103" s="48"/>
      <c r="J103" s="46"/>
      <c r="K103" s="46"/>
      <c r="L103" s="46"/>
      <c r="M103" s="46"/>
      <c r="N103" s="66"/>
      <c r="O103" s="71"/>
      <c r="P103" s="46"/>
      <c r="Q103" s="46"/>
      <c r="R103" s="46"/>
      <c r="S103" s="46"/>
      <c r="T103" s="66"/>
      <c r="U103" s="49"/>
      <c r="V103" s="46"/>
      <c r="W103" s="46"/>
      <c r="X103" s="50"/>
      <c r="Y103" s="50"/>
      <c r="Z103" s="66"/>
      <c r="AA103" s="71"/>
      <c r="AB103" s="50"/>
      <c r="AC103" s="50"/>
      <c r="AD103" s="50"/>
      <c r="AE103" s="50"/>
      <c r="AF103" s="66"/>
      <c r="AG103" s="71"/>
      <c r="AH103" s="68"/>
      <c r="AI103" s="72"/>
      <c r="AJ103" s="68"/>
    </row>
    <row r="104" spans="2:38" s="54" customFormat="1" ht="14.25" customHeight="1">
      <c r="B104" s="28" t="s">
        <v>488</v>
      </c>
      <c r="C104" s="23"/>
      <c r="D104" s="319">
        <f>IS!P59</f>
        <v>266</v>
      </c>
      <c r="E104" s="319">
        <f>IS!Q59</f>
        <v>265</v>
      </c>
      <c r="F104" s="319">
        <f>IS!R59</f>
        <v>261</v>
      </c>
      <c r="G104" s="319">
        <f>IS!S59</f>
        <v>261</v>
      </c>
      <c r="H104" s="329">
        <f>IS!T59</f>
        <v>263</v>
      </c>
      <c r="I104" s="330"/>
      <c r="J104" s="319">
        <f>IS!V59</f>
        <v>259</v>
      </c>
      <c r="K104" s="319">
        <f>IS!W59</f>
        <v>255</v>
      </c>
      <c r="L104" s="319">
        <f>IS!X59</f>
        <v>251</v>
      </c>
      <c r="M104" s="319">
        <f>IS!Y59</f>
        <v>251</v>
      </c>
      <c r="N104" s="329">
        <f>IS!Z59</f>
        <v>254</v>
      </c>
      <c r="O104" s="333"/>
      <c r="P104" s="319">
        <f>IS!AB59</f>
        <v>251</v>
      </c>
      <c r="Q104" s="319">
        <f>IS!AC59</f>
        <v>250</v>
      </c>
      <c r="R104" s="319">
        <f>IS!AD59</f>
        <v>247</v>
      </c>
      <c r="S104" s="319">
        <f>IS!AE59</f>
        <v>248</v>
      </c>
      <c r="T104" s="329">
        <f>IS!AF59</f>
        <v>251</v>
      </c>
      <c r="U104" s="334"/>
      <c r="V104" s="319">
        <f>IS!AH59</f>
        <v>244</v>
      </c>
      <c r="W104" s="319">
        <f>IS!AI59</f>
        <v>242</v>
      </c>
      <c r="X104" s="319">
        <f ca="1">W104+X142</f>
        <v>242.33414958178034</v>
      </c>
      <c r="Y104" s="319">
        <f ca="1">X104+Y142</f>
        <v>242.50234492943548</v>
      </c>
      <c r="Z104" s="329">
        <f ca="1">AVERAGE(V104:Y104)</f>
        <v>242.70912362780396</v>
      </c>
      <c r="AA104" s="71"/>
      <c r="AB104" s="319">
        <f ca="1">Y104+AB142</f>
        <v>242.94753922732139</v>
      </c>
      <c r="AC104" s="319">
        <f ca="1">AB104+AC142</f>
        <v>243.24902072299187</v>
      </c>
      <c r="AD104" s="319">
        <f ca="1">AC104+AD142</f>
        <v>243.56118664988713</v>
      </c>
      <c r="AE104" s="319">
        <f ca="1">AD104+AE142</f>
        <v>243.71950142120957</v>
      </c>
      <c r="AF104" s="329">
        <f ca="1">AVERAGE(AB104:AE104)</f>
        <v>243.36931200535247</v>
      </c>
      <c r="AG104" s="71"/>
      <c r="AH104" s="329">
        <f ca="1">AE104+AH142</f>
        <v>244.93809892831561</v>
      </c>
      <c r="AI104" s="72"/>
      <c r="AJ104" s="329">
        <f ca="1">AF104+AJ142</f>
        <v>244.59400249999405</v>
      </c>
      <c r="AL104" s="329">
        <f ca="1">AH104+AL142</f>
        <v>246.16106894081557</v>
      </c>
    </row>
    <row r="105" spans="2:38" s="54" customFormat="1" ht="14.25" customHeight="1">
      <c r="B105" s="28" t="s">
        <v>489</v>
      </c>
      <c r="C105" s="23"/>
      <c r="D105" s="319">
        <f>IS!P60</f>
        <v>271</v>
      </c>
      <c r="E105" s="319">
        <f>IS!Q60</f>
        <v>268</v>
      </c>
      <c r="F105" s="319">
        <f>IS!R60</f>
        <v>265</v>
      </c>
      <c r="G105" s="319">
        <f>IS!S60</f>
        <v>261</v>
      </c>
      <c r="H105" s="329">
        <f>IS!T60</f>
        <v>266</v>
      </c>
      <c r="I105" s="330"/>
      <c r="J105" s="319">
        <f>IS!V60</f>
        <v>262</v>
      </c>
      <c r="K105" s="319">
        <f>IS!W60</f>
        <v>256</v>
      </c>
      <c r="L105" s="319">
        <f>IS!X60</f>
        <v>253</v>
      </c>
      <c r="M105" s="319">
        <f>IS!Y60</f>
        <v>253</v>
      </c>
      <c r="N105" s="329">
        <f>IS!Z60</f>
        <v>256</v>
      </c>
      <c r="O105" s="333"/>
      <c r="P105" s="319">
        <f>IS!AB60</f>
        <v>254</v>
      </c>
      <c r="Q105" s="319">
        <f>IS!AC60</f>
        <v>253</v>
      </c>
      <c r="R105" s="319">
        <f>IS!AD60</f>
        <v>250</v>
      </c>
      <c r="S105" s="319">
        <f>IS!AE60</f>
        <v>248</v>
      </c>
      <c r="T105" s="329">
        <f>IS!AF60</f>
        <v>251</v>
      </c>
      <c r="U105" s="334"/>
      <c r="V105" s="319">
        <f>IS!AH60</f>
        <v>247</v>
      </c>
      <c r="W105" s="319">
        <f>IS!AI60</f>
        <v>244</v>
      </c>
      <c r="X105" s="319">
        <f>W105</f>
        <v>244</v>
      </c>
      <c r="Y105" s="319">
        <f>X105</f>
        <v>244</v>
      </c>
      <c r="Z105" s="329">
        <f>AVERAGE(V105:Y105)</f>
        <v>244.75</v>
      </c>
      <c r="AA105" s="71"/>
      <c r="AB105" s="319">
        <f>Y105</f>
        <v>244</v>
      </c>
      <c r="AC105" s="319">
        <f t="shared" ref="AC105:AE105" si="42">AB105</f>
        <v>244</v>
      </c>
      <c r="AD105" s="319">
        <f t="shared" si="42"/>
        <v>244</v>
      </c>
      <c r="AE105" s="319">
        <f t="shared" si="42"/>
        <v>244</v>
      </c>
      <c r="AF105" s="329">
        <f>AVERAGE(AB105:AE105)</f>
        <v>244</v>
      </c>
      <c r="AG105" s="71"/>
      <c r="AH105" s="329">
        <f>AF105</f>
        <v>244</v>
      </c>
      <c r="AI105" s="72"/>
      <c r="AJ105" s="329">
        <f>AH105</f>
        <v>244</v>
      </c>
      <c r="AL105" s="329">
        <f>AJ105</f>
        <v>244</v>
      </c>
    </row>
    <row r="106" spans="2:38" ht="14.25" customHeight="1">
      <c r="U106" s="205"/>
    </row>
    <row r="107" spans="2:38" s="55" customFormat="1" ht="14.25" customHeight="1">
      <c r="B107" s="161" t="s">
        <v>490</v>
      </c>
      <c r="C107" s="32"/>
      <c r="D107" s="357" t="s">
        <v>491</v>
      </c>
      <c r="E107" s="357" t="s">
        <v>492</v>
      </c>
      <c r="F107" s="357" t="s">
        <v>493</v>
      </c>
      <c r="G107" s="357" t="s">
        <v>494</v>
      </c>
      <c r="H107" s="357" t="s">
        <v>495</v>
      </c>
      <c r="I107" s="37"/>
      <c r="J107" s="357" t="s">
        <v>496</v>
      </c>
      <c r="K107" s="357" t="s">
        <v>497</v>
      </c>
      <c r="L107" s="357" t="s">
        <v>498</v>
      </c>
      <c r="M107" s="357" t="s">
        <v>499</v>
      </c>
      <c r="N107" s="357" t="s">
        <v>500</v>
      </c>
      <c r="O107" s="37"/>
      <c r="P107" s="357" t="s">
        <v>501</v>
      </c>
      <c r="Q107" s="357" t="s">
        <v>502</v>
      </c>
      <c r="R107" s="357" t="s">
        <v>503</v>
      </c>
      <c r="S107" s="357" t="s">
        <v>504</v>
      </c>
      <c r="T107" s="357" t="s">
        <v>505</v>
      </c>
      <c r="U107" s="37"/>
      <c r="V107" s="357" t="s">
        <v>506</v>
      </c>
      <c r="W107" s="357" t="s">
        <v>507</v>
      </c>
      <c r="X107" s="357" t="s">
        <v>508</v>
      </c>
      <c r="Y107" s="357" t="s">
        <v>509</v>
      </c>
      <c r="Z107" s="357" t="s">
        <v>510</v>
      </c>
      <c r="AA107" s="37"/>
      <c r="AB107" s="357" t="s">
        <v>511</v>
      </c>
      <c r="AC107" s="357" t="s">
        <v>512</v>
      </c>
      <c r="AD107" s="357" t="s">
        <v>513</v>
      </c>
      <c r="AE107" s="357" t="s">
        <v>514</v>
      </c>
      <c r="AF107" s="357" t="s">
        <v>515</v>
      </c>
      <c r="AG107" s="37"/>
      <c r="AH107" s="357" t="s">
        <v>516</v>
      </c>
      <c r="AI107" s="37"/>
      <c r="AJ107" s="357" t="s">
        <v>517</v>
      </c>
      <c r="AK107" s="357"/>
      <c r="AL107" s="357" t="s">
        <v>518</v>
      </c>
    </row>
    <row r="108" spans="2:38" ht="4.3499999999999996" customHeight="1">
      <c r="B108" s="288"/>
      <c r="C108" s="36"/>
      <c r="D108" s="288"/>
      <c r="E108" s="288"/>
      <c r="F108" s="288"/>
      <c r="G108" s="288"/>
      <c r="H108" s="288"/>
      <c r="I108" s="36"/>
      <c r="J108" s="288"/>
      <c r="K108" s="288"/>
      <c r="L108" s="288"/>
      <c r="M108" s="288"/>
      <c r="N108" s="288"/>
      <c r="O108" s="36"/>
      <c r="P108" s="288"/>
      <c r="Q108" s="288"/>
      <c r="R108" s="288"/>
      <c r="S108" s="288"/>
      <c r="T108" s="288"/>
      <c r="U108" s="36"/>
      <c r="V108" s="288"/>
      <c r="W108" s="288"/>
      <c r="X108" s="288"/>
      <c r="Y108" s="288"/>
      <c r="Z108" s="288"/>
      <c r="AA108" s="36"/>
      <c r="AB108" s="288"/>
      <c r="AC108" s="288"/>
      <c r="AD108" s="288"/>
      <c r="AE108" s="288"/>
      <c r="AF108" s="288"/>
      <c r="AG108" s="36"/>
      <c r="AH108" s="288"/>
      <c r="AI108" s="36"/>
      <c r="AJ108" s="289"/>
      <c r="AK108" s="288"/>
      <c r="AL108" s="288"/>
    </row>
    <row r="109" spans="2:38" ht="4.3499999999999996" customHeight="1">
      <c r="U109" s="205"/>
    </row>
    <row r="110" spans="2:38" ht="14.25" customHeight="1">
      <c r="B110" s="28" t="s">
        <v>519</v>
      </c>
      <c r="D110" s="50">
        <f>BS!P18</f>
        <v>11125</v>
      </c>
      <c r="E110" s="50">
        <f>BS!Q18</f>
        <v>12197</v>
      </c>
      <c r="F110" s="50">
        <f>BS!R18</f>
        <v>11668</v>
      </c>
      <c r="G110" s="50">
        <f>BS!S18</f>
        <v>11863</v>
      </c>
      <c r="H110" s="68">
        <f>BS!T18</f>
        <v>11863</v>
      </c>
      <c r="J110" s="50">
        <f>BS!V18</f>
        <v>11055</v>
      </c>
      <c r="K110" s="50">
        <f>BS!W18</f>
        <v>11644</v>
      </c>
      <c r="L110" s="50">
        <f>BS!X18</f>
        <v>10721</v>
      </c>
      <c r="M110" s="50">
        <f>BS!Y18</f>
        <v>10188</v>
      </c>
      <c r="N110" s="68">
        <f>BS!Z18</f>
        <v>10188</v>
      </c>
      <c r="P110" s="50">
        <f>BS!AB18</f>
        <v>10207</v>
      </c>
      <c r="Q110" s="50">
        <f>BS!AC18</f>
        <v>10665</v>
      </c>
      <c r="R110" s="50">
        <f>BS!AD18</f>
        <v>9904</v>
      </c>
      <c r="S110" s="50">
        <f>BS!AE18</f>
        <v>10087</v>
      </c>
      <c r="T110" s="68">
        <f>BS!AF18</f>
        <v>10087</v>
      </c>
      <c r="U110" s="205"/>
      <c r="V110" s="50">
        <f>BS!AH18</f>
        <v>10312</v>
      </c>
      <c r="W110" s="50">
        <f>BS!AI18</f>
        <v>10737</v>
      </c>
      <c r="X110" s="46">
        <f>X71*X111/92</f>
        <v>10961.047008370249</v>
      </c>
      <c r="Y110" s="46">
        <f>Y71*Y111/92</f>
        <v>10921.970191941122</v>
      </c>
      <c r="Z110" s="311">
        <f>Y110</f>
        <v>10921.970191941122</v>
      </c>
      <c r="AB110" s="46">
        <f>AB71*AB111/90</f>
        <v>10323.557816850795</v>
      </c>
      <c r="AC110" s="46">
        <f>AC71*AC111/91</f>
        <v>10670.985243379429</v>
      </c>
      <c r="AD110" s="46">
        <f t="shared" ref="AD110:AE110" si="43">AD71*AD111/92</f>
        <v>10985.812447764847</v>
      </c>
      <c r="AE110" s="46">
        <f t="shared" si="43"/>
        <v>10940.72703416253</v>
      </c>
      <c r="AF110" s="311">
        <f>AE110</f>
        <v>10940.72703416253</v>
      </c>
      <c r="AH110" s="311">
        <f>AH71*AH111/365</f>
        <v>11193.526508374902</v>
      </c>
      <c r="AJ110" s="311">
        <f>AJ71*AJ111/366</f>
        <v>11825.894931269637</v>
      </c>
      <c r="AL110" s="311">
        <f>AL71*AL111/365</f>
        <v>11510.931666132354</v>
      </c>
    </row>
    <row r="111" spans="2:38" ht="14.25" customHeight="1">
      <c r="B111" s="31" t="s">
        <v>520</v>
      </c>
      <c r="D111" s="322">
        <f>D110/D71*90</f>
        <v>45.505158387492614</v>
      </c>
      <c r="E111" s="322">
        <f>E110/E71*91</f>
        <v>47.283249552696603</v>
      </c>
      <c r="F111" s="322">
        <f>F110/F71*92</f>
        <v>45.406539486485343</v>
      </c>
      <c r="G111" s="322">
        <f>G110/G71*92</f>
        <v>44.740345986718047</v>
      </c>
      <c r="H111" s="323">
        <f>H110/H71*365</f>
        <v>46.304164171443233</v>
      </c>
      <c r="I111" s="324"/>
      <c r="J111" s="322">
        <f>J110/J71*90</f>
        <v>42.808278117201617</v>
      </c>
      <c r="K111" s="322">
        <f>K110/K71*91</f>
        <v>46.445340580345402</v>
      </c>
      <c r="L111" s="322">
        <f>L110/L71*92</f>
        <v>44.491497135639861</v>
      </c>
      <c r="M111" s="322">
        <f>M110/M71*92</f>
        <v>42.740355677154582</v>
      </c>
      <c r="N111" s="323">
        <f>N110/N71*365</f>
        <v>41.246963562753038</v>
      </c>
      <c r="O111" s="324"/>
      <c r="P111" s="322">
        <f>P110/P71*90</f>
        <v>42.370278123702782</v>
      </c>
      <c r="Q111" s="322">
        <f>Q110/Q71*91</f>
        <v>43.785923753665692</v>
      </c>
      <c r="R111" s="322">
        <f>R110/R71*92</f>
        <v>41.91590762719661</v>
      </c>
      <c r="S111" s="322">
        <f>S110/S71*92</f>
        <v>41.974037722194581</v>
      </c>
      <c r="T111" s="323">
        <f>T110/T71*365</f>
        <v>41.984593981275587</v>
      </c>
      <c r="U111" s="325"/>
      <c r="V111" s="322">
        <f>V110/V71*90</f>
        <v>43.008480467120812</v>
      </c>
      <c r="W111" s="322">
        <f>W110/W71*91</f>
        <v>44.47885464560477</v>
      </c>
      <c r="X111" s="326">
        <v>44</v>
      </c>
      <c r="Y111" s="326">
        <v>43</v>
      </c>
      <c r="Z111" s="323">
        <f>Z110/Z71*365</f>
        <v>44.377253282857339</v>
      </c>
      <c r="AA111" s="324"/>
      <c r="AB111" s="326">
        <v>42</v>
      </c>
      <c r="AC111" s="326">
        <v>43</v>
      </c>
      <c r="AD111" s="326">
        <v>43</v>
      </c>
      <c r="AE111" s="326">
        <v>42</v>
      </c>
      <c r="AF111" s="323">
        <f>AF110/AF71*365</f>
        <v>43.323913043478271</v>
      </c>
      <c r="AG111" s="324"/>
      <c r="AH111" s="326">
        <v>43</v>
      </c>
      <c r="AI111" s="324"/>
      <c r="AJ111" s="326">
        <v>44</v>
      </c>
      <c r="AK111" s="323"/>
      <c r="AL111" s="326">
        <v>43</v>
      </c>
    </row>
    <row r="112" spans="2:38" ht="14.25" customHeight="1">
      <c r="B112" s="28"/>
      <c r="D112" s="46"/>
      <c r="E112" s="46"/>
      <c r="F112" s="46"/>
      <c r="G112" s="46"/>
      <c r="J112" s="46"/>
      <c r="K112" s="46"/>
      <c r="L112" s="46"/>
      <c r="M112" s="46"/>
      <c r="P112" s="46"/>
      <c r="Q112" s="46"/>
      <c r="R112" s="46"/>
      <c r="S112" s="46"/>
      <c r="U112" s="205"/>
      <c r="V112" s="46"/>
      <c r="W112" s="46"/>
      <c r="X112" s="46"/>
      <c r="Y112" s="46"/>
      <c r="AB112" s="46"/>
      <c r="AC112" s="46"/>
      <c r="AD112" s="46"/>
      <c r="AE112" s="46"/>
    </row>
    <row r="113" spans="2:38" ht="14.25" customHeight="1">
      <c r="B113" s="28" t="s">
        <v>521</v>
      </c>
      <c r="D113" s="50">
        <f>BS!P19</f>
        <v>577</v>
      </c>
      <c r="E113" s="50">
        <f>BS!Q19</f>
        <v>594</v>
      </c>
      <c r="F113" s="50">
        <f>BS!R19</f>
        <v>611</v>
      </c>
      <c r="G113" s="50">
        <f>BS!S19</f>
        <v>637</v>
      </c>
      <c r="H113" s="68">
        <f>BS!T19</f>
        <v>637</v>
      </c>
      <c r="J113" s="50">
        <f>BS!V19</f>
        <v>647</v>
      </c>
      <c r="K113" s="50">
        <f>BS!W19</f>
        <v>655</v>
      </c>
      <c r="L113" s="50">
        <f>BS!X19</f>
        <v>631</v>
      </c>
      <c r="M113" s="50">
        <f>BS!Y19</f>
        <v>604</v>
      </c>
      <c r="N113" s="68">
        <f>BS!Z19</f>
        <v>604</v>
      </c>
      <c r="P113" s="50">
        <f>BS!AB19</f>
        <v>631</v>
      </c>
      <c r="Q113" s="50">
        <f>BS!AC19</f>
        <v>632</v>
      </c>
      <c r="R113" s="50">
        <f>BS!AD19</f>
        <v>640</v>
      </c>
      <c r="S113" s="50">
        <f>BS!AE19</f>
        <v>614</v>
      </c>
      <c r="T113" s="68">
        <f>BS!AF19</f>
        <v>614</v>
      </c>
      <c r="U113" s="205"/>
      <c r="V113" s="50">
        <f>BS!AH19</f>
        <v>611</v>
      </c>
      <c r="W113" s="50">
        <f>BS!AI19</f>
        <v>620</v>
      </c>
      <c r="X113" s="46">
        <f>X114*X74/92</f>
        <v>727.41493782820737</v>
      </c>
      <c r="Y113" s="46">
        <f>Y114*Y74/92</f>
        <v>556.25848186862913</v>
      </c>
      <c r="Z113" s="311">
        <f>Y113</f>
        <v>556.25848186862913</v>
      </c>
      <c r="AB113" s="46">
        <f t="shared" ref="AB113:AE113" si="44">AB114*AB74/92</f>
        <v>702.13017450010068</v>
      </c>
      <c r="AC113" s="46">
        <f t="shared" si="44"/>
        <v>716.7578864688528</v>
      </c>
      <c r="AD113" s="46">
        <f t="shared" si="44"/>
        <v>746.01331040635705</v>
      </c>
      <c r="AE113" s="46">
        <f t="shared" si="44"/>
        <v>570.48076678133179</v>
      </c>
      <c r="AF113" s="311">
        <f>AE113</f>
        <v>570.48076678133179</v>
      </c>
      <c r="AH113" s="311">
        <f>AH114*AH74/365</f>
        <v>570.08890821723332</v>
      </c>
      <c r="AJ113" s="311">
        <f>AJ114*AJ74/366</f>
        <v>580.54393298960019</v>
      </c>
      <c r="AL113" s="311">
        <f>AL114*AL74/365</f>
        <v>570.1926616014398</v>
      </c>
    </row>
    <row r="114" spans="2:38" ht="14.25" customHeight="1">
      <c r="B114" s="31" t="s">
        <v>522</v>
      </c>
      <c r="D114" s="322">
        <f>D113/D74*90</f>
        <v>3.1576067128785112</v>
      </c>
      <c r="E114" s="322">
        <f>E113/E74*91</f>
        <v>3.0822831727205338</v>
      </c>
      <c r="F114" s="322">
        <f>F113/F74*92</f>
        <v>3.1643773924791714</v>
      </c>
      <c r="G114" s="322">
        <f>G113/G74*92</f>
        <v>3.3244837758112098</v>
      </c>
      <c r="H114" s="323">
        <f>H113/H74*365</f>
        <v>3.3514234234234235</v>
      </c>
      <c r="I114" s="324"/>
      <c r="J114" s="322">
        <f>J113/J74*90</f>
        <v>3.3253383587459311</v>
      </c>
      <c r="K114" s="322">
        <f>K113/K74*91</f>
        <v>3.4801774975185378</v>
      </c>
      <c r="L114" s="322">
        <f>L113/L74*92</f>
        <v>3.5049206061703795</v>
      </c>
      <c r="M114" s="322">
        <f>M113/M74*92</f>
        <v>3.5593133487061235</v>
      </c>
      <c r="N114" s="323">
        <f>N113/N74*365</f>
        <v>3.2996572523311327</v>
      </c>
      <c r="O114" s="324"/>
      <c r="P114" s="322">
        <f>P113/P74*90</f>
        <v>3.5723721456878654</v>
      </c>
      <c r="Q114" s="322">
        <f>Q113/Q74*91</f>
        <v>3.4754653130287645</v>
      </c>
      <c r="R114" s="322">
        <f>R113/R74*92</f>
        <v>3.6510200285235936</v>
      </c>
      <c r="S114" s="322">
        <f>S113/S74*92</f>
        <v>3.5567308903160808</v>
      </c>
      <c r="T114" s="323">
        <f>T113/T74*365</f>
        <v>3.4770534024265372</v>
      </c>
      <c r="U114" s="325"/>
      <c r="V114" s="322">
        <f>V113/V74*90</f>
        <v>3.4102325581395352</v>
      </c>
      <c r="W114" s="322">
        <f>W113/W74*91</f>
        <v>3.4560490045941807</v>
      </c>
      <c r="X114" s="326">
        <v>4</v>
      </c>
      <c r="Y114" s="326">
        <v>3</v>
      </c>
      <c r="Z114" s="323">
        <f>Z113/Z74*365</f>
        <v>3.0651719668249262</v>
      </c>
      <c r="AA114" s="324"/>
      <c r="AB114" s="326">
        <v>4</v>
      </c>
      <c r="AC114" s="326">
        <v>4</v>
      </c>
      <c r="AD114" s="326">
        <v>4</v>
      </c>
      <c r="AE114" s="326">
        <v>3</v>
      </c>
      <c r="AF114" s="323">
        <f>AF113/AF74*365</f>
        <v>3.0945652173913039</v>
      </c>
      <c r="AG114" s="324"/>
      <c r="AH114" s="326">
        <v>3</v>
      </c>
      <c r="AI114" s="324"/>
      <c r="AJ114" s="326">
        <v>3</v>
      </c>
      <c r="AK114" s="323"/>
      <c r="AL114" s="326">
        <v>3</v>
      </c>
    </row>
    <row r="115" spans="2:38" ht="14.25" customHeight="1">
      <c r="B115" s="28"/>
      <c r="D115" s="46"/>
      <c r="E115" s="46"/>
      <c r="F115" s="46"/>
      <c r="G115" s="46"/>
      <c r="J115" s="46"/>
      <c r="K115" s="46"/>
      <c r="L115" s="46"/>
      <c r="M115" s="46"/>
      <c r="P115" s="46"/>
      <c r="Q115" s="46"/>
      <c r="R115" s="46"/>
      <c r="S115" s="46"/>
      <c r="U115" s="205"/>
      <c r="V115" s="46"/>
      <c r="W115" s="46"/>
      <c r="X115" s="46"/>
      <c r="Y115" s="46"/>
      <c r="AB115" s="46"/>
      <c r="AC115" s="46"/>
      <c r="AD115" s="46"/>
      <c r="AE115" s="46"/>
    </row>
    <row r="116" spans="2:38" ht="14.25" customHeight="1">
      <c r="B116" s="28" t="s">
        <v>523</v>
      </c>
      <c r="D116" s="50">
        <f>BS!P20</f>
        <v>991</v>
      </c>
      <c r="E116" s="50">
        <f>BS!Q20</f>
        <v>1123</v>
      </c>
      <c r="F116" s="50">
        <f>BS!R20</f>
        <v>1122</v>
      </c>
      <c r="G116" s="50">
        <f>BS!S20</f>
        <v>968</v>
      </c>
      <c r="H116" s="68">
        <f>BS!T20</f>
        <v>968</v>
      </c>
      <c r="J116" s="50">
        <f>BS!V20</f>
        <v>1054</v>
      </c>
      <c r="K116" s="50">
        <f>BS!W20</f>
        <v>1272</v>
      </c>
      <c r="L116" s="50">
        <f>BS!X20</f>
        <v>1219</v>
      </c>
      <c r="M116" s="50">
        <f>BS!Y20</f>
        <v>962</v>
      </c>
      <c r="N116" s="68">
        <f>BS!Z20</f>
        <v>962</v>
      </c>
      <c r="P116" s="50">
        <f>BS!AB20</f>
        <v>994</v>
      </c>
      <c r="Q116" s="50">
        <f>BS!AC20</f>
        <v>1091</v>
      </c>
      <c r="R116" s="50">
        <f>BS!AD20</f>
        <v>1236</v>
      </c>
      <c r="S116" s="50">
        <f>BS!AE20</f>
        <v>1005</v>
      </c>
      <c r="T116" s="68">
        <f>BS!AF20</f>
        <v>1005</v>
      </c>
      <c r="U116" s="205"/>
      <c r="V116" s="50">
        <f>BS!AH20</f>
        <v>1228</v>
      </c>
      <c r="W116" s="50">
        <f>BS!AI20</f>
        <v>1335</v>
      </c>
      <c r="X116" s="46">
        <f>X117*X$71</f>
        <v>1347.6109067381749</v>
      </c>
      <c r="Y116" s="46">
        <f>Y117*Y$71</f>
        <v>1051.5571301078196</v>
      </c>
      <c r="Z116" s="311">
        <f>Y116</f>
        <v>1051.5571301078196</v>
      </c>
      <c r="AB116" s="46">
        <f t="shared" ref="AB116:AE116" si="45">AB117*AB$71</f>
        <v>1150.3392995919457</v>
      </c>
      <c r="AC116" s="46">
        <f t="shared" si="45"/>
        <v>1174.3047016667781</v>
      </c>
      <c r="AD116" s="46">
        <f t="shared" si="45"/>
        <v>1269.2445637324595</v>
      </c>
      <c r="AE116" s="46">
        <f t="shared" si="45"/>
        <v>1150.339299591946</v>
      </c>
      <c r="AF116" s="311">
        <f>AE116</f>
        <v>1150.339299591946</v>
      </c>
      <c r="AH116" s="57">
        <f>AH117*AH$71</f>
        <v>1045.1629983982612</v>
      </c>
      <c r="AJ116" s="57">
        <f>AJ117*AJ$71</f>
        <v>1082.0693862111716</v>
      </c>
      <c r="AL116" s="57">
        <f>AL117*AL$71</f>
        <v>1172.5088534339466</v>
      </c>
    </row>
    <row r="117" spans="2:38" ht="14.25" customHeight="1">
      <c r="B117" s="31" t="s">
        <v>473</v>
      </c>
      <c r="D117" s="304">
        <f>D116/D71</f>
        <v>4.5039312820978956E-2</v>
      </c>
      <c r="E117" s="304">
        <f>E116/E71</f>
        <v>4.7840163585243248E-2</v>
      </c>
      <c r="F117" s="304">
        <f>F116/F71</f>
        <v>4.7459921323125077E-2</v>
      </c>
      <c r="G117" s="304">
        <f>G116/G71</f>
        <v>3.9681888989095679E-2</v>
      </c>
      <c r="H117" s="307">
        <f>H116/H71</f>
        <v>1.0351612627256396E-2</v>
      </c>
      <c r="J117" s="304">
        <f>J116/J71</f>
        <v>4.5348937268737628E-2</v>
      </c>
      <c r="K117" s="304">
        <f>K116/K71</f>
        <v>5.5755238011747171E-2</v>
      </c>
      <c r="L117" s="304">
        <f>L116/L71</f>
        <v>5.4986693130046463E-2</v>
      </c>
      <c r="M117" s="304">
        <f>M116/M71</f>
        <v>4.3866849065207478E-2</v>
      </c>
      <c r="N117" s="307">
        <f>N116/N71</f>
        <v>1.0670511896178804E-2</v>
      </c>
      <c r="P117" s="304">
        <f>P116/P71</f>
        <v>4.584659379179927E-2</v>
      </c>
      <c r="Q117" s="304">
        <f>Q116/Q71</f>
        <v>4.9221745995939543E-2</v>
      </c>
      <c r="R117" s="304">
        <f>R116/R71</f>
        <v>5.685895666574662E-2</v>
      </c>
      <c r="S117" s="304">
        <f>S116/S71</f>
        <v>4.5456601384051741E-2</v>
      </c>
      <c r="T117" s="307">
        <f>T116/T71</f>
        <v>1.1460435838664431E-2</v>
      </c>
      <c r="U117" s="205"/>
      <c r="V117" s="304">
        <f>V116/V71</f>
        <v>5.6907178275174941E-2</v>
      </c>
      <c r="W117" s="304">
        <f>W116/W71</f>
        <v>6.0772977648290614E-2</v>
      </c>
      <c r="X117" s="315">
        <v>5.8799999999999998E-2</v>
      </c>
      <c r="Y117" s="315">
        <v>4.4999999999999998E-2</v>
      </c>
      <c r="Z117" s="305">
        <f>Z116/Z$71</f>
        <v>1.1705755246322357E-2</v>
      </c>
      <c r="AB117" s="315">
        <v>5.1999999999999998E-2</v>
      </c>
      <c r="AC117" s="315">
        <v>5.1999999999999998E-2</v>
      </c>
      <c r="AD117" s="315">
        <v>5.3999999999999999E-2</v>
      </c>
      <c r="AE117" s="315">
        <v>4.8000000000000001E-2</v>
      </c>
      <c r="AF117" s="305">
        <f>AF116/AF$71</f>
        <v>1.2480000000000002E-2</v>
      </c>
      <c r="AH117" s="315">
        <v>1.0999999999999999E-2</v>
      </c>
      <c r="AJ117" s="315">
        <v>1.0999999999999999E-2</v>
      </c>
      <c r="AL117" s="315">
        <v>1.2E-2</v>
      </c>
    </row>
    <row r="118" spans="2:38" ht="14.25" customHeight="1">
      <c r="B118" s="28"/>
      <c r="D118" s="46"/>
      <c r="E118" s="46"/>
      <c r="F118" s="46"/>
      <c r="G118" s="46"/>
      <c r="J118" s="46"/>
      <c r="K118" s="46"/>
      <c r="L118" s="46"/>
      <c r="M118" s="46"/>
      <c r="P118" s="46"/>
      <c r="Q118" s="46"/>
      <c r="R118" s="46"/>
      <c r="S118" s="46"/>
      <c r="U118" s="205"/>
      <c r="V118" s="46"/>
      <c r="W118" s="46"/>
      <c r="X118" s="46"/>
      <c r="Y118" s="46"/>
      <c r="AB118" s="46"/>
      <c r="AC118" s="46"/>
      <c r="AD118" s="46"/>
      <c r="AE118" s="46"/>
    </row>
    <row r="119" spans="2:38" ht="14.25" customHeight="1">
      <c r="B119" s="28" t="s">
        <v>524</v>
      </c>
      <c r="D119" s="50">
        <f>BS!P24</f>
        <v>51895</v>
      </c>
      <c r="E119" s="50">
        <f>BS!Q24</f>
        <v>53171</v>
      </c>
      <c r="F119" s="50">
        <f>BS!R24</f>
        <v>53981</v>
      </c>
      <c r="G119" s="50">
        <f>BS!S24</f>
        <v>54704</v>
      </c>
      <c r="H119" s="68">
        <f>BS!T24</f>
        <v>54704</v>
      </c>
      <c r="J119" s="50">
        <f>BS!V24</f>
        <v>56025</v>
      </c>
      <c r="K119" s="50">
        <f>BS!W24</f>
        <v>57094</v>
      </c>
      <c r="L119" s="50">
        <f>BS!X24</f>
        <v>57259</v>
      </c>
      <c r="M119" s="50">
        <f>BS!Y24</f>
        <v>58045</v>
      </c>
      <c r="N119" s="68">
        <f>BS!Z24</f>
        <v>58045</v>
      </c>
      <c r="P119" s="50">
        <f>BS!AB24</f>
        <v>58501</v>
      </c>
      <c r="Q119" s="50">
        <f>BS!AC24</f>
        <v>58775</v>
      </c>
      <c r="R119" s="50">
        <f>BS!AD24</f>
        <v>58464</v>
      </c>
      <c r="S119" s="50">
        <f>BS!AE24</f>
        <v>58606</v>
      </c>
      <c r="T119" s="68">
        <f>BS!AF24</f>
        <v>58606</v>
      </c>
      <c r="U119" s="205"/>
      <c r="V119" s="50">
        <f>BS!AH24</f>
        <v>58349</v>
      </c>
      <c r="W119" s="50">
        <f>BS!AI24</f>
        <v>57827</v>
      </c>
      <c r="X119" s="46">
        <f>W119-X120*X147-X150-X92-X77</f>
        <v>56761.195618929385</v>
      </c>
      <c r="Y119" s="46">
        <f>X119-Y120*Y147-Y150-Y92-Y77</f>
        <v>55691.645177928607</v>
      </c>
      <c r="Z119" s="57">
        <f>Y119</f>
        <v>55691.645177928607</v>
      </c>
      <c r="AB119" s="46">
        <f>Y119-AB120*AB147-AB150-AB92-AB77</f>
        <v>54638.863499705898</v>
      </c>
      <c r="AC119" s="46">
        <f>AB119-AC120*AC147-AC150-AC92-AC77</f>
        <v>53560.422710704035</v>
      </c>
      <c r="AD119" s="46">
        <f>AC119-AD120*AD147-AD150-AD92-AD77</f>
        <v>52432.980970175238</v>
      </c>
      <c r="AE119" s="46">
        <f>AD119-AE120*AE147-AE150-AE92-AE77</f>
        <v>51294.049201970913</v>
      </c>
      <c r="AF119" s="57">
        <f>AE119</f>
        <v>51294.049201970913</v>
      </c>
      <c r="AH119" s="57">
        <f>AF119-AH120*AH147-AH150-AH92-AH77</f>
        <v>46772.294011627891</v>
      </c>
      <c r="AI119" s="72"/>
      <c r="AJ119" s="57">
        <f>AH119-AJ120*AJ147-AJ150-AJ92-AJ77</f>
        <v>42097.754263195631</v>
      </c>
      <c r="AK119" s="54"/>
      <c r="AL119" s="57">
        <f>AJ119-AL120*AL147-AL150-AL92-AL77</f>
        <v>37570.892998229399</v>
      </c>
    </row>
    <row r="120" spans="2:38" ht="14.25" customHeight="1">
      <c r="B120" s="31" t="s">
        <v>525</v>
      </c>
      <c r="D120" s="304"/>
      <c r="E120" s="304"/>
      <c r="F120" s="304"/>
      <c r="G120" s="304"/>
      <c r="H120" s="307">
        <f>H119/H71</f>
        <v>0.5849944392163573</v>
      </c>
      <c r="J120" s="304"/>
      <c r="K120" s="304"/>
      <c r="L120" s="304"/>
      <c r="M120" s="304"/>
      <c r="N120" s="307">
        <f>N119/N71</f>
        <v>0.64383561643835618</v>
      </c>
      <c r="P120" s="304"/>
      <c r="Q120" s="304"/>
      <c r="R120" s="304"/>
      <c r="S120" s="304"/>
      <c r="T120" s="307">
        <f>T119/T71</f>
        <v>0.668308758965938</v>
      </c>
      <c r="U120" s="205"/>
      <c r="V120" s="304"/>
      <c r="W120" s="304"/>
      <c r="X120" s="315">
        <v>4.4999999999999998E-2</v>
      </c>
      <c r="Y120" s="315">
        <v>4.5999999999999999E-2</v>
      </c>
      <c r="Z120" s="318">
        <f>AVERAGE(V120:Y120)</f>
        <v>4.5499999999999999E-2</v>
      </c>
      <c r="AB120" s="315">
        <v>4.4999999999999998E-2</v>
      </c>
      <c r="AC120" s="315">
        <v>4.9000000000000002E-2</v>
      </c>
      <c r="AD120" s="315">
        <v>4.2999999999999997E-2</v>
      </c>
      <c r="AE120" s="315">
        <v>4.4999999999999998E-2</v>
      </c>
      <c r="AF120" s="318">
        <f>AVERAGE(AB120:AE120)</f>
        <v>4.5499999999999999E-2</v>
      </c>
      <c r="AH120" s="315">
        <v>4.9000000000000002E-2</v>
      </c>
      <c r="AJ120" s="315">
        <v>5.1999999999999998E-2</v>
      </c>
      <c r="AL120" s="315">
        <v>5.2999999999999999E-2</v>
      </c>
    </row>
    <row r="121" spans="2:38" ht="14.25" customHeight="1">
      <c r="D121" s="46"/>
      <c r="E121" s="46"/>
      <c r="F121" s="46"/>
      <c r="G121" s="46"/>
      <c r="J121" s="46"/>
      <c r="K121" s="46"/>
      <c r="L121" s="46"/>
      <c r="M121" s="46"/>
      <c r="P121" s="46"/>
      <c r="Q121" s="46"/>
      <c r="R121" s="46"/>
      <c r="S121" s="46"/>
      <c r="U121" s="205"/>
      <c r="V121" s="46"/>
      <c r="W121" s="46"/>
      <c r="X121" s="46"/>
      <c r="Y121" s="46"/>
      <c r="AB121" s="46"/>
      <c r="AC121" s="46"/>
      <c r="AD121" s="46"/>
      <c r="AE121" s="46"/>
    </row>
    <row r="122" spans="2:38" ht="14.25" customHeight="1">
      <c r="B122" s="28" t="s">
        <v>526</v>
      </c>
      <c r="D122" s="50">
        <f>IF($B$122="Intangibles excl. Goodwill",BS!P29,BS!P27)</f>
        <v>6843</v>
      </c>
      <c r="E122" s="50">
        <f>IF($B$122="Intangibles excl. Goodwill",BS!Q29,BS!Q27)</f>
        <v>6702</v>
      </c>
      <c r="F122" s="50">
        <f>IF($B$122="Intangibles excl. Goodwill",BS!R29,BS!R27)</f>
        <v>6755</v>
      </c>
      <c r="G122" s="50">
        <f>IF($B$122="Intangibles excl. Goodwill",BS!S29,BS!S27)</f>
        <v>6845</v>
      </c>
      <c r="H122" s="68">
        <f>IF($B$122="Intangibles excl. Goodwill",BS!T29,BS!T27)</f>
        <v>6845</v>
      </c>
      <c r="J122" s="50">
        <f>IF($B$122="Intangibles excl. Goodwill",BS!V29,BS!V27)</f>
        <v>6316</v>
      </c>
      <c r="K122" s="50">
        <f>IF($B$122="Intangibles excl. Goodwill",BS!W29,BS!W27)</f>
        <v>6377</v>
      </c>
      <c r="L122" s="50">
        <f>IF($B$122="Intangibles excl. Goodwill",BS!X29,BS!X27)</f>
        <v>6455</v>
      </c>
      <c r="M122" s="50">
        <f>IF($B$122="Intangibles excl. Goodwill",BS!Y29,BS!Y27)</f>
        <v>6669</v>
      </c>
      <c r="N122" s="68">
        <f>IF($B$122="Intangibles excl. Goodwill",BS!Z29,BS!Z27)</f>
        <v>6669</v>
      </c>
      <c r="P122" s="50">
        <f>IF($B$122="Intangibles excl. Goodwill",BS!AB29,BS!AB27)</f>
        <v>6422</v>
      </c>
      <c r="Q122" s="50">
        <f>IF($B$122="Intangibles excl. Goodwill",BS!AC29,BS!AC27)</f>
        <v>6468</v>
      </c>
      <c r="R122" s="50">
        <f>IF($B$122="Intangibles excl. Goodwill",BS!AD29,BS!AD27)</f>
        <v>6425</v>
      </c>
      <c r="S122" s="50">
        <f>IF($B$122="Intangibles excl. Goodwill",BS!AE29,BS!AE27)</f>
        <v>6604</v>
      </c>
      <c r="T122" s="68">
        <f>IF($B$122="Intangibles excl. Goodwill",BS!AF29,BS!AF27)</f>
        <v>6604</v>
      </c>
      <c r="U122" s="205"/>
      <c r="V122" s="50">
        <f>IF($B$122="Intangibles excl. Goodwill",BS!AH29,BS!AH27)</f>
        <v>6512</v>
      </c>
      <c r="W122" s="50">
        <f>IF($B$122="Intangibles excl. Goodwill",BS!AI29,BS!AI27)</f>
        <v>6290</v>
      </c>
      <c r="X122" s="46">
        <f>W122-(1-X120)*X147-X95+X123*X86</f>
        <v>7231.1503721973322</v>
      </c>
      <c r="Y122" s="46">
        <f>X122-(1-Y120)*Y147-Y95+Y123*Y86</f>
        <v>8479.5589970613364</v>
      </c>
      <c r="Z122" s="57">
        <f>Y122</f>
        <v>8479.5589970613364</v>
      </c>
      <c r="AB122" s="46">
        <f>Y122-(1-AB120)*AB147-AB95+AB123*AB86</f>
        <v>9324.6159440692663</v>
      </c>
      <c r="AC122" s="46">
        <f>AB122-(1-AC120)*AC147-AC95+AC123*AC86</f>
        <v>10076.283867049626</v>
      </c>
      <c r="AD122" s="46">
        <f>AC122-(1-AD120)*AD147-AD95+AD123*AD86</f>
        <v>10998.531069775006</v>
      </c>
      <c r="AE122" s="46">
        <f>AD122-(1-AE120)*AE147-AE95+AE123*AE86</f>
        <v>11959.783346996526</v>
      </c>
      <c r="AF122" s="57">
        <f>AE122</f>
        <v>11959.783346996526</v>
      </c>
      <c r="AH122" s="57">
        <f>AF122-(1-AH120)*AH147-AH95+AH123*AH86</f>
        <v>15574.147025093785</v>
      </c>
      <c r="AJ122" s="57">
        <f>AH122-(1-AJ120)*AJ147-AJ95+AJ123*AJ86</f>
        <v>19770.60884470911</v>
      </c>
      <c r="AL122" s="57">
        <f>AJ122-(1-AL120)*AL147-AL95+AL123*AL86</f>
        <v>24397.133362217224</v>
      </c>
    </row>
    <row r="123" spans="2:38" ht="14.25" customHeight="1">
      <c r="B123" s="31" t="s">
        <v>527</v>
      </c>
      <c r="D123" s="304">
        <f>IFERROR(BS!P57/FCFF!D122,"")</f>
        <v>0</v>
      </c>
      <c r="E123" s="304">
        <f>IFERROR(BS!Q57/FCFF!E122,"")</f>
        <v>0</v>
      </c>
      <c r="F123" s="304">
        <f>IFERROR(BS!R57/FCFF!F122,"")</f>
        <v>0</v>
      </c>
      <c r="G123" s="304">
        <f>IFERROR(BS!S57/FCFF!G122,"")</f>
        <v>0</v>
      </c>
      <c r="H123" s="307">
        <f>IFERROR(BS!T57/FCFF!H122,"")</f>
        <v>0</v>
      </c>
      <c r="J123" s="304">
        <f>IFERROR(BS!V57/FCFF!J122,"")</f>
        <v>0</v>
      </c>
      <c r="K123" s="304">
        <f>IFERROR(BS!W57/FCFF!K122,"")</f>
        <v>0</v>
      </c>
      <c r="L123" s="304">
        <f>IFERROR(BS!X57/FCFF!L122,"")</f>
        <v>0</v>
      </c>
      <c r="M123" s="304">
        <f>IFERROR(BS!Y57/FCFF!M122,"")</f>
        <v>0</v>
      </c>
      <c r="N123" s="307">
        <f>IFERROR(BS!Z57/FCFF!N122,"")</f>
        <v>0</v>
      </c>
      <c r="P123" s="304">
        <f>IFERROR(BS!AB57/FCFF!P122,"")</f>
        <v>0</v>
      </c>
      <c r="Q123" s="304">
        <f>IFERROR(BS!AC57/FCFF!Q122,"")</f>
        <v>0</v>
      </c>
      <c r="R123" s="304">
        <f>IFERROR(BS!AD57/FCFF!R122,"")</f>
        <v>0</v>
      </c>
      <c r="S123" s="304">
        <f>IFERROR(BS!AE57/FCFF!S122,"")</f>
        <v>0</v>
      </c>
      <c r="T123" s="307">
        <f>IFERROR(BS!AF57/FCFF!T122,"")</f>
        <v>0</v>
      </c>
      <c r="U123" s="205"/>
      <c r="V123" s="304">
        <f>IFERROR(BS!AH57/FCFF!V122,"")</f>
        <v>0</v>
      </c>
      <c r="W123" s="304">
        <f>IFERROR(BS!AI57/FCFF!W122,"")</f>
        <v>0</v>
      </c>
      <c r="X123" s="315">
        <v>0</v>
      </c>
      <c r="Y123" s="315">
        <v>0</v>
      </c>
      <c r="Z123" s="318">
        <f>AVERAGE(V123:Y123)</f>
        <v>0</v>
      </c>
      <c r="AB123" s="315">
        <v>0</v>
      </c>
      <c r="AC123" s="315">
        <v>0</v>
      </c>
      <c r="AD123" s="315">
        <v>0</v>
      </c>
      <c r="AE123" s="315">
        <v>0</v>
      </c>
      <c r="AF123" s="318">
        <f>AVERAGE(AB123:AE123)</f>
        <v>0</v>
      </c>
      <c r="AH123" s="315">
        <v>0</v>
      </c>
      <c r="AJ123" s="315">
        <v>0</v>
      </c>
      <c r="AL123" s="315">
        <v>0</v>
      </c>
    </row>
    <row r="124" spans="2:38" ht="14.25" customHeight="1">
      <c r="D124" s="46"/>
      <c r="E124" s="46"/>
      <c r="F124" s="46"/>
      <c r="G124" s="46"/>
      <c r="J124" s="46"/>
      <c r="K124" s="46"/>
      <c r="L124" s="46"/>
      <c r="M124" s="46"/>
      <c r="P124" s="46"/>
      <c r="Q124" s="46"/>
      <c r="R124" s="46"/>
      <c r="S124" s="46"/>
      <c r="U124" s="205"/>
      <c r="V124" s="46"/>
      <c r="W124" s="46"/>
      <c r="X124" s="46"/>
      <c r="Y124" s="46"/>
      <c r="AB124" s="46"/>
      <c r="AC124" s="46"/>
      <c r="AD124" s="46"/>
      <c r="AE124" s="46"/>
    </row>
    <row r="125" spans="2:38" ht="14.25" customHeight="1">
      <c r="B125" s="28" t="s">
        <v>528</v>
      </c>
      <c r="D125" s="50">
        <f>BS!P37</f>
        <v>10522</v>
      </c>
      <c r="E125" s="50">
        <f>BS!Q37</f>
        <v>11396</v>
      </c>
      <c r="F125" s="50">
        <f>BS!R37</f>
        <v>11479</v>
      </c>
      <c r="G125" s="50">
        <f>BS!S37</f>
        <v>11749</v>
      </c>
      <c r="H125" s="68">
        <f>BS!T37</f>
        <v>11749</v>
      </c>
      <c r="J125" s="50">
        <f>BS!V37</f>
        <v>11156</v>
      </c>
      <c r="K125" s="50">
        <f>BS!W37</f>
        <v>11369</v>
      </c>
      <c r="L125" s="50">
        <f>BS!X37</f>
        <v>10987</v>
      </c>
      <c r="M125" s="50">
        <f>BS!Y37</f>
        <v>11070</v>
      </c>
      <c r="N125" s="68">
        <f>BS!Z37</f>
        <v>11070</v>
      </c>
      <c r="P125" s="50">
        <f>BS!AB37</f>
        <v>11078</v>
      </c>
      <c r="Q125" s="50">
        <f>BS!AC37</f>
        <v>11481</v>
      </c>
      <c r="R125" s="50">
        <f>BS!AD37</f>
        <v>10794</v>
      </c>
      <c r="S125" s="50">
        <f>BS!AE37</f>
        <v>10824</v>
      </c>
      <c r="T125" s="68">
        <f>BS!AF37</f>
        <v>10824</v>
      </c>
      <c r="U125" s="205"/>
      <c r="V125" s="50">
        <f>BS!AH37</f>
        <v>10979</v>
      </c>
      <c r="W125" s="50">
        <f>BS!AI37</f>
        <v>11264</v>
      </c>
      <c r="X125" s="46">
        <f>X126*X74/92</f>
        <v>11456.785270794264</v>
      </c>
      <c r="Y125" s="46">
        <f>Y126*Y74/92</f>
        <v>11310.589131328794</v>
      </c>
      <c r="Z125" s="311">
        <f>Y125</f>
        <v>11310.589131328794</v>
      </c>
      <c r="AB125" s="46">
        <f>AB126*AB74/90</f>
        <v>11124.862542634928</v>
      </c>
      <c r="AC125" s="46">
        <f>AC126*AC74/91</f>
        <v>11412.990961465579</v>
      </c>
      <c r="AD125" s="46">
        <f t="shared" ref="AD125:AE125" si="46">AD126*AD74/92</f>
        <v>11376.702983696945</v>
      </c>
      <c r="AE125" s="46">
        <f t="shared" si="46"/>
        <v>11789.935846814193</v>
      </c>
      <c r="AF125" s="311">
        <f>AE125</f>
        <v>11789.935846814193</v>
      </c>
      <c r="AH125" s="57">
        <f>AH126*AH74/365</f>
        <v>11591.80780041708</v>
      </c>
      <c r="AJ125" s="57">
        <f>AJ126*AJ74/366</f>
        <v>11997.907948451741</v>
      </c>
      <c r="AL125" s="57">
        <f>AL126*AL74/365</f>
        <v>12164.110114164048</v>
      </c>
    </row>
    <row r="126" spans="2:38" ht="14.25" customHeight="1">
      <c r="B126" s="31" t="s">
        <v>529</v>
      </c>
      <c r="D126" s="322">
        <f>D125/D74*90</f>
        <v>57.581174753739518</v>
      </c>
      <c r="E126" s="322">
        <f>E125/E74*91</f>
        <v>59.134173461823572</v>
      </c>
      <c r="F126" s="322">
        <f>F125/F74*92</f>
        <v>59.449898671470393</v>
      </c>
      <c r="G126" s="322">
        <f>G125/G74*92</f>
        <v>61.31767642387112</v>
      </c>
      <c r="H126" s="323">
        <f>H125/H74*365</f>
        <v>61.814558558558559</v>
      </c>
      <c r="I126" s="324"/>
      <c r="J126" s="322">
        <f>J125/J74*90</f>
        <v>57.337673462395067</v>
      </c>
      <c r="K126" s="322">
        <f>K125/K74*91</f>
        <v>60.406317510363749</v>
      </c>
      <c r="L126" s="322">
        <f>L125/L74*92</f>
        <v>61.027833122018954</v>
      </c>
      <c r="M126" s="322">
        <f>M125/M74*92</f>
        <v>65.234435049961576</v>
      </c>
      <c r="N126" s="323">
        <f>N125/N74*365</f>
        <v>60.475506263751065</v>
      </c>
      <c r="O126" s="324"/>
      <c r="P126" s="322">
        <f>P125/P74*90</f>
        <v>62.717493866767313</v>
      </c>
      <c r="Q126" s="322">
        <f>Q125/Q74*91</f>
        <v>63.135786802030452</v>
      </c>
      <c r="R126" s="322">
        <f>R125/R74*92</f>
        <v>61.576734668568243</v>
      </c>
      <c r="S126" s="322">
        <f>S125/S74*92</f>
        <v>62.700415564790326</v>
      </c>
      <c r="T126" s="323">
        <f>T125/T74*365</f>
        <v>61.29580786297204</v>
      </c>
      <c r="U126" s="325"/>
      <c r="V126" s="322">
        <f>V125/V74*90</f>
        <v>61.278139534883721</v>
      </c>
      <c r="W126" s="322">
        <f>W125/W74*91</f>
        <v>62.788606431852983</v>
      </c>
      <c r="X126" s="326">
        <v>63</v>
      </c>
      <c r="Y126" s="326">
        <v>61</v>
      </c>
      <c r="Z126" s="323">
        <f>Z125/Z74*365</f>
        <v>62.32516332544018</v>
      </c>
      <c r="AA126" s="324"/>
      <c r="AB126" s="326">
        <v>62</v>
      </c>
      <c r="AC126" s="326">
        <v>63</v>
      </c>
      <c r="AD126" s="326">
        <v>61</v>
      </c>
      <c r="AE126" s="326">
        <v>62</v>
      </c>
      <c r="AF126" s="323">
        <f>AF125/AF74*365</f>
        <v>63.954347826086959</v>
      </c>
      <c r="AG126" s="324"/>
      <c r="AH126" s="326">
        <v>61</v>
      </c>
      <c r="AI126" s="324"/>
      <c r="AJ126" s="326">
        <v>62</v>
      </c>
      <c r="AK126" s="323"/>
      <c r="AL126" s="326">
        <v>64</v>
      </c>
    </row>
    <row r="127" spans="2:38" ht="14.25" customHeight="1">
      <c r="B127" s="28"/>
      <c r="D127" s="46"/>
      <c r="E127" s="46"/>
      <c r="F127" s="46"/>
      <c r="G127" s="46"/>
      <c r="J127" s="46"/>
      <c r="K127" s="46"/>
      <c r="L127" s="46"/>
      <c r="M127" s="46"/>
      <c r="P127" s="46"/>
      <c r="Q127" s="46"/>
      <c r="R127" s="46"/>
      <c r="S127" s="46"/>
      <c r="U127" s="205"/>
      <c r="V127" s="46"/>
      <c r="W127" s="46"/>
      <c r="X127" s="46"/>
      <c r="Y127" s="46"/>
      <c r="AB127" s="46"/>
      <c r="AC127" s="46"/>
      <c r="AD127" s="46"/>
      <c r="AE127" s="46"/>
    </row>
    <row r="128" spans="2:38" ht="14.25" customHeight="1">
      <c r="B128" s="28" t="s">
        <v>530</v>
      </c>
      <c r="D128" s="50">
        <f>BS!P40</f>
        <v>0</v>
      </c>
      <c r="E128" s="50">
        <f>BS!Q40</f>
        <v>0</v>
      </c>
      <c r="F128" s="50">
        <f>BS!R40</f>
        <v>0</v>
      </c>
      <c r="G128" s="50">
        <f>BS!S40</f>
        <v>0</v>
      </c>
      <c r="H128" s="68">
        <f>BS!T40</f>
        <v>0</v>
      </c>
      <c r="J128" s="50">
        <f>BS!V40</f>
        <v>0</v>
      </c>
      <c r="K128" s="50">
        <f>BS!W40</f>
        <v>0</v>
      </c>
      <c r="L128" s="50">
        <f>BS!X40</f>
        <v>0</v>
      </c>
      <c r="M128" s="50">
        <f>BS!Y40</f>
        <v>0</v>
      </c>
      <c r="N128" s="68">
        <f>BS!Z40</f>
        <v>0</v>
      </c>
      <c r="P128" s="50">
        <f>BS!AB40</f>
        <v>0</v>
      </c>
      <c r="Q128" s="50">
        <f>BS!AC40</f>
        <v>0</v>
      </c>
      <c r="R128" s="50">
        <f>BS!AD40</f>
        <v>0</v>
      </c>
      <c r="S128" s="50">
        <f>BS!AE40</f>
        <v>0</v>
      </c>
      <c r="T128" s="68">
        <f>BS!AF40</f>
        <v>0</v>
      </c>
      <c r="U128" s="205"/>
      <c r="V128" s="50">
        <f>BS!AH40</f>
        <v>0</v>
      </c>
      <c r="W128" s="50">
        <f>BS!AI40</f>
        <v>0</v>
      </c>
      <c r="X128" s="46">
        <f>X129*X83</f>
        <v>0</v>
      </c>
      <c r="Y128" s="46">
        <f t="shared" ref="Y128" si="47">Y129*Y83</f>
        <v>0</v>
      </c>
      <c r="Z128" s="311">
        <f>Y128</f>
        <v>0</v>
      </c>
      <c r="AB128" s="46">
        <f t="shared" ref="AB128" si="48">AB129*AB83</f>
        <v>0</v>
      </c>
      <c r="AC128" s="46">
        <f t="shared" ref="AC128" si="49">AC129*AC83</f>
        <v>0</v>
      </c>
      <c r="AD128" s="46">
        <f t="shared" ref="AD128" si="50">AD129*AD83</f>
        <v>0</v>
      </c>
      <c r="AE128" s="46">
        <f t="shared" ref="AE128" si="51">AE129*AE83</f>
        <v>0</v>
      </c>
      <c r="AF128" s="311">
        <f>AE128</f>
        <v>0</v>
      </c>
      <c r="AH128" s="57">
        <f t="shared" ref="AH128:AL128" si="52">AH129*AH83</f>
        <v>0</v>
      </c>
      <c r="AJ128" s="57">
        <f t="shared" si="52"/>
        <v>0</v>
      </c>
      <c r="AL128" s="57">
        <f t="shared" si="52"/>
        <v>0</v>
      </c>
    </row>
    <row r="129" spans="2:40" ht="14.25" customHeight="1">
      <c r="B129" s="31" t="s">
        <v>531</v>
      </c>
      <c r="D129" s="304" t="e">
        <f>D128/D83</f>
        <v>#DIV/0!</v>
      </c>
      <c r="E129" s="304" t="e">
        <f>E128/E83</f>
        <v>#DIV/0!</v>
      </c>
      <c r="F129" s="304" t="e">
        <f>F128/F83</f>
        <v>#DIV/0!</v>
      </c>
      <c r="G129" s="304" t="e">
        <f>G128/G83</f>
        <v>#DIV/0!</v>
      </c>
      <c r="H129" s="307">
        <v>0</v>
      </c>
      <c r="J129" s="304" t="e">
        <f>J128/J83</f>
        <v>#DIV/0!</v>
      </c>
      <c r="K129" s="304" t="e">
        <f>K128/K83</f>
        <v>#DIV/0!</v>
      </c>
      <c r="L129" s="304" t="e">
        <f>L128/L83</f>
        <v>#DIV/0!</v>
      </c>
      <c r="M129" s="304" t="e">
        <f>M128/M83</f>
        <v>#DIV/0!</v>
      </c>
      <c r="N129" s="307">
        <v>0</v>
      </c>
      <c r="P129" s="307">
        <v>0</v>
      </c>
      <c r="Q129" s="307">
        <v>0</v>
      </c>
      <c r="R129" s="307">
        <v>0</v>
      </c>
      <c r="S129" s="307">
        <v>0</v>
      </c>
      <c r="T129" s="307">
        <v>0</v>
      </c>
      <c r="U129" s="205"/>
      <c r="V129" s="307">
        <v>0</v>
      </c>
      <c r="W129" s="307">
        <v>0</v>
      </c>
      <c r="X129" s="315">
        <v>0</v>
      </c>
      <c r="Y129" s="315">
        <v>0</v>
      </c>
      <c r="Z129" s="327" t="e">
        <f>Z128/Z83</f>
        <v>#DIV/0!</v>
      </c>
      <c r="AB129" s="315">
        <v>0</v>
      </c>
      <c r="AC129" s="315">
        <v>0</v>
      </c>
      <c r="AD129" s="315">
        <v>0</v>
      </c>
      <c r="AE129" s="315">
        <v>0</v>
      </c>
      <c r="AF129" s="315">
        <v>0</v>
      </c>
      <c r="AH129" s="315">
        <v>0</v>
      </c>
      <c r="AJ129" s="315">
        <v>0</v>
      </c>
      <c r="AL129" s="315">
        <v>0</v>
      </c>
    </row>
    <row r="130" spans="2:40" ht="14.25" customHeight="1">
      <c r="U130" s="205"/>
    </row>
    <row r="131" spans="2:40" ht="14.25" customHeight="1">
      <c r="B131" s="161" t="s">
        <v>532</v>
      </c>
      <c r="C131" s="186"/>
      <c r="D131" s="357" t="s">
        <v>491</v>
      </c>
      <c r="E131" s="357" t="s">
        <v>492</v>
      </c>
      <c r="F131" s="357" t="s">
        <v>493</v>
      </c>
      <c r="G131" s="357" t="s">
        <v>494</v>
      </c>
      <c r="H131" s="357" t="s">
        <v>495</v>
      </c>
      <c r="I131" s="37"/>
      <c r="J131" s="357" t="s">
        <v>496</v>
      </c>
      <c r="K131" s="357" t="s">
        <v>497</v>
      </c>
      <c r="L131" s="357" t="s">
        <v>498</v>
      </c>
      <c r="M131" s="357" t="s">
        <v>499</v>
      </c>
      <c r="N131" s="357" t="s">
        <v>500</v>
      </c>
      <c r="O131" s="37"/>
      <c r="P131" s="357" t="s">
        <v>501</v>
      </c>
      <c r="Q131" s="357" t="s">
        <v>502</v>
      </c>
      <c r="R131" s="357" t="s">
        <v>503</v>
      </c>
      <c r="S131" s="357" t="s">
        <v>504</v>
      </c>
      <c r="T131" s="357" t="s">
        <v>505</v>
      </c>
      <c r="U131" s="37"/>
      <c r="V131" s="357" t="s">
        <v>506</v>
      </c>
      <c r="W131" s="357" t="s">
        <v>507</v>
      </c>
      <c r="X131" s="357" t="s">
        <v>508</v>
      </c>
      <c r="Y131" s="357" t="s">
        <v>509</v>
      </c>
      <c r="Z131" s="357" t="s">
        <v>510</v>
      </c>
      <c r="AA131" s="37"/>
      <c r="AB131" s="357" t="s">
        <v>511</v>
      </c>
      <c r="AC131" s="357" t="s">
        <v>512</v>
      </c>
      <c r="AD131" s="357" t="s">
        <v>513</v>
      </c>
      <c r="AE131" s="357" t="s">
        <v>514</v>
      </c>
      <c r="AF131" s="357" t="s">
        <v>515</v>
      </c>
      <c r="AG131" s="37"/>
      <c r="AH131" s="357" t="s">
        <v>516</v>
      </c>
      <c r="AI131" s="37"/>
      <c r="AJ131" s="357" t="s">
        <v>517</v>
      </c>
      <c r="AK131" s="357"/>
      <c r="AL131" s="357" t="s">
        <v>518</v>
      </c>
    </row>
    <row r="132" spans="2:40" ht="4.3499999999999996" customHeight="1">
      <c r="B132" s="288"/>
      <c r="C132" s="36"/>
      <c r="D132" s="288"/>
      <c r="E132" s="288"/>
      <c r="F132" s="288"/>
      <c r="G132" s="288"/>
      <c r="H132" s="288"/>
      <c r="I132" s="36"/>
      <c r="J132" s="288"/>
      <c r="K132" s="288"/>
      <c r="L132" s="288"/>
      <c r="M132" s="288"/>
      <c r="N132" s="288"/>
      <c r="O132" s="36"/>
      <c r="P132" s="288"/>
      <c r="Q132" s="288"/>
      <c r="R132" s="288"/>
      <c r="S132" s="288"/>
      <c r="T132" s="288"/>
      <c r="U132" s="36"/>
      <c r="V132" s="288"/>
      <c r="W132" s="288"/>
      <c r="X132" s="288"/>
      <c r="Y132" s="288"/>
      <c r="Z132" s="288"/>
      <c r="AA132" s="36"/>
      <c r="AB132" s="288"/>
      <c r="AC132" s="288"/>
      <c r="AD132" s="288"/>
      <c r="AE132" s="288"/>
      <c r="AF132" s="288"/>
      <c r="AG132" s="36"/>
      <c r="AH132" s="288"/>
      <c r="AI132" s="36"/>
      <c r="AJ132" s="289"/>
      <c r="AK132" s="288"/>
      <c r="AL132" s="288"/>
    </row>
    <row r="133" spans="2:40" ht="4.3499999999999996" customHeight="1">
      <c r="U133" s="205"/>
    </row>
    <row r="134" spans="2:40" ht="14.25" customHeight="1">
      <c r="B134" s="28" t="s">
        <v>480</v>
      </c>
      <c r="D134" s="50">
        <f>CF!P17</f>
        <v>971</v>
      </c>
      <c r="E134" s="50">
        <f>CF!Q17</f>
        <v>995</v>
      </c>
      <c r="F134" s="50">
        <f>CF!R17</f>
        <v>986</v>
      </c>
      <c r="G134" s="50">
        <f>CF!S17</f>
        <v>1018</v>
      </c>
      <c r="H134" s="68">
        <f>CF!T17</f>
        <v>3970</v>
      </c>
      <c r="J134" s="50">
        <f>CF!V17</f>
        <v>1024</v>
      </c>
      <c r="K134" s="50">
        <f>CF!W17</f>
        <v>1046</v>
      </c>
      <c r="L134" s="50">
        <f>CF!X17</f>
        <v>1031</v>
      </c>
      <c r="M134" s="50">
        <f>CF!Y17</f>
        <v>1075</v>
      </c>
      <c r="N134" s="68">
        <f>CF!Z17</f>
        <v>4176</v>
      </c>
      <c r="P134" s="50">
        <f>CF!AB17</f>
        <v>1071</v>
      </c>
      <c r="Q134" s="50">
        <f>CF!AC17</f>
        <v>1040</v>
      </c>
      <c r="R134" s="50">
        <f>CF!AD17</f>
        <v>1072</v>
      </c>
      <c r="S134" s="50">
        <f>CF!AE17</f>
        <v>1104</v>
      </c>
      <c r="T134" s="68">
        <f>CF!AF17</f>
        <v>4287</v>
      </c>
      <c r="U134" s="205"/>
      <c r="V134" s="50">
        <f>CF!AH17</f>
        <v>1078</v>
      </c>
      <c r="W134" s="50">
        <f>CF!AI17</f>
        <v>1063</v>
      </c>
      <c r="X134" s="46">
        <f>X77+X89</f>
        <v>2111.3628679111976</v>
      </c>
      <c r="Y134" s="46">
        <f>Y77+Y89</f>
        <v>2135.5478406579732</v>
      </c>
      <c r="Z134" s="311">
        <f>SUM(V134:Y134)</f>
        <v>6387.9107085691703</v>
      </c>
      <c r="AB134" s="46">
        <f>AB77+AB89</f>
        <v>2041.4347905612826</v>
      </c>
      <c r="AC134" s="46">
        <f>AC77+AC89</f>
        <v>2122.711208292561</v>
      </c>
      <c r="AD134" s="46">
        <f>AD77+AD89</f>
        <v>2164.5107039754002</v>
      </c>
      <c r="AE134" s="46">
        <f>AE77+AE89</f>
        <v>2215.8360525380058</v>
      </c>
      <c r="AF134" s="311">
        <f>SUM(AB134:AE134)</f>
        <v>8544.4927553672496</v>
      </c>
      <c r="AH134" s="57">
        <f>AH77+AH89</f>
        <v>8699.6934175377246</v>
      </c>
      <c r="AJ134" s="57">
        <f>AJ77+AJ89</f>
        <v>8899.5044332034377</v>
      </c>
      <c r="AL134" s="57">
        <f>AL77+AL89</f>
        <v>8838.2677066189462</v>
      </c>
    </row>
    <row r="135" spans="2:40" ht="14.25" customHeight="1">
      <c r="B135" s="31" t="s">
        <v>481</v>
      </c>
      <c r="D135" s="304">
        <f>D134/(D122+D119)</f>
        <v>1.6531036126527971E-2</v>
      </c>
      <c r="E135" s="304">
        <f>E134/(E122+E119)</f>
        <v>1.6618509177759592E-2</v>
      </c>
      <c r="F135" s="304">
        <f>F134/(F122+F119)</f>
        <v>1.6234193888303477E-2</v>
      </c>
      <c r="G135" s="304">
        <f>G134/(G122+G119)</f>
        <v>1.6539667581926595E-2</v>
      </c>
      <c r="H135" s="307">
        <f>H134/(H122+H119)</f>
        <v>6.450145412598092E-2</v>
      </c>
      <c r="J135" s="304">
        <f>J134/(J122+J119)</f>
        <v>1.6425787202643524E-2</v>
      </c>
      <c r="K135" s="304">
        <f>K134/(K122+K119)</f>
        <v>1.6479967229128263E-2</v>
      </c>
      <c r="L135" s="304">
        <f>L134/(L122+L119)</f>
        <v>1.6181686913394229E-2</v>
      </c>
      <c r="M135" s="304">
        <f>M134/(M122+M119)</f>
        <v>1.6611552368884629E-2</v>
      </c>
      <c r="N135" s="307">
        <f>N134/(N122+N119)</f>
        <v>6.4530086225546249E-2</v>
      </c>
      <c r="P135" s="304">
        <f>P134/(P122+P119)</f>
        <v>1.6496465043205028E-2</v>
      </c>
      <c r="Q135" s="304">
        <f>Q134/(Q122+Q119)</f>
        <v>1.5940407400027588E-2</v>
      </c>
      <c r="R135" s="304">
        <f>R134/(R122+R119)</f>
        <v>1.6520519656644424E-2</v>
      </c>
      <c r="S135" s="304">
        <f>S134/(S122+S119)</f>
        <v>1.6929918724122067E-2</v>
      </c>
      <c r="T135" s="307">
        <f>T134/(T122+T119)</f>
        <v>6.5741450697745743E-2</v>
      </c>
      <c r="U135" s="205"/>
      <c r="V135" s="304">
        <f>V134/(V122+V119)</f>
        <v>1.6620156951018331E-2</v>
      </c>
      <c r="W135" s="304">
        <f>W134/(W122+W119)</f>
        <v>1.6579066394248016E-2</v>
      </c>
      <c r="X135" s="304">
        <f>X134/(X119+X122)</f>
        <v>3.2993990690761088E-2</v>
      </c>
      <c r="Y135" s="304">
        <f>Y134/(Y119+Y122)</f>
        <v>3.3278911750424668E-2</v>
      </c>
      <c r="Z135" s="327">
        <f>Z134/(Z119+Z122)</f>
        <v>9.9544815945012174E-2</v>
      </c>
      <c r="AB135" s="304">
        <f>AB134/(AB119+AB122)</f>
        <v>3.1915630736688329E-2</v>
      </c>
      <c r="AC135" s="304">
        <f>AC134/(AC119+AC122)</f>
        <v>3.3356710654077526E-2</v>
      </c>
      <c r="AD135" s="304">
        <f>AD134/(AD119+AD122)</f>
        <v>3.4123586753097651E-2</v>
      </c>
      <c r="AE135" s="304">
        <f>AE134/(AE119+AE122)</f>
        <v>3.5030858419885222E-2</v>
      </c>
      <c r="AF135" s="327">
        <f>AF134/(AF119+AF122)</f>
        <v>0.13508260940161373</v>
      </c>
      <c r="AH135" s="327">
        <f>AH134/(AH119+AH122)</f>
        <v>0.13953793148214599</v>
      </c>
      <c r="AJ135" s="327">
        <f>AJ134/(AJ119+AJ122)</f>
        <v>0.14384580399649161</v>
      </c>
      <c r="AL135" s="327">
        <f>AL134/(AL119+AL122)</f>
        <v>0.14262625785771832</v>
      </c>
    </row>
    <row r="136" spans="2:40" ht="14.25" customHeight="1">
      <c r="D136" s="46"/>
      <c r="E136" s="46"/>
      <c r="F136" s="46"/>
      <c r="G136" s="46"/>
      <c r="J136" s="46"/>
      <c r="K136" s="46"/>
      <c r="L136" s="46"/>
      <c r="M136" s="46"/>
      <c r="P136" s="46"/>
      <c r="Q136" s="46"/>
      <c r="R136" s="46"/>
      <c r="S136" s="46"/>
      <c r="U136" s="205"/>
      <c r="V136" s="46"/>
      <c r="W136" s="46"/>
      <c r="X136" s="46"/>
      <c r="Y136" s="46"/>
      <c r="AB136" s="46"/>
      <c r="AC136" s="46"/>
      <c r="AD136" s="46"/>
      <c r="AE136" s="46"/>
    </row>
    <row r="137" spans="2:40" ht="14.25" customHeight="1">
      <c r="B137" s="28" t="s">
        <v>533</v>
      </c>
      <c r="D137" s="50">
        <f>CF!P18</f>
        <v>69</v>
      </c>
      <c r="E137" s="50">
        <f>CF!Q18</f>
        <v>43</v>
      </c>
      <c r="F137" s="50">
        <f>CF!R18</f>
        <v>39</v>
      </c>
      <c r="G137" s="50">
        <f>CF!S18</f>
        <v>39</v>
      </c>
      <c r="H137" s="68">
        <f>CF!T18</f>
        <v>190</v>
      </c>
      <c r="J137" s="50">
        <f>CF!V18</f>
        <v>68</v>
      </c>
      <c r="K137" s="50">
        <f>CF!W18</f>
        <v>40</v>
      </c>
      <c r="L137" s="50">
        <f>CF!X18</f>
        <v>34</v>
      </c>
      <c r="M137" s="50">
        <f>CF!Y18</f>
        <v>40</v>
      </c>
      <c r="N137" s="68">
        <f>CF!Z18</f>
        <v>182</v>
      </c>
      <c r="P137" s="50">
        <f>CF!AB18</f>
        <v>56</v>
      </c>
      <c r="Q137" s="50">
        <f>CF!AC18</f>
        <v>40</v>
      </c>
      <c r="R137" s="50">
        <f>CF!AD18</f>
        <v>34</v>
      </c>
      <c r="S137" s="50">
        <f>CF!AE18</f>
        <v>33</v>
      </c>
      <c r="T137" s="68">
        <f>CF!AF18</f>
        <v>163</v>
      </c>
      <c r="U137" s="205"/>
      <c r="V137" s="50">
        <f>CF!AH18</f>
        <v>48</v>
      </c>
      <c r="W137" s="50">
        <f>CF!AI18</f>
        <v>36</v>
      </c>
      <c r="X137" s="46">
        <f>X139*X71</f>
        <v>45.837105671366494</v>
      </c>
      <c r="Y137" s="46">
        <f>Y139*Y71</f>
        <v>23.367936224618216</v>
      </c>
      <c r="Z137" s="311">
        <f>SUM(V137:Y137)</f>
        <v>153.20504189598469</v>
      </c>
      <c r="AB137" s="46">
        <f>AB139*AB71</f>
        <v>66.365728822612255</v>
      </c>
      <c r="AC137" s="46">
        <f>AC139*AC71</f>
        <v>45.165565448722234</v>
      </c>
      <c r="AD137" s="46">
        <f>AD139*AD71</f>
        <v>47.009057916017021</v>
      </c>
      <c r="AE137" s="46">
        <f>AE139*AE71</f>
        <v>23.965402074832209</v>
      </c>
      <c r="AF137" s="311">
        <f>SUM(AB137:AE137)</f>
        <v>182.50575426218373</v>
      </c>
      <c r="AH137" s="46">
        <f>AH139*AH71</f>
        <v>190.02963607241111</v>
      </c>
      <c r="AJ137" s="46">
        <f>AJ139*AJ71</f>
        <v>196.73988840203123</v>
      </c>
      <c r="AL137" s="46">
        <f>AL139*AL71</f>
        <v>195.41814223899109</v>
      </c>
    </row>
    <row r="138" spans="2:40" ht="14.25" customHeight="1">
      <c r="B138" s="31" t="s">
        <v>531</v>
      </c>
      <c r="D138" s="304" t="e">
        <f>D137/D83</f>
        <v>#DIV/0!</v>
      </c>
      <c r="E138" s="304" t="e">
        <f>E137/E83</f>
        <v>#DIV/0!</v>
      </c>
      <c r="F138" s="304" t="e">
        <f>F137/F83</f>
        <v>#DIV/0!</v>
      </c>
      <c r="G138" s="304" t="e">
        <f>G137/G83</f>
        <v>#DIV/0!</v>
      </c>
      <c r="H138" s="307">
        <v>0</v>
      </c>
      <c r="J138" s="304" t="e">
        <f>J137/J83</f>
        <v>#DIV/0!</v>
      </c>
      <c r="K138" s="304" t="e">
        <f>K137/K83</f>
        <v>#DIV/0!</v>
      </c>
      <c r="L138" s="304" t="e">
        <f>L137/L83</f>
        <v>#DIV/0!</v>
      </c>
      <c r="M138" s="304" t="e">
        <f>M137/M83</f>
        <v>#DIV/0!</v>
      </c>
      <c r="N138" s="307">
        <v>0</v>
      </c>
      <c r="P138" s="307">
        <v>0</v>
      </c>
      <c r="Q138" s="307">
        <v>0</v>
      </c>
      <c r="R138" s="307">
        <v>0</v>
      </c>
      <c r="S138" s="307">
        <v>0</v>
      </c>
      <c r="T138" s="307">
        <v>0</v>
      </c>
      <c r="U138" s="205"/>
      <c r="V138" s="307">
        <v>0</v>
      </c>
      <c r="W138" s="307">
        <v>0</v>
      </c>
      <c r="X138" s="315">
        <v>0</v>
      </c>
      <c r="Y138" s="315">
        <v>0</v>
      </c>
      <c r="Z138" s="327" t="e">
        <f>Z137/Z83</f>
        <v>#DIV/0!</v>
      </c>
      <c r="AB138" s="315">
        <v>0</v>
      </c>
      <c r="AC138" s="315">
        <v>0</v>
      </c>
      <c r="AD138" s="315">
        <v>0</v>
      </c>
      <c r="AE138" s="315">
        <v>0</v>
      </c>
      <c r="AF138" s="337" t="e">
        <f>AF137/AF83</f>
        <v>#DIV/0!</v>
      </c>
      <c r="AH138" s="315">
        <v>0</v>
      </c>
      <c r="AJ138" s="315">
        <v>0</v>
      </c>
      <c r="AL138" s="315">
        <v>0</v>
      </c>
    </row>
    <row r="139" spans="2:40" ht="14.25" customHeight="1">
      <c r="B139" s="31" t="s">
        <v>534</v>
      </c>
      <c r="D139" s="304">
        <f>D137/D71</f>
        <v>3.135936008726083E-3</v>
      </c>
      <c r="E139" s="304">
        <f>E137/E71</f>
        <v>1.8318139217858055E-3</v>
      </c>
      <c r="F139" s="304">
        <f>F137/F71</f>
        <v>1.6496764096273423E-3</v>
      </c>
      <c r="G139" s="304">
        <f>G137/G71</f>
        <v>1.598753791916045E-3</v>
      </c>
      <c r="H139" s="307"/>
      <c r="J139" s="304">
        <f>J137/J71</f>
        <v>2.9257378883056537E-3</v>
      </c>
      <c r="K139" s="304">
        <f>K137/K71</f>
        <v>1.7533093714385904E-3</v>
      </c>
      <c r="L139" s="304">
        <f>L137/L71</f>
        <v>1.5336731471875141E-3</v>
      </c>
      <c r="M139" s="304">
        <f>M137/M71</f>
        <v>1.823985408116735E-3</v>
      </c>
      <c r="N139" s="307"/>
      <c r="P139" s="304">
        <f>P137/P71</f>
        <v>2.5829066924957338E-3</v>
      </c>
      <c r="Q139" s="304">
        <f>Q137/Q71</f>
        <v>1.8046469659372885E-3</v>
      </c>
      <c r="R139" s="304">
        <f>R137/R71</f>
        <v>1.5640813322292759E-3</v>
      </c>
      <c r="S139" s="304">
        <f>S137/S71</f>
        <v>1.4926048215658781E-3</v>
      </c>
      <c r="T139" s="307"/>
      <c r="U139" s="205"/>
      <c r="V139" s="304">
        <f>V137/V71</f>
        <v>2.2243848185736132E-3</v>
      </c>
      <c r="W139" s="304">
        <f>W137/W71</f>
        <v>1.6388218691673875E-3</v>
      </c>
      <c r="X139" s="315">
        <v>2E-3</v>
      </c>
      <c r="Y139" s="315">
        <v>1E-3</v>
      </c>
      <c r="Z139" s="327"/>
      <c r="AB139" s="315">
        <v>3.0000000000000001E-3</v>
      </c>
      <c r="AC139" s="315">
        <v>2E-3</v>
      </c>
      <c r="AD139" s="315">
        <v>2E-3</v>
      </c>
      <c r="AE139" s="315">
        <v>1E-3</v>
      </c>
      <c r="AF139" s="337"/>
      <c r="AH139" s="315">
        <v>2E-3</v>
      </c>
      <c r="AJ139" s="315">
        <v>2E-3</v>
      </c>
      <c r="AL139" s="315">
        <v>2E-3</v>
      </c>
    </row>
    <row r="140" spans="2:40" ht="14.25" customHeight="1">
      <c r="B140" s="31" t="s">
        <v>535</v>
      </c>
      <c r="D140" s="304"/>
      <c r="E140" s="304"/>
      <c r="F140" s="304"/>
      <c r="G140" s="304"/>
      <c r="H140" s="307"/>
      <c r="J140" s="304"/>
      <c r="K140" s="304"/>
      <c r="L140" s="304"/>
      <c r="M140" s="304"/>
      <c r="N140" s="307"/>
      <c r="P140" s="304"/>
      <c r="Q140" s="304"/>
      <c r="R140" s="304"/>
      <c r="S140" s="304"/>
      <c r="T140" s="307"/>
      <c r="U140" s="205"/>
      <c r="V140" s="304"/>
      <c r="W140" s="304"/>
      <c r="X140" s="328">
        <f ca="1">$AN$140/4</f>
        <v>0.37478962968781482</v>
      </c>
      <c r="Y140" s="328">
        <f ca="1">$AN$140/4</f>
        <v>0.37478962968781482</v>
      </c>
      <c r="Z140" s="335">
        <f ca="1">AVERAGE(V140:Y140)</f>
        <v>0.37478962968781482</v>
      </c>
      <c r="AB140" s="328">
        <v>0.4</v>
      </c>
      <c r="AC140" s="328">
        <v>0.4</v>
      </c>
      <c r="AD140" s="328">
        <v>0.4</v>
      </c>
      <c r="AE140" s="328">
        <v>0.4</v>
      </c>
      <c r="AF140" s="335">
        <f>AVERAGE(AB140:AE140)</f>
        <v>0.4</v>
      </c>
      <c r="AH140" s="328">
        <v>0.4</v>
      </c>
      <c r="AJ140" s="328">
        <v>0.4</v>
      </c>
      <c r="AL140" s="328">
        <v>0.4</v>
      </c>
      <c r="AN140" s="97">
        <f ca="1">(AL209)/Inputs!U63</f>
        <v>1.4991585187512593</v>
      </c>
    </row>
    <row r="141" spans="2:40" ht="14.25" customHeight="1">
      <c r="B141" s="31" t="s">
        <v>536</v>
      </c>
      <c r="D141" s="46"/>
      <c r="E141" s="46"/>
      <c r="F141" s="46"/>
      <c r="G141" s="46"/>
      <c r="J141" s="46"/>
      <c r="K141" s="46"/>
      <c r="L141" s="46"/>
      <c r="M141" s="46"/>
      <c r="P141" s="46"/>
      <c r="Q141" s="46"/>
      <c r="R141" s="46"/>
      <c r="S141" s="46"/>
      <c r="U141" s="205"/>
      <c r="V141" s="46"/>
      <c r="W141" s="46"/>
      <c r="X141" s="420">
        <f ca="1">X140*(X71+W71+V71+S71)/W104</f>
        <v>137.1754093695034</v>
      </c>
      <c r="Y141" s="420">
        <f ca="1">Y140*(Y71+X71+W71+V71)/X104</f>
        <v>138.93330909799425</v>
      </c>
      <c r="Z141" s="336">
        <f ca="1">AVERAGE(V141:Y141)</f>
        <v>138.05435923374881</v>
      </c>
      <c r="AB141" s="420">
        <f ca="1">AB140*(AB71+Y71+X71+W71)/Y104</f>
        <v>149.07138105264383</v>
      </c>
      <c r="AC141" s="420">
        <f ca="1">AC140*(AC71+AB71+Y71+X71)/AB104</f>
        <v>149.81206507642176</v>
      </c>
      <c r="AD141" s="420">
        <f ca="1">AD140*(AD71+AC71+AB71+Y71)/AC104</f>
        <v>150.5899711206844</v>
      </c>
      <c r="AE141" s="420">
        <f ca="1">AE140*(AE71+AD71+AC71+AB71)/AD104</f>
        <v>151.37818078910556</v>
      </c>
      <c r="AF141" s="336">
        <f ca="1">AVERAGE(AB141:AE141)</f>
        <v>150.21289950971391</v>
      </c>
      <c r="AH141" s="335">
        <f ca="1">AH140*AH71/AE104</f>
        <v>155.94126441608901</v>
      </c>
      <c r="AJ141" s="335">
        <f ca="1">AJ140*AJ71/AH104</f>
        <v>160.64457857951265</v>
      </c>
      <c r="AL141" s="335">
        <f ca="1">AL140*AL71/AJ104</f>
        <v>159.78980697942163</v>
      </c>
    </row>
    <row r="142" spans="2:40" ht="14.25" customHeight="1">
      <c r="B142" s="31" t="s">
        <v>537</v>
      </c>
      <c r="D142" s="46"/>
      <c r="E142" s="46"/>
      <c r="F142" s="46"/>
      <c r="G142" s="46"/>
      <c r="J142" s="46"/>
      <c r="K142" s="46"/>
      <c r="L142" s="46"/>
      <c r="M142" s="46"/>
      <c r="P142" s="46"/>
      <c r="Q142" s="46"/>
      <c r="R142" s="46"/>
      <c r="S142" s="46"/>
      <c r="U142" s="205"/>
      <c r="V142" s="46"/>
      <c r="W142" s="46"/>
      <c r="X142" s="420">
        <f ca="1">X137/X141</f>
        <v>0.33414958178033999</v>
      </c>
      <c r="Y142" s="420">
        <f ca="1">Y137/Y141</f>
        <v>0.16819534765515473</v>
      </c>
      <c r="Z142" s="335">
        <f ca="1">AVERAGE(V142:Y142)</f>
        <v>0.25117246471774735</v>
      </c>
      <c r="AB142" s="420">
        <f ca="1">AB137/AB141</f>
        <v>0.44519429788589349</v>
      </c>
      <c r="AC142" s="420">
        <f ca="1">AC137/AC141</f>
        <v>0.30148149567047544</v>
      </c>
      <c r="AD142" s="420">
        <f ca="1">AD137/AD141</f>
        <v>0.31216592689524764</v>
      </c>
      <c r="AE142" s="420">
        <f ca="1">AE137/AE141</f>
        <v>0.15831477132242666</v>
      </c>
      <c r="AF142" s="335">
        <f ca="1">AVERAGE(AB142:AE142)</f>
        <v>0.30428912294351079</v>
      </c>
      <c r="AH142" s="335">
        <f ca="1">AH137/AH141</f>
        <v>1.2185975071060478</v>
      </c>
      <c r="AJ142" s="335">
        <f ca="1">AJ137/AJ141</f>
        <v>1.2246904946415782</v>
      </c>
      <c r="AL142" s="335">
        <f ca="1">AL137/AL141</f>
        <v>1.2229700124999703</v>
      </c>
    </row>
    <row r="143" spans="2:40" ht="14.25" customHeight="1">
      <c r="D143" s="46"/>
      <c r="E143" s="46"/>
      <c r="F143" s="46"/>
      <c r="G143" s="46"/>
      <c r="J143" s="46"/>
      <c r="K143" s="46"/>
      <c r="L143" s="46"/>
      <c r="M143" s="46"/>
      <c r="P143" s="46"/>
      <c r="Q143" s="46"/>
      <c r="R143" s="46"/>
      <c r="S143" s="46"/>
      <c r="U143" s="205"/>
      <c r="V143" s="46"/>
      <c r="W143" s="46"/>
      <c r="X143" s="46"/>
      <c r="Y143" s="46"/>
      <c r="AB143" s="46"/>
      <c r="AC143" s="46"/>
      <c r="AD143" s="46"/>
      <c r="AE143" s="46"/>
    </row>
    <row r="144" spans="2:40" ht="14.25" customHeight="1">
      <c r="B144" s="28" t="s">
        <v>538</v>
      </c>
      <c r="D144" s="50">
        <f>SUM(CF!P21:P24)</f>
        <v>-1061</v>
      </c>
      <c r="E144" s="50">
        <f>SUM(CF!Q21:Q24)</f>
        <v>-1276</v>
      </c>
      <c r="F144" s="50">
        <f>SUM(CF!R21:R24)</f>
        <v>-856</v>
      </c>
      <c r="G144" s="50">
        <f>SUM(CF!S21:S24)</f>
        <v>864</v>
      </c>
      <c r="H144" s="68">
        <f>SUM(CF!T21:T24)</f>
        <v>-2329</v>
      </c>
      <c r="J144" s="50">
        <f>SUM(CF!V21:V24)</f>
        <v>-1214</v>
      </c>
      <c r="K144" s="50">
        <f>SUM(CF!W21:W24)</f>
        <v>-1292</v>
      </c>
      <c r="L144" s="50">
        <f>SUM(CF!X21:X24)</f>
        <v>-721</v>
      </c>
      <c r="M144" s="50">
        <f>SUM(CF!Y21:Y24)</f>
        <v>770</v>
      </c>
      <c r="N144" s="68">
        <f>SUM(CF!Z21:Z24)</f>
        <v>-2501</v>
      </c>
      <c r="P144" s="50">
        <f>SUM(CF!AB21:AB24)</f>
        <v>-727</v>
      </c>
      <c r="Q144" s="50">
        <f>SUM(CF!AC21:AC24)</f>
        <v>-1045</v>
      </c>
      <c r="R144" s="50">
        <f>SUM(CF!AD21:AD24)</f>
        <v>-1168</v>
      </c>
      <c r="S144" s="50">
        <f>SUM(CF!AE21:AE24)</f>
        <v>74</v>
      </c>
      <c r="T144" s="68">
        <f>SUM(CF!AF21:AF24)</f>
        <v>-2866</v>
      </c>
      <c r="U144" s="205"/>
      <c r="V144" s="50">
        <f>SUM(CF!AH21:AH24)</f>
        <v>-1410</v>
      </c>
      <c r="W144" s="50">
        <f>SUM(CF!AI21:AI24)</f>
        <v>-1644</v>
      </c>
      <c r="X144" s="46">
        <f>-((X110+X113+X116-X125-X128)-(W110+W113+W116-W125-W128))</f>
        <v>-151.28758214236768</v>
      </c>
      <c r="Y144" s="46">
        <f>-((Y110+Y113+Y116-Y125-Y128)-(X110+X113+X116-X125-X128))</f>
        <v>360.0909095535917</v>
      </c>
      <c r="Z144" s="57">
        <f>SUM(V144:Y144)</f>
        <v>-2845.196672588776</v>
      </c>
      <c r="AB144" s="46">
        <f>-((AB110+AB113+AB116-AB125-AB128)-(Y110+Y113+Y116-Y125-Y128))</f>
        <v>168.03192428086368</v>
      </c>
      <c r="AC144" s="46">
        <f>-((AC110+AC113+AC116-AC125-AC128)-(AB110+AB113+AB116-AB125-AB128))</f>
        <v>-97.892121741570008</v>
      </c>
      <c r="AD144" s="46">
        <f>-((AD110+AD113+AD116-AD125-AD128)-(AC110+AC113+AC116-AC125-AC128))</f>
        <v>-475.31046815723676</v>
      </c>
      <c r="AE144" s="46">
        <f>-((AE110+AE113+AE116-AE125-AE128)-(AD110+AD113+AD116-AD125-AD128))</f>
        <v>752.75608448510502</v>
      </c>
      <c r="AF144" s="57">
        <f>SUM(AB144:AE144)</f>
        <v>347.58541886716193</v>
      </c>
      <c r="AH144" s="311">
        <f>-((AH110+AH113+AH116-AH125-AH128)-(AF110+AF113+AF116-AF125-AF128))</f>
        <v>-345.35936085170215</v>
      </c>
      <c r="AJ144" s="311">
        <f>-((AJ110+AJ113+AJ116-AJ125-AJ128)-(AH110+AH113+AH116-AH125-AH128))</f>
        <v>-273.62968744535101</v>
      </c>
      <c r="AL144" s="311">
        <f>-((AL110+AL113+AL116-AL125-AL128)-(AJ110+AJ113+AJ116-AJ125-AJ128))</f>
        <v>401.0772350149764</v>
      </c>
    </row>
    <row r="145" spans="1:46" ht="14.25" customHeight="1">
      <c r="B145" s="31" t="s">
        <v>539</v>
      </c>
      <c r="D145" s="304">
        <f>D144/(D71-IS!M18)</f>
        <v>1.8879003558718861</v>
      </c>
      <c r="E145" s="304">
        <f>E144/(E71-D71)</f>
        <v>-0.86743711760706999</v>
      </c>
      <c r="F145" s="304">
        <f>F144/(F71-E71)</f>
        <v>-5.1257485029940124</v>
      </c>
      <c r="G145" s="304">
        <f>G144/(G71-F71)</f>
        <v>1.1474103585657371</v>
      </c>
      <c r="H145" s="307">
        <f>H144/IS!N18</f>
        <v>-2.7739730106361438E-2</v>
      </c>
      <c r="J145" s="304">
        <f>J144/(J71-IS!S18)</f>
        <v>1.0538194444444444</v>
      </c>
      <c r="K145" s="304">
        <f>K144/(K71-J71)</f>
        <v>3.0186915887850465</v>
      </c>
      <c r="L145" s="304">
        <f>L144/(L71-K71)</f>
        <v>1.117829457364341</v>
      </c>
      <c r="M145" s="304">
        <f>M144/(M71-L71)</f>
        <v>-3.2217573221757321</v>
      </c>
      <c r="N145" s="307">
        <f>N144/IS!T18</f>
        <v>-2.6745230558644879E-2</v>
      </c>
      <c r="P145" s="304">
        <f>P144/(P71-IS!Y18)</f>
        <v>2.9196787148594376</v>
      </c>
      <c r="Q145" s="304">
        <f>Q144/(Q71-P71)</f>
        <v>-2.1590909090909092</v>
      </c>
      <c r="R145" s="304">
        <f>R144/(R71-Q71)</f>
        <v>2.7353629976580796</v>
      </c>
      <c r="S145" s="304">
        <f>S144/(S71-R71)</f>
        <v>0.19946091644204852</v>
      </c>
      <c r="T145" s="307">
        <f>T144/IS!Z18</f>
        <v>-3.1789695524374689E-2</v>
      </c>
      <c r="U145" s="205"/>
      <c r="V145" s="304">
        <f>V144/(V71-IS!AE18)</f>
        <v>2.6603773584905661</v>
      </c>
      <c r="W145" s="304">
        <f>W144/(W71-V71)</f>
        <v>-4.2371134020618557</v>
      </c>
      <c r="X145" s="304">
        <f>X144/(X71-W71)</f>
        <v>-0.15899020681677442</v>
      </c>
      <c r="Y145" s="304">
        <f>Y144/(Y71-X71)</f>
        <v>0.80130000000000734</v>
      </c>
      <c r="Z145" s="307">
        <f>Z144/(Z71-T71)</f>
        <v>-1.3298486659183355</v>
      </c>
      <c r="AB145" s="304">
        <f>AB144/(AB71-IS!AK18)</f>
        <v>7.5957242056360055E-3</v>
      </c>
      <c r="AC145" s="304">
        <f>AC144/(AC71-AB71)</f>
        <v>-0.21240579710145546</v>
      </c>
      <c r="AD145" s="304">
        <f>AD144/(AD71-AC71)</f>
        <v>-0.51566304347825975</v>
      </c>
      <c r="AE145" s="304">
        <f>AE144/(AE71-AD71)</f>
        <v>1.6333260869565145</v>
      </c>
      <c r="AF145" s="307">
        <f>AF144/(AF71-Z71)</f>
        <v>0.14840541731896861</v>
      </c>
      <c r="AH145" s="307">
        <f>AH144/(AH71-AF71)</f>
        <v>-0.12159707372220496</v>
      </c>
      <c r="AJ145" s="307">
        <f>AJ144/(AJ71-AH71)</f>
        <v>-8.1555707298071961E-2</v>
      </c>
      <c r="AL145" s="307">
        <f>AL144/(AL71-AJ71)</f>
        <v>-0.60688995546992286</v>
      </c>
    </row>
    <row r="146" spans="1:46" ht="14.25" customHeight="1">
      <c r="D146" s="46"/>
      <c r="E146" s="46"/>
      <c r="F146" s="46"/>
      <c r="G146" s="46"/>
      <c r="J146" s="46"/>
      <c r="K146" s="46"/>
      <c r="L146" s="46"/>
      <c r="M146" s="46"/>
      <c r="P146" s="46"/>
      <c r="Q146" s="46"/>
      <c r="R146" s="46"/>
      <c r="S146" s="46"/>
      <c r="U146" s="205"/>
      <c r="V146" s="46"/>
      <c r="W146" s="46"/>
      <c r="X146" s="46"/>
      <c r="Y146" s="46"/>
      <c r="AB146" s="46"/>
      <c r="AC146" s="46"/>
      <c r="AD146" s="46"/>
      <c r="AE146" s="46"/>
    </row>
    <row r="147" spans="1:46" ht="14.25" customHeight="1">
      <c r="B147" s="28" t="s">
        <v>540</v>
      </c>
      <c r="D147" s="50">
        <f>CF!P28</f>
        <v>-1570</v>
      </c>
      <c r="E147" s="50">
        <f>CF!Q28</f>
        <v>-1573</v>
      </c>
      <c r="F147" s="50">
        <f>CF!R28</f>
        <v>-1236</v>
      </c>
      <c r="G147" s="50">
        <f>CF!S28</f>
        <v>-2384</v>
      </c>
      <c r="H147" s="68">
        <f>CF!T28</f>
        <v>-6763</v>
      </c>
      <c r="J147" s="50">
        <f>CF!V28</f>
        <v>-1284</v>
      </c>
      <c r="K147" s="50">
        <f>CF!W28</f>
        <v>-1858</v>
      </c>
      <c r="L147" s="50">
        <f>CF!X28</f>
        <v>-1278</v>
      </c>
      <c r="M147" s="50">
        <f>CF!Y28</f>
        <v>-1754</v>
      </c>
      <c r="N147" s="68">
        <f>CF!Z28</f>
        <v>-6174</v>
      </c>
      <c r="P147" s="50">
        <f>CF!AB28</f>
        <v>-1290</v>
      </c>
      <c r="Q147" s="50">
        <f>CF!AC28</f>
        <v>-1305</v>
      </c>
      <c r="R147" s="50">
        <f>CF!AD28</f>
        <v>-1379</v>
      </c>
      <c r="S147" s="50">
        <f>CF!AE28</f>
        <v>-1202</v>
      </c>
      <c r="T147" s="68">
        <f>CF!AF28</f>
        <v>-5176</v>
      </c>
      <c r="U147" s="205"/>
      <c r="V147" s="50">
        <f>CF!AH28</f>
        <v>-767</v>
      </c>
      <c r="W147" s="50">
        <f>CF!AI28</f>
        <v>-818</v>
      </c>
      <c r="X147" s="46">
        <f>-X$71*(X148+Sensitivity!$U$38)</f>
        <v>-985.49777193437956</v>
      </c>
      <c r="Y147" s="46">
        <f>-Y$71*(Y148+Sensitivity!$U$38)</f>
        <v>-1308.6044285786199</v>
      </c>
      <c r="Z147" s="57">
        <f>SUM(V147:Y147)</f>
        <v>-3879.1022005129998</v>
      </c>
      <c r="AA147" s="71"/>
      <c r="AB147" s="46">
        <f>-AB$71*(AB148+Sensitivity!$U$38)</f>
        <v>-884.87638430149673</v>
      </c>
      <c r="AC147" s="46">
        <f>-AC$71*(AC148+Sensitivity!$U$38)</f>
        <v>-790.39739535263914</v>
      </c>
      <c r="AD147" s="46">
        <f>-AD$71*(AD148+Sensitivity!$U$38)</f>
        <v>-963.68568727834884</v>
      </c>
      <c r="AE147" s="46">
        <f>-AE$71*(AE148+Sensitivity!$U$38)</f>
        <v>-1006.5468871429528</v>
      </c>
      <c r="AF147" s="57">
        <f>SUM(AB147:AE147)</f>
        <v>-3645.5063540754372</v>
      </c>
      <c r="AG147" s="57"/>
      <c r="AH147" s="57">
        <f>-AH$71*(AH148+Sensitivity!$U$38)</f>
        <v>-3800.5927214482222</v>
      </c>
      <c r="AI147" s="57"/>
      <c r="AJ147" s="57">
        <f>-AJ$71*(AJ148+Sensitivity!$U$38)</f>
        <v>-4426.6474890457021</v>
      </c>
      <c r="AK147" s="57"/>
      <c r="AL147" s="57">
        <f>-AL$71*(AL148+Sensitivity!$U$38)</f>
        <v>-4885.4535559747774</v>
      </c>
    </row>
    <row r="148" spans="1:46" ht="14.25" customHeight="1">
      <c r="B148" s="31" t="s">
        <v>473</v>
      </c>
      <c r="D148" s="304">
        <f>-D147/D71</f>
        <v>7.1353906285506516E-2</v>
      </c>
      <c r="E148" s="304">
        <f>-E147/E71</f>
        <v>6.7010309278350513E-2</v>
      </c>
      <c r="F148" s="304">
        <f>-F147/F71</f>
        <v>5.2282052366651156E-2</v>
      </c>
      <c r="G148" s="304">
        <f>-G147/G71</f>
        <v>9.7728949741739776E-2</v>
      </c>
      <c r="H148" s="307">
        <f>-H147/H71</f>
        <v>7.2322268799726239E-2</v>
      </c>
      <c r="J148" s="304">
        <f>-J147/J71</f>
        <v>5.5244815420359694E-2</v>
      </c>
      <c r="K148" s="304">
        <f>-K147/K71</f>
        <v>8.1441220303322515E-2</v>
      </c>
      <c r="L148" s="304">
        <f>-L147/L71</f>
        <v>5.7648067120754209E-2</v>
      </c>
      <c r="M148" s="304">
        <f>-M147/M71</f>
        <v>7.9981760145918832E-2</v>
      </c>
      <c r="N148" s="307">
        <f>-N147/N71</f>
        <v>6.8482058676723426E-2</v>
      </c>
      <c r="P148" s="304">
        <f>-P147/P71</f>
        <v>5.9499100594991007E-2</v>
      </c>
      <c r="Q148" s="304">
        <f>-Q147/Q71</f>
        <v>5.8876607263704035E-2</v>
      </c>
      <c r="R148" s="304">
        <f>-R147/R71</f>
        <v>6.3437298739534451E-2</v>
      </c>
      <c r="S148" s="304">
        <f>-S147/S71</f>
        <v>5.4366999864308652E-2</v>
      </c>
      <c r="T148" s="307">
        <f>-T147/T71</f>
        <v>5.9024095423808057E-2</v>
      </c>
      <c r="U148" s="205"/>
      <c r="V148" s="304">
        <f>-V147/V71</f>
        <v>3.5543815746790865E-2</v>
      </c>
      <c r="W148" s="304">
        <f>-W147/W71</f>
        <v>3.7237674693858969E-2</v>
      </c>
      <c r="X148" s="315">
        <v>4.2999999999999997E-2</v>
      </c>
      <c r="Y148" s="315">
        <v>5.6000000000000001E-2</v>
      </c>
      <c r="Z148" s="305">
        <f>-Z147/Z$71</f>
        <v>4.3181506391402467E-2</v>
      </c>
      <c r="AB148" s="315">
        <v>0.04</v>
      </c>
      <c r="AC148" s="315">
        <v>3.5000000000000003E-2</v>
      </c>
      <c r="AD148" s="315">
        <v>4.1000000000000002E-2</v>
      </c>
      <c r="AE148" s="315">
        <v>4.2000000000000003E-2</v>
      </c>
      <c r="AF148" s="305">
        <f>-AF147/AF$71</f>
        <v>3.9550000000000002E-2</v>
      </c>
      <c r="AH148" s="315">
        <v>0.04</v>
      </c>
      <c r="AJ148" s="315">
        <v>4.4999999999999998E-2</v>
      </c>
      <c r="AL148" s="315">
        <v>0.05</v>
      </c>
    </row>
    <row r="149" spans="1:46" ht="14.25" customHeight="1">
      <c r="D149" s="46"/>
      <c r="E149" s="46"/>
      <c r="F149" s="46"/>
      <c r="G149" s="46"/>
      <c r="J149" s="46"/>
      <c r="K149" s="46"/>
      <c r="L149" s="46"/>
      <c r="M149" s="46"/>
      <c r="P149" s="46"/>
      <c r="Q149" s="46"/>
      <c r="R149" s="46"/>
      <c r="S149" s="46"/>
      <c r="U149" s="205"/>
      <c r="V149" s="46"/>
      <c r="W149" s="46"/>
      <c r="X149" s="46"/>
      <c r="Y149" s="46"/>
      <c r="AB149" s="46"/>
      <c r="AC149" s="46"/>
      <c r="AD149" s="46"/>
      <c r="AE149" s="46"/>
    </row>
    <row r="150" spans="1:46" ht="14.25" customHeight="1">
      <c r="B150" s="28" t="s">
        <v>541</v>
      </c>
      <c r="D150" s="50">
        <f>CF!P29</f>
        <v>20</v>
      </c>
      <c r="E150" s="50">
        <f>CF!Q29</f>
        <v>11</v>
      </c>
      <c r="F150" s="50">
        <f>CF!R29</f>
        <v>40</v>
      </c>
      <c r="G150" s="50">
        <f>CF!S29</f>
        <v>23</v>
      </c>
      <c r="H150" s="68">
        <f>CF!T29</f>
        <v>94</v>
      </c>
      <c r="J150" s="50">
        <f>CF!V29</f>
        <v>10</v>
      </c>
      <c r="K150" s="50">
        <f>CF!W29</f>
        <v>10</v>
      </c>
      <c r="L150" s="50">
        <f>CF!X29</f>
        <v>52</v>
      </c>
      <c r="M150" s="50">
        <f>CF!Y29</f>
        <v>12</v>
      </c>
      <c r="N150" s="68">
        <f>CF!Z29</f>
        <v>84</v>
      </c>
      <c r="P150" s="50">
        <f>CF!AB29</f>
        <v>12</v>
      </c>
      <c r="Q150" s="50">
        <f>CF!AC29</f>
        <v>50</v>
      </c>
      <c r="R150" s="50">
        <f>CF!AD29</f>
        <v>32</v>
      </c>
      <c r="S150" s="50">
        <f>CF!AE29</f>
        <v>20</v>
      </c>
      <c r="T150" s="68">
        <f>CF!AF29</f>
        <v>114</v>
      </c>
      <c r="U150" s="205"/>
      <c r="V150" s="50">
        <f>CF!AH29</f>
        <v>13</v>
      </c>
      <c r="W150" s="50">
        <f>CF!AI29</f>
        <v>21</v>
      </c>
      <c r="X150" s="46">
        <f>-(X151*X$147)</f>
        <v>22.66644875449073</v>
      </c>
      <c r="Y150" s="46">
        <f>-(Y151*Y$147)</f>
        <v>20.93767085725792</v>
      </c>
      <c r="Z150" s="57">
        <f>SUM(V150:Y150)</f>
        <v>77.604119611748644</v>
      </c>
      <c r="AB150" s="46">
        <f>-AB151*AB$147</f>
        <v>10.618516611617961</v>
      </c>
      <c r="AC150" s="46">
        <f>-AC151*AC$147</f>
        <v>12.646358325642227</v>
      </c>
      <c r="AD150" s="46">
        <f>-AD151*AD$147</f>
        <v>19.273713745566976</v>
      </c>
      <c r="AE150" s="46">
        <f>-AE151*AE$147</f>
        <v>12.078562645715433</v>
      </c>
      <c r="AF150" s="57">
        <f>SUM(AB150:AE150)</f>
        <v>54.617151328542604</v>
      </c>
      <c r="AH150" s="57">
        <f t="shared" ref="AH150:AL150" si="53">AH151*AH$147</f>
        <v>60.809483543171552</v>
      </c>
      <c r="AJ150" s="57">
        <f t="shared" si="53"/>
        <v>88.532949780914038</v>
      </c>
      <c r="AL150" s="57">
        <f t="shared" si="53"/>
        <v>68.396349783646883</v>
      </c>
    </row>
    <row r="151" spans="1:46" ht="14.25" customHeight="1">
      <c r="B151" s="31" t="s">
        <v>542</v>
      </c>
      <c r="D151" s="304">
        <f>-D150/D147</f>
        <v>1.2738853503184714E-2</v>
      </c>
      <c r="E151" s="304">
        <f t="shared" ref="E151:H151" si="54">-E150/E147</f>
        <v>6.993006993006993E-3</v>
      </c>
      <c r="F151" s="304">
        <f t="shared" si="54"/>
        <v>3.2362459546925564E-2</v>
      </c>
      <c r="G151" s="304">
        <f t="shared" si="54"/>
        <v>9.6476510067114093E-3</v>
      </c>
      <c r="H151" s="307">
        <f t="shared" si="54"/>
        <v>1.389915717876682E-2</v>
      </c>
      <c r="J151" s="304">
        <f>-J150/J147</f>
        <v>7.7881619937694704E-3</v>
      </c>
      <c r="K151" s="304">
        <f t="shared" ref="K151" si="55">-K150/K147</f>
        <v>5.3821313240043061E-3</v>
      </c>
      <c r="L151" s="304">
        <f t="shared" ref="L151" si="56">-L150/L147</f>
        <v>4.0688575899843503E-2</v>
      </c>
      <c r="M151" s="304">
        <f t="shared" ref="M151" si="57">-M150/M147</f>
        <v>6.8415051311288486E-3</v>
      </c>
      <c r="N151" s="307">
        <f t="shared" ref="N151" si="58">-N150/N147</f>
        <v>1.3605442176870748E-2</v>
      </c>
      <c r="P151" s="304">
        <f>-P150/P147</f>
        <v>9.3023255813953487E-3</v>
      </c>
      <c r="Q151" s="304">
        <f t="shared" ref="Q151" si="59">-Q150/Q147</f>
        <v>3.8314176245210725E-2</v>
      </c>
      <c r="R151" s="304">
        <f t="shared" ref="R151" si="60">-R150/R147</f>
        <v>2.3205221174764323E-2</v>
      </c>
      <c r="S151" s="304">
        <f t="shared" ref="S151" si="61">-S150/S147</f>
        <v>1.6638935108153077E-2</v>
      </c>
      <c r="T151" s="307">
        <f t="shared" ref="T151" si="62">-T150/T147</f>
        <v>2.2024729520865535E-2</v>
      </c>
      <c r="U151" s="205"/>
      <c r="V151" s="304">
        <f>-V150/V147</f>
        <v>1.6949152542372881E-2</v>
      </c>
      <c r="W151" s="304">
        <f t="shared" ref="W151" si="63">-W150/W147</f>
        <v>2.567237163814181E-2</v>
      </c>
      <c r="X151" s="315">
        <v>2.3E-2</v>
      </c>
      <c r="Y151" s="315">
        <v>1.6E-2</v>
      </c>
      <c r="Z151" s="305">
        <f>-Z150/Z$71</f>
        <v>-8.6387586967178061E-4</v>
      </c>
      <c r="AB151" s="315">
        <v>1.2E-2</v>
      </c>
      <c r="AC151" s="315">
        <v>1.6E-2</v>
      </c>
      <c r="AD151" s="315">
        <v>0.02</v>
      </c>
      <c r="AE151" s="315">
        <v>1.2E-2</v>
      </c>
      <c r="AF151" s="305">
        <f>-AF150/AF$71</f>
        <v>-5.9254000000000012E-4</v>
      </c>
      <c r="AH151" s="315">
        <v>-1.6E-2</v>
      </c>
      <c r="AJ151" s="315">
        <v>-0.02</v>
      </c>
      <c r="AL151" s="315">
        <v>-1.4E-2</v>
      </c>
    </row>
    <row r="152" spans="1:46" ht="14.25" customHeight="1">
      <c r="B152" s="31"/>
      <c r="D152" s="304"/>
      <c r="E152" s="304"/>
      <c r="F152" s="304"/>
      <c r="G152" s="304"/>
      <c r="H152" s="307"/>
      <c r="J152" s="304"/>
      <c r="K152" s="304"/>
      <c r="L152" s="304"/>
      <c r="M152" s="304"/>
      <c r="N152" s="307"/>
      <c r="P152" s="304"/>
      <c r="Q152" s="304"/>
      <c r="R152" s="304"/>
      <c r="S152" s="304"/>
      <c r="T152" s="307"/>
      <c r="U152" s="205"/>
      <c r="V152" s="304"/>
      <c r="W152" s="304"/>
      <c r="X152" s="304"/>
      <c r="Y152" s="304"/>
      <c r="Z152" s="305"/>
      <c r="AA152" s="305"/>
      <c r="AB152" s="304"/>
      <c r="AC152" s="304"/>
      <c r="AD152" s="304"/>
      <c r="AE152" s="304"/>
      <c r="AF152" s="305"/>
      <c r="AH152" s="501"/>
      <c r="AJ152" s="501"/>
      <c r="AL152" s="501"/>
    </row>
    <row r="153" spans="1:46" ht="14.25" customHeight="1">
      <c r="B153" s="28" t="s">
        <v>543</v>
      </c>
      <c r="D153" s="50">
        <f>CF!P39</f>
        <v>-200</v>
      </c>
      <c r="E153" s="50">
        <f>CF!Q39</f>
        <v>-200</v>
      </c>
      <c r="F153" s="50">
        <f>CF!R39</f>
        <v>-198</v>
      </c>
      <c r="G153" s="50">
        <f>CF!S39</f>
        <v>-195</v>
      </c>
      <c r="H153" s="68">
        <f>CF!T39</f>
        <v>-793</v>
      </c>
      <c r="J153" s="50">
        <f>CF!V39</f>
        <v>-299</v>
      </c>
      <c r="K153" s="50">
        <f>CF!W39</f>
        <v>-299</v>
      </c>
      <c r="L153" s="50">
        <f>CF!X39</f>
        <v>-290</v>
      </c>
      <c r="M153" s="50">
        <f>CF!Y39</f>
        <v>-289</v>
      </c>
      <c r="N153" s="68">
        <f>CF!Z39</f>
        <v>-1177</v>
      </c>
      <c r="P153" s="50">
        <f>CF!AB39</f>
        <v>-318</v>
      </c>
      <c r="Q153" s="50">
        <f>CF!AC39</f>
        <v>-317</v>
      </c>
      <c r="R153" s="50">
        <f>CF!AD39</f>
        <v>-314</v>
      </c>
      <c r="S153" s="50">
        <f>CF!AE39</f>
        <v>-310</v>
      </c>
      <c r="T153" s="68">
        <f>CF!AF39</f>
        <v>-1259</v>
      </c>
      <c r="U153" s="205"/>
      <c r="V153" s="50">
        <f>CF!AH39</f>
        <v>-339</v>
      </c>
      <c r="W153" s="50">
        <f>CF!AI39</f>
        <v>-337</v>
      </c>
      <c r="X153" s="46">
        <f>-X154*X168</f>
        <v>-231.08644508922916</v>
      </c>
      <c r="Y153" s="46">
        <f>-Y154*Y168</f>
        <v>-191.56856314399121</v>
      </c>
      <c r="Z153" s="57">
        <f>SUM(V153:Y153)</f>
        <v>-1098.6550082332203</v>
      </c>
      <c r="AB153" s="46">
        <f>-AB154*AB168</f>
        <v>-399.70731199109446</v>
      </c>
      <c r="AC153" s="46">
        <f>-AC154*AC168</f>
        <v>-290.47491052623508</v>
      </c>
      <c r="AD153" s="46">
        <f>-AD154*AD168</f>
        <v>-305.05523850831315</v>
      </c>
      <c r="AE153" s="46">
        <f>-AE154*AE168</f>
        <v>-354.50575095285205</v>
      </c>
      <c r="AF153" s="57">
        <f>SUM(AB153:AE153)</f>
        <v>-1349.7432119784949</v>
      </c>
      <c r="AH153" s="57">
        <f>-AH154*AH168</f>
        <v>-1030.7347013326146</v>
      </c>
      <c r="AJ153" s="57">
        <f>-AJ154*AJ168</f>
        <v>-1033.1773886906954</v>
      </c>
      <c r="AL153" s="57">
        <f>-AL154*AL168</f>
        <v>-1252.3370963892444</v>
      </c>
      <c r="AN153" s="97" t="s">
        <v>544</v>
      </c>
      <c r="AO153" s="783" t="s">
        <v>545</v>
      </c>
      <c r="AP153" s="783"/>
      <c r="AQ153" s="783"/>
      <c r="AR153" s="783"/>
      <c r="AS153" s="783"/>
      <c r="AT153" s="783"/>
    </row>
    <row r="154" spans="1:46" ht="14.25" customHeight="1">
      <c r="B154" s="31" t="s">
        <v>546</v>
      </c>
      <c r="D154" s="304">
        <f>-D153/D168</f>
        <v>0.17514596436856666</v>
      </c>
      <c r="E154" s="304">
        <f>-E153/E168</f>
        <v>0.1365800006678774</v>
      </c>
      <c r="F154" s="304">
        <f>-F153/F168</f>
        <v>0.16814799910524297</v>
      </c>
      <c r="G154" s="304">
        <f>-G153/G168</f>
        <v>0.11217810750327324</v>
      </c>
      <c r="H154" s="307">
        <f>-H153/H168</f>
        <v>0.14893722020701999</v>
      </c>
      <c r="J154" s="304">
        <f>-J153/J168</f>
        <v>0.32048049284991537</v>
      </c>
      <c r="K154" s="304">
        <f>-K153/K168</f>
        <v>0.3212175712759805</v>
      </c>
      <c r="L154" s="304">
        <f>-L153/L168</f>
        <v>0.32950457714158132</v>
      </c>
      <c r="M154" s="304">
        <f>-M153/M168</f>
        <v>0.22720187307802356</v>
      </c>
      <c r="N154" s="307">
        <f>-N153/N168</f>
        <v>0.29523506314337261</v>
      </c>
      <c r="P154" s="304">
        <f>-P153/P168</f>
        <v>0.26367558239861955</v>
      </c>
      <c r="Q154" s="304">
        <f>-Q153/Q168</f>
        <v>0.29751673971056503</v>
      </c>
      <c r="R154" s="304">
        <f>-R153/R168</f>
        <v>0.31067953758671779</v>
      </c>
      <c r="S154" s="304">
        <f>-S153/S168</f>
        <v>0.22754164923273665</v>
      </c>
      <c r="T154" s="307">
        <f>-T153/T168</f>
        <v>0.27105325628913884</v>
      </c>
      <c r="U154" s="205"/>
      <c r="V154" s="304">
        <f>-V153/V168</f>
        <v>0.37249428325364531</v>
      </c>
      <c r="W154" s="304">
        <f>-W153/W168</f>
        <v>0.3228650804122502</v>
      </c>
      <c r="X154" s="685">
        <v>0.45</v>
      </c>
      <c r="Y154" s="685">
        <v>0.38</v>
      </c>
      <c r="Z154" s="305">
        <f>-Z153/Z168</f>
        <v>0.36972904144862107</v>
      </c>
      <c r="AB154" s="685">
        <v>0.67</v>
      </c>
      <c r="AC154" s="685">
        <v>0.61</v>
      </c>
      <c r="AD154" s="685">
        <v>0.62</v>
      </c>
      <c r="AE154" s="685">
        <v>0.72</v>
      </c>
      <c r="AF154" s="305">
        <f>-AF153/AF168</f>
        <v>0.65611966263047761</v>
      </c>
      <c r="AH154" s="315">
        <v>0.42</v>
      </c>
      <c r="AJ154" s="315">
        <v>0.32</v>
      </c>
      <c r="AL154" s="315">
        <v>0.31</v>
      </c>
    </row>
    <row r="155" spans="1:46" ht="14.25" customHeight="1">
      <c r="B155" s="31"/>
      <c r="D155" s="304"/>
      <c r="E155" s="304"/>
      <c r="F155" s="304"/>
      <c r="G155" s="304"/>
      <c r="H155" s="307"/>
      <c r="J155" s="304"/>
      <c r="K155" s="304"/>
      <c r="L155" s="304"/>
      <c r="M155" s="304"/>
      <c r="N155" s="307"/>
      <c r="P155" s="304"/>
      <c r="Q155" s="304"/>
      <c r="R155" s="304"/>
      <c r="S155" s="304"/>
      <c r="T155" s="307"/>
      <c r="U155" s="205"/>
      <c r="V155" s="304"/>
      <c r="W155" s="304"/>
      <c r="X155" s="304"/>
      <c r="Y155" s="304"/>
      <c r="Z155" s="305"/>
      <c r="AA155" s="305"/>
      <c r="AB155" s="304"/>
      <c r="AC155" s="304"/>
      <c r="AD155" s="304"/>
      <c r="AE155" s="304"/>
      <c r="AF155" s="305"/>
      <c r="AH155" s="501"/>
      <c r="AJ155" s="501"/>
      <c r="AL155" s="501"/>
      <c r="AP155" s="97" t="s">
        <v>547</v>
      </c>
    </row>
    <row r="156" spans="1:46" ht="14.25" customHeight="1">
      <c r="B156" s="28" t="s">
        <v>548</v>
      </c>
      <c r="D156" s="50">
        <f>CF!P40</f>
        <v>-465</v>
      </c>
      <c r="E156" s="50">
        <f>CF!Q40</f>
        <v>-172</v>
      </c>
      <c r="F156" s="50">
        <f>CF!R40</f>
        <v>-1460</v>
      </c>
      <c r="G156" s="50">
        <f>CF!S40</f>
        <v>33</v>
      </c>
      <c r="H156" s="68">
        <f>CF!T40</f>
        <v>-2064</v>
      </c>
      <c r="J156" s="50">
        <f>CF!V40</f>
        <v>81</v>
      </c>
      <c r="K156" s="50">
        <f>CF!W40</f>
        <v>-1492</v>
      </c>
      <c r="L156" s="50">
        <f>CF!X40</f>
        <v>25</v>
      </c>
      <c r="M156" s="50">
        <f>CF!Y40</f>
        <v>117</v>
      </c>
      <c r="N156" s="68">
        <f>CF!Z40</f>
        <v>-1269</v>
      </c>
      <c r="P156" s="50">
        <f>CF!AB40</f>
        <v>-343</v>
      </c>
      <c r="Q156" s="50">
        <f>CF!AC40</f>
        <v>-446</v>
      </c>
      <c r="R156" s="50">
        <f>CF!AD40</f>
        <v>-946</v>
      </c>
      <c r="S156" s="50">
        <f>CF!AE40</f>
        <v>-274</v>
      </c>
      <c r="T156" s="68">
        <f>CF!AF40</f>
        <v>-2009</v>
      </c>
      <c r="U156" s="205"/>
      <c r="V156" s="50">
        <f>CF!AH40</f>
        <v>-596</v>
      </c>
      <c r="W156" s="50">
        <f>CF!AI40</f>
        <v>-984</v>
      </c>
      <c r="X156" s="504">
        <v>-500</v>
      </c>
      <c r="Y156" s="504">
        <f>-AT165/2*AP159</f>
        <v>-74.153792333901293</v>
      </c>
      <c r="Z156" s="57">
        <f>SUM(V156:Y156)</f>
        <v>-2154.1537923339015</v>
      </c>
      <c r="AB156" s="504">
        <f>-AP159*AQ165</f>
        <v>-139.42566809836131</v>
      </c>
      <c r="AC156" s="504">
        <f>-AP159*AR165</f>
        <v>-449.05349265614348</v>
      </c>
      <c r="AD156" s="504">
        <f>-AP159*AS165</f>
        <v>-363.21325457769262</v>
      </c>
      <c r="AE156" s="504">
        <f>-AP159*(AT165/2)</f>
        <v>-74.153792333901293</v>
      </c>
      <c r="AF156" s="57">
        <f>SUM(AB156:AE156)</f>
        <v>-1025.8462076660987</v>
      </c>
      <c r="AH156" s="504">
        <f>-AH158*AH71</f>
        <v>-1789.438998197377</v>
      </c>
      <c r="AJ156" s="504">
        <f>-AJ158*AJ71</f>
        <v>-1788.9074220343814</v>
      </c>
      <c r="AL156" s="504">
        <f>-AL158*AL71</f>
        <v>-1857.2010750415695</v>
      </c>
      <c r="AO156" s="662" t="s">
        <v>549</v>
      </c>
      <c r="AP156" s="663">
        <f>SUM(X156:Y156,AB156:AE156)</f>
        <v>-1599.9999999999998</v>
      </c>
    </row>
    <row r="157" spans="1:46" ht="14.25" customHeight="1">
      <c r="D157" s="55">
        <f>D156/$H$156</f>
        <v>0.22529069767441862</v>
      </c>
      <c r="E157" s="55">
        <f>E156/$H$156</f>
        <v>8.3333333333333329E-2</v>
      </c>
      <c r="F157" s="55">
        <f>F156/$H$156</f>
        <v>0.70736434108527135</v>
      </c>
      <c r="G157" s="55">
        <f>-G156/$H$156</f>
        <v>1.5988372093023256E-2</v>
      </c>
      <c r="H157" s="55"/>
      <c r="I157" s="411"/>
      <c r="J157" s="55">
        <f>-J156/$N$156</f>
        <v>6.3829787234042548E-2</v>
      </c>
      <c r="K157" s="55">
        <f>K156/$N$156</f>
        <v>1.1757289204097714</v>
      </c>
      <c r="L157" s="55">
        <f>-L156/$N$156</f>
        <v>1.9700551615445233E-2</v>
      </c>
      <c r="M157" s="55">
        <f>-M156/$N$156</f>
        <v>9.2198581560283682E-2</v>
      </c>
      <c r="N157" s="55"/>
      <c r="O157" s="411"/>
      <c r="P157" s="55">
        <f>P156/$T$156</f>
        <v>0.17073170731707318</v>
      </c>
      <c r="Q157" s="55">
        <f>Q156/$T$156</f>
        <v>0.22200099552015928</v>
      </c>
      <c r="R157" s="55">
        <f>R156/$T$156</f>
        <v>0.47088103534096565</v>
      </c>
      <c r="S157" s="55">
        <f>S156/$T$156</f>
        <v>0.13638626182180189</v>
      </c>
      <c r="T157" s="55"/>
      <c r="U157" s="205"/>
      <c r="AO157" s="97" t="s">
        <v>550</v>
      </c>
      <c r="AP157" s="97">
        <v>-500</v>
      </c>
      <c r="AQ157" s="97" t="s">
        <v>551</v>
      </c>
      <c r="AS157" s="311"/>
    </row>
    <row r="158" spans="1:46" ht="14.25" customHeight="1">
      <c r="B158" s="97" t="s">
        <v>552</v>
      </c>
      <c r="D158" s="294">
        <f>-D156/D71</f>
        <v>2.1133481797936646E-2</v>
      </c>
      <c r="E158" s="294">
        <f t="shared" ref="E158:AF158" si="64">-E156/E71</f>
        <v>7.3272556871432221E-3</v>
      </c>
      <c r="F158" s="294">
        <f t="shared" si="64"/>
        <v>6.1757116873228712E-2</v>
      </c>
      <c r="G158" s="294">
        <f t="shared" si="64"/>
        <v>-1.3527916700828073E-3</v>
      </c>
      <c r="H158" s="294">
        <f t="shared" si="64"/>
        <v>2.2072033535802893E-2</v>
      </c>
      <c r="I158" s="294"/>
      <c r="J158" s="294">
        <f t="shared" si="64"/>
        <v>-3.485070131658205E-3</v>
      </c>
      <c r="K158" s="294">
        <f t="shared" si="64"/>
        <v>6.5398439554659418E-2</v>
      </c>
      <c r="L158" s="294">
        <f t="shared" si="64"/>
        <v>-1.127700843520231E-3</v>
      </c>
      <c r="M158" s="294">
        <f t="shared" si="64"/>
        <v>-5.33515731874145E-3</v>
      </c>
      <c r="N158" s="294">
        <f t="shared" si="64"/>
        <v>1.4075758416061228E-2</v>
      </c>
      <c r="O158" s="294"/>
      <c r="P158" s="294">
        <f t="shared" si="64"/>
        <v>1.5820303491536368E-2</v>
      </c>
      <c r="Q158" s="294">
        <f t="shared" si="64"/>
        <v>2.0121813670200769E-2</v>
      </c>
      <c r="R158" s="294">
        <f t="shared" si="64"/>
        <v>4.3518262949673384E-2</v>
      </c>
      <c r="S158" s="294">
        <f t="shared" si="64"/>
        <v>1.2393143063910624E-2</v>
      </c>
      <c r="T158" s="294">
        <f t="shared" si="64"/>
        <v>2.2909468258583924E-2</v>
      </c>
      <c r="U158" s="294"/>
      <c r="V158" s="294">
        <f t="shared" si="64"/>
        <v>2.7619444830622366E-2</v>
      </c>
      <c r="W158" s="294">
        <f t="shared" si="64"/>
        <v>4.4794464423908588E-2</v>
      </c>
      <c r="X158" s="294">
        <f t="shared" si="64"/>
        <v>2.1816386208361311E-2</v>
      </c>
      <c r="Y158" s="294">
        <f t="shared" si="64"/>
        <v>3.1733137073431403E-3</v>
      </c>
      <c r="Z158" s="294">
        <f t="shared" si="64"/>
        <v>2.3979673889341885E-2</v>
      </c>
      <c r="AA158" s="294"/>
      <c r="AB158" s="294">
        <f t="shared" si="64"/>
        <v>6.3026054518754539E-3</v>
      </c>
      <c r="AC158" s="294">
        <f t="shared" si="64"/>
        <v>1.9884772312480703E-2</v>
      </c>
      <c r="AD158" s="294">
        <f t="shared" si="64"/>
        <v>1.5452905064661503E-2</v>
      </c>
      <c r="AE158" s="294">
        <f t="shared" si="64"/>
        <v>3.094201887469083E-3</v>
      </c>
      <c r="AF158" s="294">
        <f t="shared" si="64"/>
        <v>1.1129377807238525E-2</v>
      </c>
      <c r="AG158" s="294"/>
      <c r="AH158" s="684">
        <f>AVERAGE(T158,Z158,AF158,N158,H158)</f>
        <v>1.8833262381405692E-2</v>
      </c>
      <c r="AI158" s="294"/>
      <c r="AJ158" s="684">
        <f>AVERAGE(Z158,AF158,AH158,T158,N158)</f>
        <v>1.8185508150526247E-2</v>
      </c>
      <c r="AK158" s="294"/>
      <c r="AL158" s="684">
        <f>AVERAGE(AF158,AH158,AJ158,Z158,T158)</f>
        <v>1.9007458097419255E-2</v>
      </c>
      <c r="AS158" s="311"/>
    </row>
    <row r="159" spans="1:46" s="41" customFormat="1" ht="15" customHeight="1">
      <c r="A159" s="30" t="s">
        <v>37</v>
      </c>
      <c r="B159" s="161" t="s">
        <v>553</v>
      </c>
      <c r="C159" s="18"/>
      <c r="D159" s="162"/>
      <c r="E159" s="162"/>
      <c r="F159" s="162"/>
      <c r="G159" s="162"/>
      <c r="H159" s="162"/>
      <c r="I159" s="18"/>
      <c r="J159" s="162"/>
      <c r="K159" s="162"/>
      <c r="L159" s="162"/>
      <c r="M159" s="162"/>
      <c r="N159" s="162"/>
      <c r="O159" s="18"/>
      <c r="P159" s="162"/>
      <c r="Q159" s="162"/>
      <c r="R159" s="162"/>
      <c r="S159" s="162"/>
      <c r="T159" s="162"/>
      <c r="U159" s="18"/>
      <c r="V159" s="162"/>
      <c r="W159" s="162"/>
      <c r="X159" s="162"/>
      <c r="Y159" s="162"/>
      <c r="Z159" s="162"/>
      <c r="AA159" s="18"/>
      <c r="AB159" s="162"/>
      <c r="AC159" s="162"/>
      <c r="AD159" s="162"/>
      <c r="AE159" s="162"/>
      <c r="AF159" s="162"/>
      <c r="AG159" s="18"/>
      <c r="AH159" s="162"/>
      <c r="AI159" s="18"/>
      <c r="AJ159" s="163"/>
      <c r="AK159" s="18"/>
      <c r="AL159" s="163"/>
      <c r="AP159" s="41">
        <v>1100</v>
      </c>
      <c r="AQ159" s="41" t="s">
        <v>554</v>
      </c>
      <c r="AR159" s="41" t="s">
        <v>555</v>
      </c>
    </row>
    <row r="160" spans="1:46" s="41" customFormat="1" ht="15" customHeight="1">
      <c r="B160" s="164"/>
      <c r="C160" s="18"/>
      <c r="D160" s="779">
        <f>D$8</f>
        <v>2022</v>
      </c>
      <c r="E160" s="779" t="e">
        <f>F160</f>
        <v>#REF!</v>
      </c>
      <c r="F160" s="779" t="e">
        <f>#REF!</f>
        <v>#REF!</v>
      </c>
      <c r="G160" s="779" t="e">
        <f>F160</f>
        <v>#REF!</v>
      </c>
      <c r="H160" s="779" t="e">
        <f>F160</f>
        <v>#REF!</v>
      </c>
      <c r="I160" s="169"/>
      <c r="J160" s="779">
        <f>E$8</f>
        <v>2023</v>
      </c>
      <c r="K160" s="779" t="e">
        <f>L160</f>
        <v>#REF!</v>
      </c>
      <c r="L160" s="779" t="e">
        <f>#REF!</f>
        <v>#REF!</v>
      </c>
      <c r="M160" s="779" t="e">
        <f>L160</f>
        <v>#REF!</v>
      </c>
      <c r="N160" s="779" t="e">
        <f>L160</f>
        <v>#REF!</v>
      </c>
      <c r="O160" s="169"/>
      <c r="P160" s="779">
        <f>F$8</f>
        <v>2024</v>
      </c>
      <c r="Q160" s="779">
        <f>R160</f>
        <v>0</v>
      </c>
      <c r="R160" s="779">
        <f>R$8</f>
        <v>0</v>
      </c>
      <c r="S160" s="779">
        <f>R160</f>
        <v>0</v>
      </c>
      <c r="T160" s="779">
        <f>R160</f>
        <v>0</v>
      </c>
      <c r="U160" s="169"/>
      <c r="V160" s="777">
        <f>G$8</f>
        <v>2025</v>
      </c>
      <c r="W160" s="777">
        <f>X160</f>
        <v>0</v>
      </c>
      <c r="X160" s="777">
        <f>X$8</f>
        <v>0</v>
      </c>
      <c r="Y160" s="777">
        <f>X160</f>
        <v>0</v>
      </c>
      <c r="Z160" s="777">
        <f>X160</f>
        <v>0</v>
      </c>
      <c r="AA160" s="169"/>
      <c r="AB160" s="777">
        <f>V160+1</f>
        <v>2026</v>
      </c>
      <c r="AC160" s="777">
        <f>AD160</f>
        <v>0</v>
      </c>
      <c r="AD160" s="777">
        <f>AD$8</f>
        <v>0</v>
      </c>
      <c r="AE160" s="777">
        <f>AD160</f>
        <v>0</v>
      </c>
      <c r="AF160" s="777">
        <f>AD160</f>
        <v>0</v>
      </c>
      <c r="AG160" s="171"/>
      <c r="AH160" s="166">
        <f>J$8</f>
        <v>2027</v>
      </c>
      <c r="AI160" s="167"/>
      <c r="AJ160" s="166">
        <f>K$8</f>
        <v>2028</v>
      </c>
      <c r="AK160" s="167"/>
      <c r="AL160" s="166">
        <f>L$8</f>
        <v>2029</v>
      </c>
    </row>
    <row r="161" spans="2:46" s="41" customFormat="1" ht="14.25" customHeight="1">
      <c r="B161" s="164"/>
      <c r="C161" s="18"/>
      <c r="D161" s="168" t="s">
        <v>243</v>
      </c>
      <c r="E161" s="168" t="s">
        <v>244</v>
      </c>
      <c r="F161" s="168" t="s">
        <v>245</v>
      </c>
      <c r="G161" s="168" t="s">
        <v>246</v>
      </c>
      <c r="H161" s="168" t="s">
        <v>247</v>
      </c>
      <c r="I161" s="165"/>
      <c r="J161" s="168" t="s">
        <v>243</v>
      </c>
      <c r="K161" s="168" t="s">
        <v>244</v>
      </c>
      <c r="L161" s="168" t="s">
        <v>245</v>
      </c>
      <c r="M161" s="168" t="s">
        <v>246</v>
      </c>
      <c r="N161" s="168" t="s">
        <v>247</v>
      </c>
      <c r="O161" s="165"/>
      <c r="P161" s="168" t="s">
        <v>243</v>
      </c>
      <c r="Q161" s="168" t="s">
        <v>244</v>
      </c>
      <c r="R161" s="168" t="s">
        <v>245</v>
      </c>
      <c r="S161" s="168" t="s">
        <v>246</v>
      </c>
      <c r="T161" s="168" t="s">
        <v>247</v>
      </c>
      <c r="U161" s="165"/>
      <c r="V161" s="168" t="s">
        <v>243</v>
      </c>
      <c r="W161" s="168" t="s">
        <v>244</v>
      </c>
      <c r="X161" s="168" t="s">
        <v>245</v>
      </c>
      <c r="Y161" s="168" t="s">
        <v>246</v>
      </c>
      <c r="Z161" s="168" t="s">
        <v>247</v>
      </c>
      <c r="AA161" s="165"/>
      <c r="AB161" s="168" t="s">
        <v>243</v>
      </c>
      <c r="AC161" s="168" t="s">
        <v>244</v>
      </c>
      <c r="AD161" s="168" t="s">
        <v>245</v>
      </c>
      <c r="AE161" s="168" t="s">
        <v>246</v>
      </c>
      <c r="AF161" s="168" t="s">
        <v>247</v>
      </c>
      <c r="AG161" s="165"/>
      <c r="AH161" s="168" t="s">
        <v>247</v>
      </c>
      <c r="AI161" s="165"/>
      <c r="AJ161" s="168" t="s">
        <v>247</v>
      </c>
      <c r="AK161" s="165"/>
      <c r="AL161" s="168" t="s">
        <v>247</v>
      </c>
      <c r="AO161" s="41" t="s">
        <v>556</v>
      </c>
      <c r="AQ161" s="41">
        <f>AVERAGE(D157,J157,P157)</f>
        <v>0.15328406407517811</v>
      </c>
      <c r="AR161" s="41">
        <f>AVERAGE(E157,K157,Q157)</f>
        <v>0.49368774975442137</v>
      </c>
      <c r="AS161" s="41">
        <f>AVERAGE(F157,L157,R157)</f>
        <v>0.39931530934722742</v>
      </c>
      <c r="AT161" s="41">
        <f>AVERAGE(G157,M157,S157)*2</f>
        <v>0.16304881031673921</v>
      </c>
    </row>
    <row r="162" spans="2:46" s="41" customFormat="1" ht="4.3499999999999996" customHeight="1">
      <c r="B162" s="176"/>
      <c r="C162" s="35"/>
      <c r="D162" s="177"/>
      <c r="E162" s="177"/>
      <c r="F162" s="177"/>
      <c r="G162" s="177"/>
      <c r="H162" s="177"/>
      <c r="I162" s="178"/>
      <c r="J162" s="177"/>
      <c r="K162" s="177"/>
      <c r="L162" s="177"/>
      <c r="M162" s="177"/>
      <c r="N162" s="177"/>
      <c r="O162" s="178"/>
      <c r="P162" s="177"/>
      <c r="Q162" s="177"/>
      <c r="R162" s="177"/>
      <c r="S162" s="177"/>
      <c r="T162" s="177"/>
      <c r="U162" s="178"/>
      <c r="V162" s="177"/>
      <c r="W162" s="177"/>
      <c r="X162" s="177"/>
      <c r="Y162" s="177"/>
      <c r="Z162" s="179"/>
      <c r="AA162" s="180"/>
      <c r="AB162" s="179"/>
      <c r="AC162" s="179"/>
      <c r="AD162" s="179"/>
      <c r="AE162" s="179"/>
      <c r="AF162" s="179"/>
      <c r="AG162" s="180"/>
      <c r="AH162" s="179"/>
      <c r="AI162" s="180"/>
      <c r="AJ162" s="179"/>
      <c r="AK162" s="180"/>
      <c r="AL162" s="179"/>
    </row>
    <row r="163" spans="2:46" ht="4.3499999999999996" customHeight="1">
      <c r="U163" s="205"/>
    </row>
    <row r="164" spans="2:46" ht="14.25" customHeight="1">
      <c r="B164" s="28" t="s">
        <v>487</v>
      </c>
      <c r="D164" s="299">
        <f>D101</f>
        <v>1494</v>
      </c>
      <c r="E164" s="299">
        <f>E101</f>
        <v>1921.8353999999999</v>
      </c>
      <c r="F164" s="299">
        <f>F101</f>
        <v>1462</v>
      </c>
      <c r="G164" s="299">
        <f>G101</f>
        <v>2234</v>
      </c>
      <c r="H164" s="310">
        <f>H101</f>
        <v>6865</v>
      </c>
      <c r="J164" s="299">
        <f>J101</f>
        <v>1234</v>
      </c>
      <c r="K164" s="299">
        <f>K101</f>
        <v>1246.1772000000001</v>
      </c>
      <c r="L164" s="299">
        <f>L101</f>
        <v>1165</v>
      </c>
      <c r="M164" s="299">
        <f>M101</f>
        <v>1767</v>
      </c>
      <c r="N164" s="310">
        <f>N101</f>
        <v>5373</v>
      </c>
      <c r="P164" s="299">
        <f>P101</f>
        <v>1590</v>
      </c>
      <c r="Q164" s="299">
        <f>Q101</f>
        <v>1421</v>
      </c>
      <c r="R164" s="299">
        <f>R101</f>
        <v>1357</v>
      </c>
      <c r="S164" s="299">
        <f>S101</f>
        <v>1873</v>
      </c>
      <c r="T164" s="310">
        <f>T101</f>
        <v>6241</v>
      </c>
      <c r="U164" s="205"/>
      <c r="V164" s="299">
        <f>V101</f>
        <v>1208</v>
      </c>
      <c r="W164" s="299">
        <f>W101</f>
        <v>1378</v>
      </c>
      <c r="X164" s="299">
        <f>X101</f>
        <v>684.70057804216049</v>
      </c>
      <c r="Y164" s="299">
        <f>Y101</f>
        <v>668.60450629621391</v>
      </c>
      <c r="Z164" s="310">
        <f>Z101</f>
        <v>3939.3050843383744</v>
      </c>
      <c r="AB164" s="299">
        <f>AB101</f>
        <v>790.16963920350781</v>
      </c>
      <c r="AC164" s="299">
        <f>AC101</f>
        <v>632.38828407949632</v>
      </c>
      <c r="AD164" s="299">
        <f>AD101</f>
        <v>656.03277098561966</v>
      </c>
      <c r="AE164" s="299">
        <f>AE101</f>
        <v>660.0121964418604</v>
      </c>
      <c r="AF164" s="310">
        <f>AF101</f>
        <v>2738.6028907104842</v>
      </c>
      <c r="AH164" s="310">
        <f>AH101</f>
        <v>3272.1736550241731</v>
      </c>
      <c r="AJ164" s="310">
        <f>AJ101</f>
        <v>4282.0680897326565</v>
      </c>
      <c r="AL164" s="310">
        <f>AL101</f>
        <v>5329.5476057079086</v>
      </c>
      <c r="AO164" s="97" t="s">
        <v>557</v>
      </c>
      <c r="AP164" s="97">
        <f>AQ161+AR161+AS161+AT161</f>
        <v>1.2093359334935661</v>
      </c>
    </row>
    <row r="165" spans="2:46" ht="14.25" customHeight="1">
      <c r="B165" s="28"/>
      <c r="D165" s="46"/>
      <c r="E165" s="46"/>
      <c r="F165" s="46"/>
      <c r="G165" s="46"/>
      <c r="H165" s="311"/>
      <c r="J165" s="46"/>
      <c r="K165" s="46"/>
      <c r="L165" s="46"/>
      <c r="M165" s="46"/>
      <c r="N165" s="311"/>
      <c r="P165" s="46"/>
      <c r="Q165" s="46"/>
      <c r="R165" s="46"/>
      <c r="S165" s="46"/>
      <c r="T165" s="311"/>
      <c r="U165" s="205"/>
      <c r="V165" s="46"/>
      <c r="W165" s="46"/>
      <c r="X165" s="46"/>
      <c r="Y165" s="46"/>
      <c r="AB165" s="46"/>
      <c r="AC165" s="46"/>
      <c r="AD165" s="46"/>
      <c r="AE165" s="46"/>
      <c r="AQ165" s="294">
        <f>AQ161/$AP$164</f>
        <v>0.12675060736214666</v>
      </c>
      <c r="AR165" s="294">
        <f>AR161/$AP$164</f>
        <v>0.40823044786922136</v>
      </c>
      <c r="AS165" s="664">
        <f>AS161/$AP$164</f>
        <v>0.33019386779790239</v>
      </c>
      <c r="AT165" s="294">
        <f>AT161/$AP$164</f>
        <v>0.13482507697072962</v>
      </c>
    </row>
    <row r="166" spans="2:46" ht="14.25" hidden="1" customHeight="1">
      <c r="B166" s="28" t="s">
        <v>437</v>
      </c>
      <c r="D166" s="308">
        <f>IS!P45/IS!P42</f>
        <v>0.23567289117836446</v>
      </c>
      <c r="E166" s="308">
        <f>IS!Q45/IS!Q42</f>
        <v>0.2380496087774808</v>
      </c>
      <c r="F166" s="308">
        <f>IS!R45/IS!R42</f>
        <v>0.19457313037723362</v>
      </c>
      <c r="G166" s="308">
        <f>IS!S45/IS!S42</f>
        <v>0.22188581314878894</v>
      </c>
      <c r="H166" s="309">
        <f>IS!T45/IS!T42</f>
        <v>0.22441499859035804</v>
      </c>
      <c r="J166" s="308">
        <f>IS!V45/IS!V42</f>
        <v>0.24394319131161235</v>
      </c>
      <c r="K166" s="308">
        <f>IS!W45/IS!W42</f>
        <v>0.25304903428797532</v>
      </c>
      <c r="L166" s="308">
        <f>IS!X45/IS!X42</f>
        <v>0.24454148471615719</v>
      </c>
      <c r="M166" s="308">
        <f>IS!Y45/IS!Y42</f>
        <v>0.28013777267508611</v>
      </c>
      <c r="N166" s="309">
        <f>IS!Z45/IS!Z42</f>
        <v>0.25802087359876302</v>
      </c>
      <c r="P166" s="308">
        <f>IS!AB45/IS!AB42</f>
        <v>0.24149214659685864</v>
      </c>
      <c r="Q166" s="308">
        <f>IS!AC45/IS!AC42</f>
        <v>0.25018559762435039</v>
      </c>
      <c r="R166" s="308">
        <f>IS!AD45/IS!AD42</f>
        <v>0.25520431765612955</v>
      </c>
      <c r="S166" s="308">
        <f>IS!AE45/IS!AE42</f>
        <v>0.27261722080136402</v>
      </c>
      <c r="T166" s="309">
        <f>IS!AF45/IS!AF42</f>
        <v>0.25575329855783985</v>
      </c>
      <c r="U166" s="205"/>
      <c r="V166" s="308">
        <f>IS!AH45/IS!AH42</f>
        <v>0.24662162162162163</v>
      </c>
      <c r="W166" s="308">
        <f>IS!AI45/IS!AI42</f>
        <v>0.24254016832440703</v>
      </c>
      <c r="X166" s="315">
        <v>0.25</v>
      </c>
      <c r="Y166" s="315">
        <v>0.246</v>
      </c>
      <c r="Z166" s="317">
        <f>AVERAGE(V166:Y166)</f>
        <v>0.24629044748650716</v>
      </c>
      <c r="AB166" s="315">
        <v>0.245</v>
      </c>
      <c r="AC166" s="315">
        <v>0.247</v>
      </c>
      <c r="AD166" s="315">
        <v>0.25</v>
      </c>
      <c r="AE166" s="315">
        <v>0.254</v>
      </c>
      <c r="AF166" s="317">
        <f>AVERAGE(AB166:AE166)</f>
        <v>0.249</v>
      </c>
      <c r="AH166" s="315">
        <v>0.25</v>
      </c>
      <c r="AJ166" s="315">
        <v>0.246</v>
      </c>
      <c r="AL166" s="315">
        <v>0.24199999999999999</v>
      </c>
      <c r="AT166" s="97" t="s">
        <v>558</v>
      </c>
    </row>
    <row r="167" spans="2:46" ht="14.25" customHeight="1">
      <c r="B167" s="28"/>
      <c r="D167" s="46"/>
      <c r="E167" s="46"/>
      <c r="F167" s="46"/>
      <c r="G167" s="46"/>
      <c r="H167" s="311"/>
      <c r="J167" s="46"/>
      <c r="K167" s="46"/>
      <c r="L167" s="46"/>
      <c r="M167" s="46"/>
      <c r="N167" s="311"/>
      <c r="P167" s="46"/>
      <c r="Q167" s="46"/>
      <c r="R167" s="46"/>
      <c r="S167" s="46"/>
      <c r="T167" s="311"/>
      <c r="U167" s="205"/>
      <c r="V167" s="46"/>
      <c r="W167" s="46"/>
      <c r="X167" s="46"/>
      <c r="Y167" s="46"/>
      <c r="AB167" s="46"/>
      <c r="AC167" s="46"/>
      <c r="AD167" s="46"/>
      <c r="AE167" s="46"/>
    </row>
    <row r="168" spans="2:46" ht="14.25" customHeight="1">
      <c r="B168" s="28" t="s">
        <v>559</v>
      </c>
      <c r="D168" s="46">
        <f>D164*(1-D166)</f>
        <v>1141.9047005795235</v>
      </c>
      <c r="E168" s="46">
        <f t="shared" ref="E168:H168" si="65">E164*(1-E166)</f>
        <v>1464.3432348952865</v>
      </c>
      <c r="F168" s="46">
        <f t="shared" si="65"/>
        <v>1177.5340833884845</v>
      </c>
      <c r="G168" s="46">
        <f t="shared" si="65"/>
        <v>1738.3070934256054</v>
      </c>
      <c r="H168" s="312">
        <f t="shared" si="65"/>
        <v>5324.3910346771918</v>
      </c>
      <c r="J168" s="46">
        <f>J164*(1-J166)</f>
        <v>932.97410192147038</v>
      </c>
      <c r="K168" s="46">
        <f t="shared" ref="K168:N168" si="66">K164*(1-K166)</f>
        <v>930.83326298830696</v>
      </c>
      <c r="L168" s="46">
        <f t="shared" si="66"/>
        <v>880.1091703056768</v>
      </c>
      <c r="M168" s="46">
        <f t="shared" si="66"/>
        <v>1271.9965556831228</v>
      </c>
      <c r="N168" s="312">
        <f t="shared" si="66"/>
        <v>3986.6538461538462</v>
      </c>
      <c r="P168" s="46">
        <f>P164*(1-P166)</f>
        <v>1206.0274869109946</v>
      </c>
      <c r="Q168" s="46">
        <f t="shared" ref="Q168:T168" si="67">Q164*(1-Q166)</f>
        <v>1065.4862657757981</v>
      </c>
      <c r="R168" s="46">
        <f t="shared" si="67"/>
        <v>1010.6877409406321</v>
      </c>
      <c r="S168" s="46">
        <f t="shared" si="67"/>
        <v>1362.3879454390453</v>
      </c>
      <c r="T168" s="312">
        <f t="shared" si="67"/>
        <v>4644.8436637005216</v>
      </c>
      <c r="U168" s="205"/>
      <c r="V168" s="46">
        <f>V164*(1-V166)</f>
        <v>910.08108108108115</v>
      </c>
      <c r="W168" s="46">
        <f t="shared" ref="W168" si="68">W164*(1-W166)</f>
        <v>1043.7796480489671</v>
      </c>
      <c r="X168" s="46">
        <f>X164*(1-X166)</f>
        <v>513.52543353162037</v>
      </c>
      <c r="Y168" s="46">
        <f>Y164*(1-Y166)</f>
        <v>504.12779774734531</v>
      </c>
      <c r="Z168" s="312">
        <f>SUM(V168:Y168)</f>
        <v>2971.5139604090136</v>
      </c>
      <c r="AB168" s="46">
        <f>AB164*(1-AB166)</f>
        <v>596.57807759864841</v>
      </c>
      <c r="AC168" s="46">
        <f t="shared" ref="AC168:AD168" si="69">AC164*(1-AC166)</f>
        <v>476.18837791186075</v>
      </c>
      <c r="AD168" s="46">
        <f t="shared" si="69"/>
        <v>492.02457823921475</v>
      </c>
      <c r="AE168" s="46">
        <f>AE164*(1-AE166)</f>
        <v>492.36909854562788</v>
      </c>
      <c r="AF168" s="312">
        <f>SUM(AB168:AE168)</f>
        <v>2057.1601322953516</v>
      </c>
      <c r="AH168" s="312">
        <f>AH164*(1-AH166)</f>
        <v>2454.1302412681298</v>
      </c>
      <c r="AJ168" s="312">
        <f>AJ164*(1-AJ166)</f>
        <v>3228.679339658423</v>
      </c>
      <c r="AL168" s="312">
        <f>AL164*(1-AL166)</f>
        <v>4039.7970851265945</v>
      </c>
    </row>
    <row r="169" spans="2:46" ht="14.25" customHeight="1">
      <c r="D169" s="46"/>
      <c r="E169" s="46"/>
      <c r="F169" s="46"/>
      <c r="G169" s="46"/>
      <c r="H169" s="311"/>
      <c r="J169" s="46"/>
      <c r="K169" s="46"/>
      <c r="L169" s="46"/>
      <c r="M169" s="46"/>
      <c r="N169" s="311"/>
      <c r="P169" s="46"/>
      <c r="Q169" s="46"/>
      <c r="R169" s="46"/>
      <c r="S169" s="46"/>
      <c r="T169" s="311"/>
      <c r="U169" s="205"/>
      <c r="V169" s="46"/>
      <c r="W169" s="46"/>
      <c r="X169" s="46"/>
      <c r="Y169" s="46"/>
      <c r="AB169" s="46"/>
      <c r="AC169" s="46"/>
      <c r="AD169" s="46"/>
      <c r="AE169" s="46"/>
    </row>
    <row r="170" spans="2:46" ht="14.25" customHeight="1">
      <c r="B170" s="28" t="s">
        <v>480</v>
      </c>
      <c r="D170" s="299">
        <f>D134</f>
        <v>971</v>
      </c>
      <c r="E170" s="299">
        <f>E134</f>
        <v>995</v>
      </c>
      <c r="F170" s="299">
        <f>F134</f>
        <v>986</v>
      </c>
      <c r="G170" s="299">
        <f>G134</f>
        <v>1018</v>
      </c>
      <c r="H170" s="310">
        <f>H134</f>
        <v>3970</v>
      </c>
      <c r="J170" s="299">
        <f>J134</f>
        <v>1024</v>
      </c>
      <c r="K170" s="299">
        <f>K134</f>
        <v>1046</v>
      </c>
      <c r="L170" s="299">
        <f>L134</f>
        <v>1031</v>
      </c>
      <c r="M170" s="299">
        <f>M134</f>
        <v>1075</v>
      </c>
      <c r="N170" s="310">
        <f>N134</f>
        <v>4176</v>
      </c>
      <c r="P170" s="299">
        <f>P134</f>
        <v>1071</v>
      </c>
      <c r="Q170" s="299">
        <f>Q134</f>
        <v>1040</v>
      </c>
      <c r="R170" s="299">
        <f>R134</f>
        <v>1072</v>
      </c>
      <c r="S170" s="299">
        <f>S134</f>
        <v>1104</v>
      </c>
      <c r="T170" s="310">
        <f>T134</f>
        <v>4287</v>
      </c>
      <c r="U170" s="205"/>
      <c r="V170" s="299">
        <f>V134</f>
        <v>1078</v>
      </c>
      <c r="W170" s="299">
        <f>W134</f>
        <v>1063</v>
      </c>
      <c r="X170" s="299">
        <f>X134</f>
        <v>2111.3628679111976</v>
      </c>
      <c r="Y170" s="299">
        <f>Y134</f>
        <v>2135.5478406579732</v>
      </c>
      <c r="Z170" s="310">
        <f>Z134</f>
        <v>6387.9107085691703</v>
      </c>
      <c r="AB170" s="299">
        <f>AB134</f>
        <v>2041.4347905612826</v>
      </c>
      <c r="AC170" s="299">
        <f>AC134</f>
        <v>2122.711208292561</v>
      </c>
      <c r="AD170" s="299">
        <f>AD134</f>
        <v>2164.5107039754002</v>
      </c>
      <c r="AE170" s="299">
        <f>AE134</f>
        <v>2215.8360525380058</v>
      </c>
      <c r="AF170" s="310">
        <f>AF134</f>
        <v>8544.4927553672496</v>
      </c>
      <c r="AH170" s="310">
        <f>AH134</f>
        <v>8699.6934175377246</v>
      </c>
      <c r="AJ170" s="310">
        <f>AJ134</f>
        <v>8899.5044332034377</v>
      </c>
      <c r="AL170" s="310">
        <f>AL134</f>
        <v>8838.2677066189462</v>
      </c>
    </row>
    <row r="171" spans="2:46" ht="14.25" customHeight="1">
      <c r="D171" s="46"/>
      <c r="E171" s="46"/>
      <c r="F171" s="46"/>
      <c r="G171" s="46"/>
      <c r="H171" s="311"/>
      <c r="J171" s="46"/>
      <c r="K171" s="46"/>
      <c r="L171" s="46"/>
      <c r="M171" s="46"/>
      <c r="N171" s="311"/>
      <c r="P171" s="46"/>
      <c r="Q171" s="46"/>
      <c r="R171" s="46"/>
      <c r="S171" s="46"/>
      <c r="T171" s="311"/>
      <c r="U171" s="205"/>
      <c r="V171" s="46"/>
      <c r="W171" s="46"/>
      <c r="X171" s="46"/>
      <c r="Y171" s="46"/>
      <c r="AB171" s="46"/>
      <c r="AC171" s="46"/>
      <c r="AD171" s="46"/>
      <c r="AE171" s="46"/>
    </row>
    <row r="172" spans="2:46" ht="14.25" customHeight="1">
      <c r="B172" s="28" t="s">
        <v>560</v>
      </c>
      <c r="D172" s="299">
        <f>D137</f>
        <v>69</v>
      </c>
      <c r="E172" s="299">
        <f>E137</f>
        <v>43</v>
      </c>
      <c r="F172" s="299">
        <f>F137</f>
        <v>39</v>
      </c>
      <c r="G172" s="299">
        <f>G137</f>
        <v>39</v>
      </c>
      <c r="H172" s="310">
        <f>H137</f>
        <v>190</v>
      </c>
      <c r="J172" s="299">
        <f>J137</f>
        <v>68</v>
      </c>
      <c r="K172" s="299">
        <f>K137</f>
        <v>40</v>
      </c>
      <c r="L172" s="299">
        <f>L137</f>
        <v>34</v>
      </c>
      <c r="M172" s="299">
        <f>M137</f>
        <v>40</v>
      </c>
      <c r="N172" s="310">
        <f>N137</f>
        <v>182</v>
      </c>
      <c r="P172" s="299">
        <f>P137</f>
        <v>56</v>
      </c>
      <c r="Q172" s="299">
        <f>Q137</f>
        <v>40</v>
      </c>
      <c r="R172" s="299">
        <f>R137</f>
        <v>34</v>
      </c>
      <c r="S172" s="299">
        <f>S137</f>
        <v>33</v>
      </c>
      <c r="T172" s="310">
        <f>T137</f>
        <v>163</v>
      </c>
      <c r="U172" s="205"/>
      <c r="V172" s="299">
        <f>V137</f>
        <v>48</v>
      </c>
      <c r="W172" s="299">
        <f>W137</f>
        <v>36</v>
      </c>
      <c r="X172" s="299">
        <f>X137</f>
        <v>45.837105671366494</v>
      </c>
      <c r="Y172" s="299">
        <f>Y137</f>
        <v>23.367936224618216</v>
      </c>
      <c r="Z172" s="310">
        <f>Z137</f>
        <v>153.20504189598469</v>
      </c>
      <c r="AB172" s="299">
        <f>AB137</f>
        <v>66.365728822612255</v>
      </c>
      <c r="AC172" s="299">
        <f>AC137</f>
        <v>45.165565448722234</v>
      </c>
      <c r="AD172" s="299">
        <f>AD137</f>
        <v>47.009057916017021</v>
      </c>
      <c r="AE172" s="299">
        <f>AE137</f>
        <v>23.965402074832209</v>
      </c>
      <c r="AF172" s="310">
        <f>AF137</f>
        <v>182.50575426218373</v>
      </c>
      <c r="AH172" s="310">
        <f>AH137</f>
        <v>190.02963607241111</v>
      </c>
      <c r="AJ172" s="310">
        <f>AJ137</f>
        <v>196.73988840203123</v>
      </c>
      <c r="AL172" s="310">
        <f>AL137</f>
        <v>195.41814223899109</v>
      </c>
    </row>
    <row r="173" spans="2:46" ht="14.25" customHeight="1">
      <c r="D173" s="46"/>
      <c r="E173" s="46"/>
      <c r="F173" s="46"/>
      <c r="G173" s="46"/>
      <c r="H173" s="311"/>
      <c r="J173" s="46"/>
      <c r="K173" s="46"/>
      <c r="L173" s="46"/>
      <c r="M173" s="46"/>
      <c r="N173" s="311"/>
      <c r="P173" s="46"/>
      <c r="Q173" s="46"/>
      <c r="R173" s="46"/>
      <c r="S173" s="46"/>
      <c r="T173" s="311"/>
      <c r="U173" s="205"/>
      <c r="V173" s="46"/>
      <c r="W173" s="46"/>
      <c r="X173" s="46"/>
      <c r="Y173" s="46"/>
      <c r="AB173" s="46"/>
      <c r="AC173" s="46"/>
      <c r="AD173" s="46"/>
      <c r="AE173" s="46"/>
    </row>
    <row r="174" spans="2:46" ht="14.25" customHeight="1">
      <c r="B174" s="28" t="s">
        <v>538</v>
      </c>
      <c r="D174" s="299">
        <f>D144</f>
        <v>-1061</v>
      </c>
      <c r="E174" s="299">
        <f>E144</f>
        <v>-1276</v>
      </c>
      <c r="F174" s="299">
        <f>F144</f>
        <v>-856</v>
      </c>
      <c r="G174" s="299">
        <f>G144</f>
        <v>864</v>
      </c>
      <c r="H174" s="310">
        <f>H144</f>
        <v>-2329</v>
      </c>
      <c r="J174" s="299">
        <f>J144</f>
        <v>-1214</v>
      </c>
      <c r="K174" s="299">
        <f>K144</f>
        <v>-1292</v>
      </c>
      <c r="L174" s="299">
        <f>L144</f>
        <v>-721</v>
      </c>
      <c r="M174" s="299">
        <f>M144</f>
        <v>770</v>
      </c>
      <c r="N174" s="310">
        <f>N144</f>
        <v>-2501</v>
      </c>
      <c r="P174" s="299">
        <f>P144</f>
        <v>-727</v>
      </c>
      <c r="Q174" s="299">
        <f>Q144</f>
        <v>-1045</v>
      </c>
      <c r="R174" s="299">
        <f>R144</f>
        <v>-1168</v>
      </c>
      <c r="S174" s="299">
        <f>S144</f>
        <v>74</v>
      </c>
      <c r="T174" s="310">
        <f>T144</f>
        <v>-2866</v>
      </c>
      <c r="U174" s="205"/>
      <c r="V174" s="299">
        <f>V144</f>
        <v>-1410</v>
      </c>
      <c r="W174" s="299">
        <f>W144</f>
        <v>-1644</v>
      </c>
      <c r="X174" s="299">
        <f>X144</f>
        <v>-151.28758214236768</v>
      </c>
      <c r="Y174" s="299">
        <f>Y144</f>
        <v>360.0909095535917</v>
      </c>
      <c r="Z174" s="310">
        <f>Z144</f>
        <v>-2845.196672588776</v>
      </c>
      <c r="AB174" s="299">
        <f>AB144</f>
        <v>168.03192428086368</v>
      </c>
      <c r="AC174" s="299">
        <f>AC144</f>
        <v>-97.892121741570008</v>
      </c>
      <c r="AD174" s="299">
        <f>AD144</f>
        <v>-475.31046815723676</v>
      </c>
      <c r="AE174" s="299">
        <f>AE144</f>
        <v>752.75608448510502</v>
      </c>
      <c r="AF174" s="310">
        <f>AF144</f>
        <v>347.58541886716193</v>
      </c>
      <c r="AH174" s="310">
        <f>AH144</f>
        <v>-345.35936085170215</v>
      </c>
      <c r="AJ174" s="310">
        <f>AJ144</f>
        <v>-273.62968744535101</v>
      </c>
      <c r="AL174" s="310">
        <f>AL144</f>
        <v>401.0772350149764</v>
      </c>
    </row>
    <row r="175" spans="2:46" ht="14.25" customHeight="1">
      <c r="D175" s="46"/>
      <c r="E175" s="46"/>
      <c r="F175" s="46"/>
      <c r="G175" s="46"/>
      <c r="H175" s="311"/>
      <c r="J175" s="46"/>
      <c r="K175" s="46"/>
      <c r="L175" s="46"/>
      <c r="M175" s="46"/>
      <c r="N175" s="311"/>
      <c r="P175" s="46"/>
      <c r="Q175" s="46"/>
      <c r="R175" s="46"/>
      <c r="S175" s="46"/>
      <c r="T175" s="311"/>
      <c r="U175" s="205"/>
      <c r="V175" s="46"/>
      <c r="W175" s="46"/>
      <c r="X175" s="46"/>
      <c r="Y175" s="46"/>
      <c r="AB175" s="46"/>
      <c r="AC175" s="46"/>
      <c r="AD175" s="46"/>
      <c r="AE175" s="46"/>
    </row>
    <row r="176" spans="2:46" ht="14.25" customHeight="1">
      <c r="B176" s="28" t="s">
        <v>561</v>
      </c>
      <c r="D176" s="46">
        <f>D147+D150</f>
        <v>-1550</v>
      </c>
      <c r="E176" s="46">
        <f>E147+E150</f>
        <v>-1562</v>
      </c>
      <c r="F176" s="46">
        <f>F147+F150</f>
        <v>-1196</v>
      </c>
      <c r="G176" s="46">
        <f>G147+G150</f>
        <v>-2361</v>
      </c>
      <c r="H176" s="66">
        <f>H147+H150</f>
        <v>-6669</v>
      </c>
      <c r="J176" s="46">
        <f>J147+J150</f>
        <v>-1274</v>
      </c>
      <c r="K176" s="46">
        <f>K147+K150</f>
        <v>-1848</v>
      </c>
      <c r="L176" s="46">
        <f>L147+L150</f>
        <v>-1226</v>
      </c>
      <c r="M176" s="46">
        <f>M147+M150</f>
        <v>-1742</v>
      </c>
      <c r="N176" s="66">
        <f>N147+N150</f>
        <v>-6090</v>
      </c>
      <c r="P176" s="46">
        <f>P147+P150</f>
        <v>-1278</v>
      </c>
      <c r="Q176" s="46">
        <f>Q147+Q150</f>
        <v>-1255</v>
      </c>
      <c r="R176" s="46">
        <f>R147+R150</f>
        <v>-1347</v>
      </c>
      <c r="S176" s="46">
        <f>S147+S150</f>
        <v>-1182</v>
      </c>
      <c r="T176" s="66">
        <f>T147+T150</f>
        <v>-5062</v>
      </c>
      <c r="U176" s="205"/>
      <c r="V176" s="46">
        <f>V147+V150</f>
        <v>-754</v>
      </c>
      <c r="W176" s="46">
        <f>W147+W150</f>
        <v>-797</v>
      </c>
      <c r="X176" s="46">
        <f>X147+X150</f>
        <v>-962.83132317988884</v>
      </c>
      <c r="Y176" s="46">
        <f>Y147+Y150</f>
        <v>-1287.666757721362</v>
      </c>
      <c r="Z176" s="66">
        <f>Z147+Z150</f>
        <v>-3801.4980809012513</v>
      </c>
      <c r="AB176" s="46">
        <f>AB147+AB150</f>
        <v>-874.25786768987882</v>
      </c>
      <c r="AC176" s="46">
        <f>AC147+AC150</f>
        <v>-777.75103702699687</v>
      </c>
      <c r="AD176" s="46">
        <f>AD147+AD150</f>
        <v>-944.41197353278187</v>
      </c>
      <c r="AE176" s="46">
        <f>AE147+AE150</f>
        <v>-994.46832449723729</v>
      </c>
      <c r="AF176" s="66">
        <f>AF147+AF150</f>
        <v>-3590.8892027468946</v>
      </c>
      <c r="AH176" s="66">
        <f>AH147+AH150</f>
        <v>-3739.7832379050506</v>
      </c>
      <c r="AJ176" s="66">
        <f>AJ147+AJ150</f>
        <v>-4338.1145392647877</v>
      </c>
      <c r="AL176" s="66">
        <f>AL147+AL150</f>
        <v>-4817.0572061911307</v>
      </c>
    </row>
    <row r="177" spans="1:38" ht="14.25" customHeight="1">
      <c r="D177" s="313"/>
      <c r="E177" s="313"/>
      <c r="F177" s="313"/>
      <c r="G177" s="313"/>
      <c r="H177" s="311"/>
      <c r="J177" s="313"/>
      <c r="K177" s="313"/>
      <c r="L177" s="313"/>
      <c r="M177" s="313"/>
      <c r="N177" s="311"/>
      <c r="P177" s="313"/>
      <c r="Q177" s="313"/>
      <c r="R177" s="313"/>
      <c r="S177" s="313"/>
      <c r="T177" s="311"/>
      <c r="U177" s="338"/>
      <c r="V177" s="313"/>
      <c r="W177" s="313"/>
      <c r="X177" s="290"/>
      <c r="Y177" s="290"/>
      <c r="AB177" s="290"/>
      <c r="AC177" s="290"/>
      <c r="AD177" s="290"/>
      <c r="AE177" s="290"/>
    </row>
    <row r="178" spans="1:38" ht="14.25" customHeight="1">
      <c r="B178" s="292" t="s">
        <v>562</v>
      </c>
      <c r="C178" s="293"/>
      <c r="D178" s="314">
        <f>D168+D134+D137+D144+D176</f>
        <v>-429.09529942047629</v>
      </c>
      <c r="E178" s="314">
        <f>E168+E134+E137+E144+E176</f>
        <v>-335.65676510471349</v>
      </c>
      <c r="F178" s="314">
        <f>F168+F134+F137+F144+F176</f>
        <v>150.53408338848476</v>
      </c>
      <c r="G178" s="314">
        <f>G168+G134+G137+G144+G176</f>
        <v>1298.3070934256057</v>
      </c>
      <c r="H178" s="314">
        <f>H168+H134+H137+H144+H176</f>
        <v>486.39103467719178</v>
      </c>
      <c r="I178" s="293"/>
      <c r="J178" s="314">
        <f>J168+J134+J137+J144+J176</f>
        <v>-463.02589807852974</v>
      </c>
      <c r="K178" s="314">
        <f>K168+K134+K137+K144+K176</f>
        <v>-1123.1667370116929</v>
      </c>
      <c r="L178" s="314">
        <f>L168+L134+L137+L144+L176</f>
        <v>-1.8908296943232017</v>
      </c>
      <c r="M178" s="314">
        <f>M168+M134+M137+M144+M176</f>
        <v>1414.996555683123</v>
      </c>
      <c r="N178" s="314">
        <f>N168+N134+N137+N144+N176</f>
        <v>-246.34615384615427</v>
      </c>
      <c r="O178" s="293"/>
      <c r="P178" s="314">
        <f>P168+P134+P137+P144+P176</f>
        <v>328.02748691099441</v>
      </c>
      <c r="Q178" s="314">
        <f>Q168+Q134+Q137+Q144+Q176</f>
        <v>-154.51373422420193</v>
      </c>
      <c r="R178" s="314">
        <f>R168+R134+R137+R144+R176</f>
        <v>-398.31225905936799</v>
      </c>
      <c r="S178" s="314">
        <f>S168+S134+S137+S144+S176</f>
        <v>1391.3879454390453</v>
      </c>
      <c r="T178" s="314">
        <f>T168+T134+T137+T144+T176</f>
        <v>1166.8436637005216</v>
      </c>
      <c r="U178" s="293"/>
      <c r="V178" s="314">
        <f>V168+V134+V137+V144+V176</f>
        <v>-127.91891891891873</v>
      </c>
      <c r="W178" s="314">
        <f>W168+W134+W137+W144+W176</f>
        <v>-298.22035195103308</v>
      </c>
      <c r="X178" s="314">
        <f>X168+X170+X172+X174+X176</f>
        <v>1556.6065017919277</v>
      </c>
      <c r="Y178" s="314">
        <f t="shared" ref="Y178:AH178" si="70">Y168+Y170+Y172+Y174+Y176</f>
        <v>1735.4677264621664</v>
      </c>
      <c r="Z178" s="314">
        <f t="shared" si="70"/>
        <v>2865.93495738414</v>
      </c>
      <c r="AA178" s="314"/>
      <c r="AB178" s="314">
        <f>AB168+AB170+AB172+AB174+AB176</f>
        <v>1998.1526535735279</v>
      </c>
      <c r="AC178" s="314">
        <f t="shared" si="70"/>
        <v>1768.4219928845769</v>
      </c>
      <c r="AD178" s="314">
        <f t="shared" si="70"/>
        <v>1283.8218984406135</v>
      </c>
      <c r="AE178" s="314">
        <f t="shared" si="70"/>
        <v>2490.4583131463332</v>
      </c>
      <c r="AF178" s="314">
        <f t="shared" si="70"/>
        <v>7540.8548580450524</v>
      </c>
      <c r="AG178" s="314"/>
      <c r="AH178" s="314">
        <f t="shared" si="70"/>
        <v>7258.7106961215122</v>
      </c>
      <c r="AI178" s="314"/>
      <c r="AJ178" s="314">
        <f t="shared" ref="AJ178" si="71">AJ168+AJ170+AJ172+AJ174+AJ176</f>
        <v>7713.1794345537537</v>
      </c>
      <c r="AK178" s="314"/>
      <c r="AL178" s="314">
        <f t="shared" ref="AL178" si="72">AL168+AL170+AL172+AL174+AL176</f>
        <v>8657.5029628083757</v>
      </c>
    </row>
    <row r="180" spans="1:38" s="41" customFormat="1" ht="15" customHeight="1">
      <c r="A180" s="30" t="s">
        <v>37</v>
      </c>
      <c r="B180" s="161" t="s">
        <v>563</v>
      </c>
      <c r="C180" s="18"/>
      <c r="D180" s="162"/>
      <c r="E180" s="162"/>
      <c r="F180" s="162"/>
      <c r="G180" s="162"/>
      <c r="H180" s="162"/>
      <c r="I180" s="18"/>
      <c r="J180" s="162"/>
      <c r="K180" s="162"/>
      <c r="L180" s="162"/>
      <c r="M180" s="162"/>
      <c r="N180" s="162"/>
      <c r="O180" s="18"/>
      <c r="P180" s="162"/>
      <c r="Q180" s="162"/>
      <c r="R180" s="162"/>
      <c r="S180" s="162"/>
      <c r="T180" s="162"/>
      <c r="U180" s="18"/>
      <c r="V180" s="162"/>
      <c r="W180" s="162"/>
      <c r="X180" s="162"/>
      <c r="Y180" s="162"/>
      <c r="Z180" s="162"/>
      <c r="AA180" s="18"/>
      <c r="AB180" s="162"/>
      <c r="AC180" s="162"/>
      <c r="AD180" s="162"/>
      <c r="AE180" s="162"/>
      <c r="AF180" s="162"/>
      <c r="AG180" s="18"/>
      <c r="AH180" s="162"/>
      <c r="AI180" s="18"/>
      <c r="AJ180" s="163"/>
      <c r="AK180" s="18"/>
      <c r="AL180" s="163"/>
    </row>
    <row r="181" spans="1:38" s="41" customFormat="1" ht="15" customHeight="1">
      <c r="B181" s="164"/>
      <c r="C181" s="18"/>
      <c r="D181" s="165"/>
      <c r="E181" s="165"/>
      <c r="F181" s="165"/>
      <c r="G181" s="165"/>
      <c r="H181" s="165"/>
      <c r="I181" s="169"/>
      <c r="J181" s="165"/>
      <c r="K181" s="165"/>
      <c r="L181" s="165"/>
      <c r="M181" s="165"/>
      <c r="N181" s="165"/>
      <c r="O181" s="169"/>
      <c r="P181" s="165"/>
      <c r="Q181" s="165"/>
      <c r="R181" s="165"/>
      <c r="S181" s="165"/>
      <c r="T181" s="165"/>
      <c r="U181" s="169"/>
      <c r="V181" s="777">
        <f>G$8</f>
        <v>2025</v>
      </c>
      <c r="W181" s="777">
        <f>X181</f>
        <v>0</v>
      </c>
      <c r="X181" s="777">
        <f>X$8</f>
        <v>0</v>
      </c>
      <c r="Y181" s="777">
        <f>X181</f>
        <v>0</v>
      </c>
      <c r="Z181" s="777">
        <f>X181</f>
        <v>0</v>
      </c>
      <c r="AA181" s="169"/>
      <c r="AB181" s="777">
        <f>AB$8</f>
        <v>2026</v>
      </c>
      <c r="AC181" s="777">
        <f>AD181</f>
        <v>0</v>
      </c>
      <c r="AD181" s="777">
        <f>AD$8</f>
        <v>0</v>
      </c>
      <c r="AE181" s="777">
        <f>AD181</f>
        <v>0</v>
      </c>
      <c r="AF181" s="777">
        <f>AD181</f>
        <v>0</v>
      </c>
      <c r="AG181" s="171"/>
      <c r="AH181" s="166">
        <f>J$8</f>
        <v>2027</v>
      </c>
      <c r="AI181" s="167"/>
      <c r="AJ181" s="166">
        <f>K$8</f>
        <v>2028</v>
      </c>
      <c r="AK181" s="167"/>
      <c r="AL181" s="166">
        <f>L$8</f>
        <v>2029</v>
      </c>
    </row>
    <row r="182" spans="1:38" s="41" customFormat="1" ht="14.25" customHeight="1">
      <c r="B182" s="164"/>
      <c r="C182" s="18"/>
      <c r="D182" s="168"/>
      <c r="E182" s="168"/>
      <c r="F182" s="168"/>
      <c r="G182" s="168"/>
      <c r="H182" s="168"/>
      <c r="I182" s="165"/>
      <c r="J182" s="168"/>
      <c r="K182" s="168"/>
      <c r="L182" s="168"/>
      <c r="M182" s="168"/>
      <c r="N182" s="168"/>
      <c r="O182" s="165"/>
      <c r="P182" s="168"/>
      <c r="Q182" s="168"/>
      <c r="R182" s="168"/>
      <c r="S182" s="168"/>
      <c r="T182" s="168"/>
      <c r="U182" s="165"/>
      <c r="V182" s="168" t="s">
        <v>243</v>
      </c>
      <c r="W182" s="168" t="s">
        <v>244</v>
      </c>
      <c r="X182" s="168" t="s">
        <v>245</v>
      </c>
      <c r="Y182" s="168" t="s">
        <v>246</v>
      </c>
      <c r="Z182" s="168" t="s">
        <v>247</v>
      </c>
      <c r="AA182" s="165"/>
      <c r="AB182" s="168" t="s">
        <v>243</v>
      </c>
      <c r="AC182" s="168" t="s">
        <v>244</v>
      </c>
      <c r="AD182" s="168" t="s">
        <v>245</v>
      </c>
      <c r="AE182" s="168" t="s">
        <v>246</v>
      </c>
      <c r="AF182" s="168" t="s">
        <v>247</v>
      </c>
      <c r="AG182" s="165"/>
      <c r="AH182" s="168" t="s">
        <v>247</v>
      </c>
      <c r="AI182" s="165"/>
      <c r="AJ182" s="168" t="s">
        <v>247</v>
      </c>
      <c r="AK182" s="165"/>
      <c r="AL182" s="168" t="s">
        <v>247</v>
      </c>
    </row>
    <row r="183" spans="1:38" s="41" customFormat="1" ht="4.3499999999999996" customHeight="1">
      <c r="A183" s="43"/>
      <c r="B183" s="176"/>
      <c r="C183" s="35"/>
      <c r="D183" s="177"/>
      <c r="E183" s="177"/>
      <c r="F183" s="177"/>
      <c r="G183" s="177"/>
      <c r="H183" s="177"/>
      <c r="I183" s="178"/>
      <c r="J183" s="177"/>
      <c r="K183" s="177"/>
      <c r="L183" s="177"/>
      <c r="M183" s="177"/>
      <c r="N183" s="177"/>
      <c r="O183" s="178"/>
      <c r="P183" s="177"/>
      <c r="Q183" s="177"/>
      <c r="R183" s="177"/>
      <c r="S183" s="177"/>
      <c r="T183" s="177"/>
      <c r="U183" s="178"/>
      <c r="V183" s="177"/>
      <c r="W183" s="177"/>
      <c r="X183" s="177"/>
      <c r="Y183" s="177"/>
      <c r="Z183" s="179"/>
      <c r="AA183" s="180"/>
      <c r="AB183" s="179"/>
      <c r="AC183" s="179"/>
      <c r="AD183" s="179"/>
      <c r="AE183" s="179"/>
      <c r="AF183" s="179"/>
      <c r="AG183" s="180"/>
      <c r="AH183" s="179"/>
      <c r="AI183" s="180"/>
      <c r="AJ183" s="179"/>
      <c r="AK183" s="180"/>
      <c r="AL183" s="179"/>
    </row>
    <row r="184" spans="1:38" ht="4.3499999999999996" customHeight="1"/>
    <row r="185" spans="1:38" ht="14.25" customHeight="1">
      <c r="B185" s="161" t="s">
        <v>564</v>
      </c>
      <c r="C185" s="186"/>
      <c r="D185" s="286"/>
      <c r="E185" s="286"/>
      <c r="F185" s="286"/>
      <c r="G185" s="286"/>
      <c r="H185" s="286"/>
      <c r="I185" s="186"/>
      <c r="J185" s="286"/>
      <c r="K185" s="286"/>
      <c r="L185" s="286"/>
      <c r="M185" s="286"/>
      <c r="N185" s="286"/>
      <c r="O185" s="186"/>
      <c r="P185" s="286"/>
      <c r="Q185" s="286"/>
      <c r="R185" s="286"/>
      <c r="S185" s="286"/>
      <c r="T185" s="286"/>
      <c r="U185" s="186"/>
      <c r="V185" s="286"/>
      <c r="W185" s="286"/>
      <c r="X185" s="286"/>
      <c r="Y185" s="286"/>
      <c r="Z185" s="286"/>
      <c r="AA185" s="186"/>
      <c r="AB185" s="286"/>
      <c r="AC185" s="286"/>
      <c r="AD185" s="286"/>
      <c r="AE185" s="286"/>
      <c r="AF185" s="286"/>
      <c r="AG185" s="186"/>
      <c r="AH185" s="286"/>
      <c r="AI185" s="186"/>
      <c r="AJ185" s="287"/>
      <c r="AK185" s="286"/>
      <c r="AL185" s="286"/>
    </row>
    <row r="186" spans="1:38" ht="4.3499999999999996" customHeight="1">
      <c r="B186" s="288"/>
      <c r="C186" s="36"/>
      <c r="D186" s="288"/>
      <c r="E186" s="288"/>
      <c r="F186" s="288"/>
      <c r="G186" s="288"/>
      <c r="H186" s="288"/>
      <c r="I186" s="36"/>
      <c r="J186" s="288"/>
      <c r="K186" s="288"/>
      <c r="L186" s="288"/>
      <c r="M186" s="288"/>
      <c r="N186" s="288"/>
      <c r="O186" s="36"/>
      <c r="P186" s="288"/>
      <c r="Q186" s="288"/>
      <c r="R186" s="288"/>
      <c r="S186" s="288"/>
      <c r="T186" s="288"/>
      <c r="U186" s="36"/>
      <c r="V186" s="288"/>
      <c r="W186" s="288"/>
      <c r="X186" s="288"/>
      <c r="Y186" s="288"/>
      <c r="Z186" s="288"/>
      <c r="AA186" s="36"/>
      <c r="AB186" s="288"/>
      <c r="AC186" s="288"/>
      <c r="AD186" s="288"/>
      <c r="AE186" s="288"/>
      <c r="AF186" s="288"/>
      <c r="AG186" s="36"/>
      <c r="AH186" s="288"/>
      <c r="AI186" s="36"/>
      <c r="AJ186" s="289"/>
      <c r="AK186" s="288"/>
      <c r="AL186" s="288"/>
    </row>
    <row r="188" spans="1:38" ht="14.25" customHeight="1">
      <c r="B188" s="97" t="s">
        <v>565</v>
      </c>
      <c r="V188" s="297"/>
      <c r="W188" s="297"/>
      <c r="X188" s="297">
        <f ca="1">YEARFRAC(TODAY(),Inputs!$D$18+92)</f>
        <v>0.10555555555555556</v>
      </c>
      <c r="Y188" s="297">
        <f ca="1">YEARFRAC(TODAY(),Inputs!$D$18+184)</f>
        <v>0.3611111111111111</v>
      </c>
      <c r="Z188" s="297"/>
      <c r="AB188" s="297">
        <f ca="1">YEARFRAC(TODAY(),Inputs!$D$17+365+90)</f>
        <v>0.85</v>
      </c>
      <c r="AC188" s="297">
        <f ca="1">YEARFRAC(TODAY(),Inputs!$D$17+365+90+91)</f>
        <v>1.0972222222222223</v>
      </c>
      <c r="AD188" s="297">
        <f ca="1">YEARFRAC(TODAY(),Inputs!$D$17+365+90+91+92)</f>
        <v>1.3472222222222223</v>
      </c>
      <c r="AE188" s="297">
        <f ca="1">YEARFRAC(TODAY(),Inputs!$D$17+720)</f>
        <v>1.5777777777777777</v>
      </c>
      <c r="AF188" s="297"/>
      <c r="AH188" s="297">
        <f ca="1">YEARFRAC(TODAY(),Inputs!$D$17+730+365)</f>
        <v>2.6027777777777779</v>
      </c>
      <c r="AJ188" s="297">
        <f ca="1">YEARFRAC(TODAY(),Inputs!$D$17+730+731)</f>
        <v>3.6055555555555556</v>
      </c>
      <c r="AL188" s="297">
        <f ca="1">YEARFRAC(TODAY(),Inputs!$D$17+730+731+365)</f>
        <v>4.6055555555555552</v>
      </c>
    </row>
    <row r="189" spans="1:38" ht="14.25" customHeight="1">
      <c r="B189" s="97" t="s">
        <v>566</v>
      </c>
      <c r="X189" s="297">
        <f ca="1">X188/2</f>
        <v>5.2777777777777778E-2</v>
      </c>
      <c r="Y189" s="297">
        <f ca="1">X188+(Y188-X188)/2</f>
        <v>0.23333333333333334</v>
      </c>
      <c r="Z189" s="297"/>
      <c r="AB189" s="297">
        <f ca="1">Y188+(AB188-Y188)/2</f>
        <v>0.60555555555555551</v>
      </c>
      <c r="AC189" s="297">
        <f ca="1">AB188+(AC188-AB188)/2</f>
        <v>0.9736111111111112</v>
      </c>
      <c r="AD189" s="297">
        <f ca="1">AC188+(AD188-AC188)/2</f>
        <v>1.2222222222222223</v>
      </c>
      <c r="AE189" s="297">
        <f ca="1">AD188+(AE188-AD188)/2</f>
        <v>1.4624999999999999</v>
      </c>
      <c r="AF189" s="297"/>
      <c r="AH189" s="297">
        <f ca="1">AE188+(AH188-AE188)/2</f>
        <v>2.0902777777777777</v>
      </c>
      <c r="AJ189" s="297">
        <f ca="1">AH188+(AJ188-AH188)/2</f>
        <v>3.104166666666667</v>
      </c>
      <c r="AL189" s="297">
        <f ca="1">AJ188+(AL188-AJ188)/2</f>
        <v>4.1055555555555552</v>
      </c>
    </row>
    <row r="191" spans="1:38" ht="14.25" customHeight="1">
      <c r="B191" s="97" t="s">
        <v>567</v>
      </c>
      <c r="V191" s="295"/>
      <c r="W191" s="295"/>
      <c r="X191" s="296">
        <f>WACC!$D$39+Sensitivity!U41</f>
        <v>6.2472448230574115E-2</v>
      </c>
      <c r="Y191" s="296">
        <f>WACC!$D$39+Sensitivity!U41</f>
        <v>6.2472448230574115E-2</v>
      </c>
      <c r="Z191" s="296"/>
      <c r="AB191" s="294">
        <f>WACC!$E$39+Sensitivity!U41</f>
        <v>6.3325385367437675E-2</v>
      </c>
      <c r="AC191" s="294">
        <f>WACC!$E$39+Sensitivity!U41</f>
        <v>6.3325385367437675E-2</v>
      </c>
      <c r="AD191" s="294">
        <f>WACC!$E$39+Sensitivity!U41</f>
        <v>6.3325385367437675E-2</v>
      </c>
      <c r="AE191" s="294">
        <f>WACC!$E$39+Sensitivity!U41</f>
        <v>6.3325385367437675E-2</v>
      </c>
      <c r="AF191" s="294"/>
      <c r="AH191" s="294">
        <f>WACC!$F$39+Sensitivity!U41</f>
        <v>5.8373738870424595E-2</v>
      </c>
      <c r="AJ191" s="294">
        <f>WACC!$G$39+Sensitivity!U41</f>
        <v>5.8527004830483204E-2</v>
      </c>
      <c r="AL191" s="294">
        <f>WACC!$H$39+Sensitivity!U41</f>
        <v>6.034349756128618E-2</v>
      </c>
    </row>
    <row r="192" spans="1:38" ht="14.25" customHeight="1">
      <c r="B192" s="97" t="s">
        <v>568</v>
      </c>
      <c r="V192" s="295"/>
      <c r="W192" s="295"/>
      <c r="X192" s="656">
        <f ca="1">(1+X191)^X189</f>
        <v>1.0032033841195298</v>
      </c>
      <c r="Y192" s="656">
        <f ca="1">((1+X191)^X189)*((1+Y191)^Y189)</f>
        <v>1.0174891334719238</v>
      </c>
      <c r="Z192" s="656"/>
      <c r="AB192" s="656">
        <f ca="1">((1+X191)^X189)*((1+Y191)^Y189)*((1+AB191)^AB189)</f>
        <v>1.0560333521677112</v>
      </c>
      <c r="AC192" s="656">
        <f ca="1">((1+X191)^X189)*((1+Y191)^Y189)*((1+AB191)^AB189)*((1+AC191)^AC189)</f>
        <v>1.1210890888427278</v>
      </c>
      <c r="AD192" s="656">
        <f ca="1">((1+X191)^X189)*((1+Y191)^Y189)*((1+AB191)^AB189)*((1+AC191)^AC189)*((1+AD191)^AD189)</f>
        <v>1.2084595724001208</v>
      </c>
      <c r="AE192" s="656">
        <f ca="1">((1+X191)^X189)*((1+Y191)^Y189)*((1+AB191)^AB189)*((1+AC191)^AC189)*((1+AD191)^AD189)*((1+AE191)^AE189)</f>
        <v>1.3219998856367645</v>
      </c>
      <c r="AF192" s="294"/>
      <c r="AH192" s="656">
        <f ca="1">((1+X191)^X189)*((1+Y191)^Y189)*((1+AB191)^AB189)*((1+AC191)^AC189)*((1+AD191)^AD189)*((1+AE191)^AE189)*((1+AH191)^AH189)</f>
        <v>1.4884487555517842</v>
      </c>
      <c r="AI192" s="656"/>
      <c r="AJ192" s="656">
        <f ca="1">((1+X191)^X189)*((1+Y191)^Y189)*((1+AB191)^AB189)*((1+AC191)^AC189)*((1+AD191)^AD189)*((1+AE191)^AE189)*((1+AH191)^AH189)*((1+AJ191)^AJ189)</f>
        <v>1.775876795442896</v>
      </c>
      <c r="AK192" s="656"/>
      <c r="AL192" s="656">
        <f ca="1">((1+X191)^X189)*((1+Y191)^Y189)*((1+AB191)^AB189)*((1+AC191)^AC189)*((1+AD191)^AD189)*((1+AE191)^AE189)*((1+AH191)^AH189)*((1+AJ191)^AJ189)*((1+AL191)^AL189)</f>
        <v>2.2588384412691083</v>
      </c>
    </row>
    <row r="193" spans="2:42" s="105" customFormat="1" ht="14.25" customHeight="1">
      <c r="C193" s="33"/>
      <c r="I193" s="33"/>
      <c r="O193" s="33"/>
      <c r="U193" s="33"/>
      <c r="AA193" s="33"/>
      <c r="AG193" s="33"/>
      <c r="AI193" s="33"/>
    </row>
    <row r="194" spans="2:42" ht="14.25" customHeight="1">
      <c r="B194" s="298" t="s">
        <v>569</v>
      </c>
      <c r="C194" s="293"/>
      <c r="D194" s="291"/>
      <c r="E194" s="291"/>
      <c r="F194" s="291"/>
      <c r="G194" s="291"/>
      <c r="H194" s="291"/>
      <c r="I194" s="293"/>
      <c r="J194" s="291"/>
      <c r="K194" s="291"/>
      <c r="L194" s="291"/>
      <c r="M194" s="291"/>
      <c r="N194" s="291"/>
      <c r="O194" s="293"/>
      <c r="P194" s="291"/>
      <c r="Q194" s="291"/>
      <c r="R194" s="291"/>
      <c r="S194" s="291"/>
      <c r="T194" s="291"/>
      <c r="U194" s="293"/>
      <c r="V194" s="291"/>
      <c r="W194" s="291"/>
      <c r="X194" s="314">
        <f ca="1">X178/X192</f>
        <v>1551.6360156201995</v>
      </c>
      <c r="Y194" s="314">
        <f ca="1">Y178/Y192</f>
        <v>1705.6376027725453</v>
      </c>
      <c r="Z194" s="314"/>
      <c r="AA194" s="314"/>
      <c r="AB194" s="314">
        <f ca="1">AB178/AB192</f>
        <v>1892.130252772733</v>
      </c>
      <c r="AC194" s="314">
        <f ca="1">AC178/AC192</f>
        <v>1577.4143290521849</v>
      </c>
      <c r="AD194" s="314">
        <f ca="1">AD178/AD192</f>
        <v>1062.3623063292184</v>
      </c>
      <c r="AE194" s="314">
        <f ca="1">AE178/AE192</f>
        <v>1883.8566782074722</v>
      </c>
      <c r="AF194" s="314"/>
      <c r="AG194" s="314"/>
      <c r="AH194" s="314">
        <f ca="1">AH178/AH192</f>
        <v>4876.6950619207773</v>
      </c>
      <c r="AI194" s="314"/>
      <c r="AJ194" s="314">
        <f ca="1">AJ178/AJ192</f>
        <v>4343.3077420385571</v>
      </c>
      <c r="AK194" s="314"/>
      <c r="AL194" s="314">
        <f ca="1">AL178/AL192</f>
        <v>3832.7234053729999</v>
      </c>
      <c r="AO194" s="784">
        <f>Inputs!$D$17</f>
        <v>45808</v>
      </c>
      <c r="AP194" s="784"/>
    </row>
    <row r="195" spans="2:42" ht="14.25" customHeight="1">
      <c r="AO195" s="97">
        <v>92</v>
      </c>
    </row>
    <row r="196" spans="2:42" ht="14.25" customHeight="1">
      <c r="B196" s="161" t="s">
        <v>570</v>
      </c>
      <c r="C196" s="186"/>
      <c r="D196" s="286"/>
      <c r="E196" s="286"/>
      <c r="F196" s="286"/>
      <c r="G196" s="286"/>
      <c r="H196" s="286"/>
      <c r="I196" s="186"/>
      <c r="J196" s="286"/>
      <c r="K196" s="286"/>
      <c r="L196" s="286"/>
      <c r="M196" s="286"/>
      <c r="N196" s="286"/>
      <c r="O196" s="186"/>
      <c r="P196" s="286"/>
      <c r="Q196" s="286"/>
      <c r="R196" s="286"/>
      <c r="S196" s="286"/>
      <c r="T196" s="286"/>
      <c r="U196" s="186"/>
      <c r="V196" s="286"/>
      <c r="W196" s="286"/>
      <c r="X196" s="286"/>
      <c r="Y196" s="286"/>
      <c r="Z196" s="286"/>
      <c r="AA196" s="186"/>
      <c r="AB196" s="286"/>
      <c r="AC196" s="286"/>
      <c r="AD196" s="286"/>
      <c r="AE196" s="286"/>
      <c r="AF196" s="286"/>
      <c r="AG196" s="186"/>
      <c r="AH196" s="286"/>
      <c r="AI196" s="186"/>
      <c r="AJ196" s="287"/>
      <c r="AK196" s="286"/>
      <c r="AL196" s="286"/>
      <c r="AO196" s="657">
        <f ca="1">TODAY()</f>
        <v>45953</v>
      </c>
    </row>
    <row r="197" spans="2:42" ht="4.3499999999999996" customHeight="1">
      <c r="B197" s="288"/>
      <c r="C197" s="36"/>
      <c r="D197" s="288"/>
      <c r="E197" s="288"/>
      <c r="F197" s="288"/>
      <c r="G197" s="288"/>
      <c r="H197" s="288"/>
      <c r="I197" s="36"/>
      <c r="J197" s="288"/>
      <c r="K197" s="288"/>
      <c r="L197" s="288"/>
      <c r="M197" s="288"/>
      <c r="N197" s="288"/>
      <c r="O197" s="36"/>
      <c r="P197" s="288"/>
      <c r="Q197" s="288"/>
      <c r="R197" s="288"/>
      <c r="S197" s="288"/>
      <c r="T197" s="288"/>
      <c r="U197" s="36"/>
      <c r="V197" s="288"/>
      <c r="W197" s="288"/>
      <c r="X197" s="288"/>
      <c r="Y197" s="288"/>
      <c r="Z197" s="288"/>
      <c r="AA197" s="36"/>
      <c r="AB197" s="288"/>
      <c r="AC197" s="288"/>
      <c r="AD197" s="288"/>
      <c r="AE197" s="288"/>
      <c r="AF197" s="288"/>
      <c r="AG197" s="36"/>
      <c r="AH197" s="288"/>
      <c r="AI197" s="36"/>
      <c r="AJ197" s="289"/>
      <c r="AK197" s="288"/>
      <c r="AL197" s="288"/>
    </row>
    <row r="198" spans="2:42" ht="14.25" customHeight="1">
      <c r="B198" s="295"/>
      <c r="C198" s="25"/>
      <c r="D198" s="295"/>
      <c r="E198" s="295"/>
      <c r="F198" s="295"/>
      <c r="G198" s="295"/>
      <c r="H198" s="295"/>
      <c r="I198" s="25"/>
      <c r="J198" s="295"/>
      <c r="K198" s="295"/>
      <c r="L198" s="295"/>
      <c r="M198" s="295"/>
      <c r="N198" s="295"/>
      <c r="O198" s="25"/>
      <c r="P198" s="295"/>
      <c r="Q198" s="295"/>
      <c r="R198" s="295"/>
      <c r="S198" s="295"/>
      <c r="T198" s="295"/>
      <c r="AO198" s="97">
        <f ca="1">AO194-AO195-AO196</f>
        <v>-237</v>
      </c>
    </row>
    <row r="199" spans="2:42" s="340" customFormat="1" ht="14.25" customHeight="1">
      <c r="B199" s="343"/>
      <c r="C199" s="344"/>
      <c r="D199" s="343"/>
      <c r="E199" s="343"/>
      <c r="F199" s="343"/>
      <c r="G199" s="343"/>
      <c r="H199" s="345"/>
      <c r="I199" s="344"/>
      <c r="J199" s="343"/>
      <c r="K199" s="343"/>
      <c r="L199" s="343"/>
      <c r="M199" s="343"/>
      <c r="N199" s="343"/>
      <c r="O199" s="344"/>
      <c r="P199" s="343"/>
      <c r="Q199" s="495" t="s">
        <v>571</v>
      </c>
      <c r="R199" s="496" t="s">
        <v>572</v>
      </c>
      <c r="S199" s="343"/>
      <c r="T199" s="343"/>
      <c r="U199" s="341"/>
      <c r="V199" s="342" t="s">
        <v>573</v>
      </c>
      <c r="W199" s="342"/>
      <c r="X199" s="342"/>
      <c r="Y199" s="342"/>
      <c r="Z199" s="342"/>
      <c r="AB199" s="342" t="s">
        <v>574</v>
      </c>
      <c r="AC199" s="342"/>
      <c r="AD199" s="342"/>
      <c r="AE199" s="342"/>
      <c r="AF199" s="342"/>
      <c r="AG199" s="341"/>
      <c r="AH199" s="342" t="s">
        <v>575</v>
      </c>
      <c r="AI199" s="342"/>
      <c r="AJ199" s="342"/>
      <c r="AK199" s="342"/>
      <c r="AL199" s="342"/>
    </row>
    <row r="200" spans="2:42" ht="4.3499999999999996" customHeight="1">
      <c r="B200" s="295"/>
      <c r="C200" s="25"/>
      <c r="D200" s="295"/>
      <c r="E200" s="295"/>
      <c r="F200" s="295"/>
      <c r="G200" s="295"/>
      <c r="H200" s="295"/>
      <c r="I200" s="25"/>
      <c r="J200" s="295"/>
      <c r="K200" s="295"/>
      <c r="L200" s="295"/>
      <c r="M200" s="295"/>
      <c r="N200" s="295"/>
      <c r="O200" s="25"/>
      <c r="P200" s="295"/>
      <c r="Q200" s="295"/>
      <c r="R200" s="295"/>
      <c r="S200" s="295"/>
      <c r="T200" s="295"/>
      <c r="V200" s="288"/>
      <c r="W200" s="288"/>
      <c r="X200" s="288"/>
      <c r="Y200" s="288"/>
      <c r="Z200" s="288"/>
      <c r="AA200" s="97"/>
      <c r="AB200" s="288"/>
      <c r="AC200" s="288"/>
      <c r="AD200" s="288"/>
      <c r="AE200" s="288"/>
      <c r="AF200" s="288"/>
      <c r="AH200" s="288"/>
      <c r="AI200" s="288"/>
      <c r="AJ200" s="288"/>
      <c r="AK200" s="288"/>
      <c r="AL200" s="288"/>
    </row>
    <row r="201" spans="2:42" ht="14.25" customHeight="1">
      <c r="B201" s="295" t="s">
        <v>576</v>
      </c>
      <c r="C201" s="25"/>
      <c r="D201" s="295"/>
      <c r="E201" s="295"/>
      <c r="F201" s="295"/>
      <c r="G201" s="295"/>
      <c r="H201" s="295"/>
      <c r="I201" s="25"/>
      <c r="M201" s="295"/>
      <c r="N201" s="295"/>
      <c r="O201" s="25"/>
      <c r="P201" s="295"/>
      <c r="Q201" s="295"/>
      <c r="R201" s="295"/>
      <c r="S201" s="295"/>
      <c r="T201" s="295"/>
      <c r="V201" s="97" t="s">
        <v>577</v>
      </c>
      <c r="Z201" s="356">
        <f>Inputs!M14</f>
        <v>14.17363113429389</v>
      </c>
      <c r="AB201" s="97" t="s">
        <v>578</v>
      </c>
      <c r="AF201" s="356">
        <f>Inputs!M13</f>
        <v>1.6433971174327462</v>
      </c>
      <c r="AH201" s="97" t="s">
        <v>579</v>
      </c>
      <c r="AL201" s="327">
        <f>AL178/AJ178-1</f>
        <v>0.12242986647298926</v>
      </c>
    </row>
    <row r="202" spans="2:42" ht="14.25" customHeight="1">
      <c r="C202" s="25"/>
      <c r="D202" s="295"/>
      <c r="E202" s="295"/>
      <c r="F202" s="295"/>
      <c r="G202" s="295"/>
      <c r="H202" s="295"/>
      <c r="I202" s="25"/>
      <c r="K202" s="97" t="s">
        <v>288</v>
      </c>
      <c r="L202" s="97" t="s">
        <v>470</v>
      </c>
      <c r="M202" s="295"/>
      <c r="N202" s="295"/>
      <c r="O202" s="25"/>
      <c r="P202" s="295"/>
      <c r="Q202" s="295"/>
      <c r="R202" s="295"/>
      <c r="S202" s="295"/>
      <c r="T202" s="295"/>
      <c r="V202" s="97" t="s">
        <v>580</v>
      </c>
      <c r="Z202" s="743">
        <f>AVERAGE('Trading Comps'!M15:M19)</f>
        <v>12.173167763229701</v>
      </c>
      <c r="AB202" s="97" t="s">
        <v>581</v>
      </c>
      <c r="AF202" s="743">
        <f>AVERAGE('Trading Comps'!K15:K16,'Trading Comps'!K18:K19)</f>
        <v>1.3794781632990705</v>
      </c>
      <c r="AH202" s="97" t="s">
        <v>582</v>
      </c>
      <c r="AL202" s="315">
        <v>0.02</v>
      </c>
    </row>
    <row r="203" spans="2:42" ht="14.25" customHeight="1">
      <c r="B203" s="295" t="s">
        <v>583</v>
      </c>
      <c r="C203" s="25"/>
      <c r="D203" s="295"/>
      <c r="E203" s="295"/>
      <c r="F203" s="295"/>
      <c r="G203" s="295"/>
      <c r="H203" s="295"/>
      <c r="I203" s="25"/>
      <c r="K203" s="97">
        <f>'Trading Comps'!F15/'Trading Comps'!$F$20*'Trading Comps'!J15</f>
        <v>0.49564583255257727</v>
      </c>
      <c r="L203" s="97">
        <f>'Trading Comps'!F15/'Trading Comps'!$F$20*'Trading Comps'!M15</f>
        <v>3.805456924577387</v>
      </c>
      <c r="M203" s="295"/>
      <c r="N203" s="295"/>
      <c r="O203" s="25"/>
      <c r="P203" s="295"/>
      <c r="Q203" s="295"/>
      <c r="R203" s="295" t="str">
        <f>R199</f>
        <v>EBITDA Exit</v>
      </c>
      <c r="S203" s="295"/>
      <c r="T203" s="295"/>
      <c r="V203" s="97" t="s">
        <v>570</v>
      </c>
      <c r="Z203" s="311">
        <f>(Z202+Sensitivity!U43)*(AL164+AL170)</f>
        <v>172467.19263540942</v>
      </c>
      <c r="AB203" s="97" t="s">
        <v>570</v>
      </c>
      <c r="AF203" s="311">
        <f>(AF202+Sensitivity!U44)*(AL71)</f>
        <v>134787.52996557998</v>
      </c>
      <c r="AH203" s="97" t="s">
        <v>570</v>
      </c>
      <c r="AL203" s="311">
        <f>AL178*(1+AL202+Sensitivity!U42)/(AL191-AL202-Sensitivity!U42)</f>
        <v>218886.64979157591</v>
      </c>
    </row>
    <row r="204" spans="2:42" ht="14.25" customHeight="1">
      <c r="B204" s="295" t="s">
        <v>584</v>
      </c>
      <c r="C204" s="25"/>
      <c r="D204" s="655">
        <v>14300</v>
      </c>
      <c r="E204" s="295"/>
      <c r="F204" s="295"/>
      <c r="G204" s="295"/>
      <c r="H204" s="295"/>
      <c r="I204" s="25"/>
      <c r="K204" s="97">
        <f>'Trading Comps'!F16/'Trading Comps'!$F$20*'Trading Comps'!J16</f>
        <v>0.21569836467532477</v>
      </c>
      <c r="L204" s="97">
        <f>'Trading Comps'!F16/'Trading Comps'!$F$20*'Trading Comps'!M16</f>
        <v>1.6755266281749701</v>
      </c>
      <c r="M204" s="295"/>
      <c r="N204" s="295"/>
      <c r="O204" s="25"/>
      <c r="P204" s="295"/>
      <c r="Q204" s="295"/>
      <c r="R204" s="497">
        <f ca="1">IF($R$203="Revenue Exit",$AF$213,IF($R$203="EBITDA Exit",$Z$213,$AL$213))</f>
        <v>0.20667014291403762</v>
      </c>
      <c r="S204" s="295"/>
      <c r="T204" s="295"/>
      <c r="V204" s="346" t="s">
        <v>585</v>
      </c>
      <c r="W204" s="346"/>
      <c r="X204" s="346"/>
      <c r="Y204" s="346"/>
      <c r="Z204" s="347">
        <f ca="1">Z203/AL192</f>
        <v>76352.159359617712</v>
      </c>
      <c r="AB204" s="346" t="s">
        <v>585</v>
      </c>
      <c r="AC204" s="346"/>
      <c r="AD204" s="346"/>
      <c r="AE204" s="346"/>
      <c r="AF204" s="347">
        <f ca="1">AF203/AL192</f>
        <v>59671.168819781022</v>
      </c>
      <c r="AH204" s="346" t="s">
        <v>585</v>
      </c>
      <c r="AI204" s="354"/>
      <c r="AJ204" s="355"/>
      <c r="AK204" s="346"/>
      <c r="AL204" s="347">
        <f ca="1">AL203/AL192</f>
        <v>96902.304207553854</v>
      </c>
    </row>
    <row r="205" spans="2:42" ht="14.25" customHeight="1">
      <c r="B205" s="295" t="s">
        <v>586</v>
      </c>
      <c r="C205" s="25"/>
      <c r="D205" s="655">
        <v>39300</v>
      </c>
      <c r="E205" s="295"/>
      <c r="F205" s="295"/>
      <c r="G205" s="295"/>
      <c r="H205" s="295"/>
      <c r="I205" s="25"/>
      <c r="K205" s="97">
        <f>'Trading Comps'!F17/'Trading Comps'!$F$20*'Trading Comps'!J17</f>
        <v>1.0657312917857213</v>
      </c>
      <c r="L205" s="97">
        <f>'Trading Comps'!F17/'Trading Comps'!$F$20*'Trading Comps'!M17</f>
        <v>3.4481993795299486</v>
      </c>
      <c r="M205" s="295"/>
      <c r="N205" s="295"/>
      <c r="O205" s="25"/>
      <c r="P205" s="295"/>
      <c r="Q205" s="295"/>
      <c r="R205" s="497">
        <f ca="1">1-R204</f>
        <v>0.79332985708596238</v>
      </c>
      <c r="S205" s="295"/>
      <c r="T205" s="295"/>
      <c r="V205" s="105" t="s">
        <v>587</v>
      </c>
      <c r="W205" s="105"/>
      <c r="X205" s="105"/>
      <c r="Y205" s="105"/>
      <c r="Z205" s="321">
        <f ca="1">Z204+SUM(V194:AL194)</f>
        <v>99077.922753704392</v>
      </c>
      <c r="AB205" s="105" t="s">
        <v>587</v>
      </c>
      <c r="AC205" s="105"/>
      <c r="AD205" s="105"/>
      <c r="AE205" s="105"/>
      <c r="AF205" s="321">
        <f ca="1">AF204+SUM(V194:AL194)</f>
        <v>82396.932213867709</v>
      </c>
      <c r="AH205" s="105" t="s">
        <v>587</v>
      </c>
      <c r="AI205" s="105"/>
      <c r="AK205" s="105"/>
      <c r="AL205" s="321">
        <f ca="1">AL204+SUM(V194:AL194)</f>
        <v>119628.06760164053</v>
      </c>
    </row>
    <row r="206" spans="2:42" ht="14.25" customHeight="1">
      <c r="B206" s="295" t="s">
        <v>588</v>
      </c>
      <c r="C206" s="25"/>
      <c r="D206" s="655" t="s">
        <v>589</v>
      </c>
      <c r="E206" s="295"/>
      <c r="F206" s="295"/>
      <c r="G206" s="295"/>
      <c r="H206" s="295"/>
      <c r="I206" s="25"/>
      <c r="K206" s="97">
        <f>'Trading Comps'!F18/'Trading Comps'!$F$20*'Trading Comps'!J18</f>
        <v>0.20468209914473501</v>
      </c>
      <c r="L206" s="97">
        <f>'Trading Comps'!F18/'Trading Comps'!$F$20*'Trading Comps'!M18</f>
        <v>1.3034480111360061</v>
      </c>
      <c r="M206" s="295"/>
      <c r="N206" s="295"/>
      <c r="O206" s="25"/>
      <c r="P206" s="295"/>
      <c r="Q206" s="295"/>
      <c r="R206" s="97" t="str">
        <f ca="1">IF(R204&gt;0,"Upside","Downside")</f>
        <v>Upside</v>
      </c>
      <c r="S206" s="295"/>
      <c r="T206" s="295"/>
      <c r="V206" s="97" t="s">
        <v>590</v>
      </c>
      <c r="Z206" s="68">
        <f>BS!AI45+BS!AI44+BS!AI39+BS!AI38-BS!AI15</f>
        <v>32245</v>
      </c>
      <c r="AB206" s="97" t="s">
        <v>590</v>
      </c>
      <c r="AF206" s="68">
        <f>BS!AI45+BS!AI44+BS!AI39+BS!AI38-BS!AI15</f>
        <v>32245</v>
      </c>
      <c r="AH206" s="97" t="s">
        <v>590</v>
      </c>
      <c r="AI206" s="97"/>
      <c r="AJ206" s="97"/>
      <c r="AL206" s="68">
        <f>BS!AI45+BS!AI44+BS!AI39+BS!AI38-BS!AI15</f>
        <v>32245</v>
      </c>
    </row>
    <row r="207" spans="2:42" ht="14.25" customHeight="1">
      <c r="B207" s="295" t="s">
        <v>591</v>
      </c>
      <c r="C207" s="25"/>
      <c r="D207" s="656">
        <f>D204/D205</f>
        <v>0.36386768447837148</v>
      </c>
      <c r="E207" s="295" t="s">
        <v>592</v>
      </c>
      <c r="F207" s="295"/>
      <c r="G207" s="295"/>
      <c r="H207" s="295"/>
      <c r="I207" s="25"/>
      <c r="K207" s="97">
        <f>'Trading Comps'!F19/'Trading Comps'!$F$20*'Trading Comps'!J19</f>
        <v>9.9934287656532866E-2</v>
      </c>
      <c r="L207" s="97">
        <f>'Trading Comps'!F19/'Trading Comps'!$F$20*'Trading Comps'!M19</f>
        <v>0.78149479318710424</v>
      </c>
      <c r="M207" s="295"/>
      <c r="N207" s="295"/>
      <c r="O207" s="25"/>
      <c r="P207" s="295"/>
      <c r="Q207" s="295"/>
      <c r="R207" s="295"/>
      <c r="S207" s="295"/>
      <c r="T207" s="295"/>
      <c r="V207" s="97" t="s">
        <v>593</v>
      </c>
      <c r="Z207" s="68">
        <v>0</v>
      </c>
      <c r="AB207" s="97" t="s">
        <v>593</v>
      </c>
      <c r="AF207" s="68">
        <v>0</v>
      </c>
      <c r="AH207" s="97" t="s">
        <v>593</v>
      </c>
      <c r="AI207" s="97"/>
      <c r="AJ207" s="97"/>
      <c r="AL207" s="68">
        <v>0</v>
      </c>
    </row>
    <row r="208" spans="2:42" ht="14.25" customHeight="1">
      <c r="B208" s="97" t="s">
        <v>594</v>
      </c>
      <c r="D208" s="297">
        <v>14</v>
      </c>
      <c r="E208" s="97" t="s">
        <v>37</v>
      </c>
      <c r="J208" s="97" t="s">
        <v>595</v>
      </c>
      <c r="K208" s="97">
        <f>SUM(K203:K207)</f>
        <v>2.0816918758148915</v>
      </c>
      <c r="L208" s="97">
        <f>SUM(L203:L207)</f>
        <v>11.014125736605415</v>
      </c>
      <c r="V208" s="346" t="s">
        <v>596</v>
      </c>
      <c r="W208" s="346"/>
      <c r="X208" s="346"/>
      <c r="Y208" s="346"/>
      <c r="Z208" s="75">
        <f>BS!AI53</f>
        <v>0</v>
      </c>
      <c r="AB208" s="346" t="s">
        <v>596</v>
      </c>
      <c r="AC208" s="346"/>
      <c r="AD208" s="346"/>
      <c r="AE208" s="346"/>
      <c r="AF208" s="75">
        <f>BS!AI53</f>
        <v>0</v>
      </c>
      <c r="AH208" s="346" t="s">
        <v>596</v>
      </c>
      <c r="AI208" s="346"/>
      <c r="AJ208" s="346"/>
      <c r="AK208" s="346"/>
      <c r="AL208" s="75">
        <f>BS!AI53</f>
        <v>0</v>
      </c>
      <c r="AN208" s="311"/>
    </row>
    <row r="209" spans="1:38" ht="14.25" customHeight="1">
      <c r="V209" s="105" t="s">
        <v>597</v>
      </c>
      <c r="W209" s="105"/>
      <c r="X209" s="105"/>
      <c r="Y209" s="105"/>
      <c r="Z209" s="321">
        <f ca="1">Z205-Z206-Z207-Z208</f>
        <v>66832.922753704392</v>
      </c>
      <c r="AB209" s="105" t="s">
        <v>597</v>
      </c>
      <c r="AC209" s="105"/>
      <c r="AD209" s="105"/>
      <c r="AE209" s="105"/>
      <c r="AF209" s="321">
        <f ca="1">AF205-AF206-AF207-AF208</f>
        <v>50151.932213867709</v>
      </c>
      <c r="AH209" s="105" t="s">
        <v>597</v>
      </c>
      <c r="AI209" s="105"/>
      <c r="AK209" s="105"/>
      <c r="AL209" s="321">
        <f ca="1">AL205-AL206-AL207-AL208</f>
        <v>87383.067601640534</v>
      </c>
    </row>
    <row r="210" spans="1:38" ht="14.25" customHeight="1">
      <c r="V210" s="346" t="s">
        <v>598</v>
      </c>
      <c r="W210" s="346"/>
      <c r="X210" s="346"/>
      <c r="Y210" s="346"/>
      <c r="Z210" s="348">
        <f ca="1">AL104</f>
        <v>246.16106894081557</v>
      </c>
      <c r="AB210" s="346" t="s">
        <v>598</v>
      </c>
      <c r="AC210" s="346"/>
      <c r="AD210" s="346"/>
      <c r="AE210" s="346"/>
      <c r="AF210" s="348">
        <f ca="1">AL104</f>
        <v>246.16106894081557</v>
      </c>
      <c r="AH210" s="346" t="s">
        <v>598</v>
      </c>
      <c r="AI210" s="346"/>
      <c r="AJ210" s="346"/>
      <c r="AK210" s="346"/>
      <c r="AL210" s="348">
        <f ca="1">AL104</f>
        <v>246.16106894081557</v>
      </c>
    </row>
    <row r="211" spans="1:38" ht="14.25" customHeight="1">
      <c r="V211" s="105" t="s">
        <v>599</v>
      </c>
      <c r="W211" s="105"/>
      <c r="X211" s="105"/>
      <c r="Y211" s="105"/>
      <c r="Z211" s="320">
        <f ca="1">Z209/Z210</f>
        <v>271.50078215565844</v>
      </c>
      <c r="AB211" s="105" t="s">
        <v>599</v>
      </c>
      <c r="AC211" s="105"/>
      <c r="AD211" s="105"/>
      <c r="AE211" s="105"/>
      <c r="AF211" s="320">
        <f ca="1">AF209/AF210</f>
        <v>203.73624647334353</v>
      </c>
      <c r="AH211" s="105" t="s">
        <v>599</v>
      </c>
      <c r="AI211" s="105"/>
      <c r="AK211" s="105"/>
      <c r="AL211" s="320">
        <f ca="1">AL209/AL210</f>
        <v>354.98329600872029</v>
      </c>
    </row>
    <row r="212" spans="1:38" ht="14.25" customHeight="1">
      <c r="A212" s="97">
        <v>2</v>
      </c>
      <c r="B212" s="658" t="s">
        <v>600</v>
      </c>
      <c r="V212" s="97" t="s">
        <v>601</v>
      </c>
      <c r="Z212" s="353">
        <f>'Stock Data'!AN4</f>
        <v>225</v>
      </c>
      <c r="AB212" s="97" t="s">
        <v>601</v>
      </c>
      <c r="AF212" s="353">
        <f>'Stock Data'!AN4</f>
        <v>225</v>
      </c>
      <c r="AH212" s="97" t="s">
        <v>601</v>
      </c>
      <c r="AI212" s="97"/>
      <c r="AJ212" s="97"/>
      <c r="AL212" s="353">
        <f>'Stock Data'!AN4</f>
        <v>225</v>
      </c>
    </row>
    <row r="213" spans="1:38" ht="14.25" customHeight="1">
      <c r="A213" s="97">
        <v>3</v>
      </c>
      <c r="B213" s="658" t="s">
        <v>602</v>
      </c>
      <c r="V213" s="97" t="s">
        <v>603</v>
      </c>
      <c r="Z213" s="327">
        <f ca="1">Z211/Z212-1</f>
        <v>0.20667014291403762</v>
      </c>
      <c r="AB213" s="97" t="s">
        <v>603</v>
      </c>
      <c r="AF213" s="327">
        <f ca="1">AF211/AF212-1</f>
        <v>-9.4505571229584362E-2</v>
      </c>
      <c r="AH213" s="97" t="s">
        <v>603</v>
      </c>
      <c r="AI213" s="97"/>
      <c r="AJ213" s="97"/>
      <c r="AL213" s="327">
        <f ca="1">AL211/AL212-1</f>
        <v>0.57770353781653472</v>
      </c>
    </row>
    <row r="214" spans="1:38" ht="14.25" customHeight="1">
      <c r="A214" s="97">
        <v>6</v>
      </c>
      <c r="B214" s="295" t="s">
        <v>604</v>
      </c>
    </row>
    <row r="216" spans="1:38" ht="14.25" customHeight="1">
      <c r="AB216" s="635"/>
      <c r="AC216" s="635"/>
      <c r="AD216" s="635"/>
      <c r="AE216" s="635"/>
      <c r="AF216" s="635"/>
    </row>
    <row r="217" spans="1:38" ht="14.25" customHeight="1">
      <c r="B217" s="295"/>
      <c r="D217" s="655"/>
    </row>
    <row r="218" spans="1:38" ht="14.25" customHeight="1">
      <c r="B218" s="295"/>
      <c r="D218" s="655"/>
      <c r="AB218" s="317"/>
    </row>
    <row r="219" spans="1:38" ht="14.25" customHeight="1">
      <c r="B219" s="295"/>
      <c r="D219" s="655"/>
      <c r="AB219" s="485"/>
      <c r="AC219" s="317"/>
    </row>
    <row r="220" spans="1:38" ht="14.25" customHeight="1">
      <c r="D220" s="656"/>
      <c r="AB220" s="485"/>
      <c r="AC220" s="317"/>
    </row>
    <row r="221" spans="1:38" ht="14.25" customHeight="1">
      <c r="D221" s="297"/>
    </row>
    <row r="223" spans="1:38" ht="14.25" customHeight="1">
      <c r="AF223" s="317"/>
    </row>
    <row r="224" spans="1:38" ht="14.25" customHeight="1">
      <c r="AE224" s="485"/>
      <c r="AF224" s="317"/>
    </row>
    <row r="225" spans="31:32" ht="14.25" customHeight="1">
      <c r="AE225" s="485"/>
      <c r="AF225" s="327"/>
    </row>
  </sheetData>
  <mergeCells count="16">
    <mergeCell ref="M12:M17"/>
    <mergeCell ref="D160:H160"/>
    <mergeCell ref="J160:N160"/>
    <mergeCell ref="P160:T160"/>
    <mergeCell ref="V160:Z160"/>
    <mergeCell ref="D64:H64"/>
    <mergeCell ref="J64:N64"/>
    <mergeCell ref="P64:T64"/>
    <mergeCell ref="V64:Z64"/>
    <mergeCell ref="AB64:AF64"/>
    <mergeCell ref="AO153:AT153"/>
    <mergeCell ref="AO194:AP194"/>
    <mergeCell ref="AB8:AF8"/>
    <mergeCell ref="V181:Z181"/>
    <mergeCell ref="AB181:AF181"/>
    <mergeCell ref="AB160:AF160"/>
  </mergeCells>
  <dataValidations disablePrompts="1" count="2">
    <dataValidation type="list" allowBlank="1" showInputMessage="1" showErrorMessage="1" sqref="B122" xr:uid="{3068A702-6D91-4BC4-B8DA-FEBA02962F20}">
      <formula1>"Intangibles excl. Goodwill, Intangibles"</formula1>
    </dataValidation>
    <dataValidation type="list" allowBlank="1" showInputMessage="1" showErrorMessage="1" sqref="R199" xr:uid="{DD3EF530-1AED-43A6-B35C-1414A1C29D9A}">
      <formula1>"EBITDA Exit, Revenue Exit, Gordon's Growth Model"</formula1>
    </dataValidation>
  </dataValidations>
  <hyperlinks>
    <hyperlink ref="B212" r:id="rId1" xr:uid="{FD81CD99-BEAC-49EC-9533-DBC182C008EA}"/>
    <hyperlink ref="B213" r:id="rId2" xr:uid="{81367F97-2488-48ED-AD0C-F5B5203754F8}"/>
  </hyperlinks>
  <pageMargins left="0.7" right="0.7" top="0.75" bottom="0.75" header="0.3" footer="0.3"/>
  <pageSetup paperSize="9" orientation="portrait" r:id="rId3"/>
  <drawing r:id="rId4"/>
  <legacyDrawing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727BB-C727-4554-A9ED-A855205D46AF}">
  <sheetPr>
    <tabColor theme="4" tint="-0.249977111117893"/>
  </sheetPr>
  <dimension ref="B1:AQ54"/>
  <sheetViews>
    <sheetView showGridLines="0" zoomScale="70" zoomScaleNormal="70" workbookViewId="0">
      <selection activeCell="R7" sqref="R7:Z30"/>
    </sheetView>
  </sheetViews>
  <sheetFormatPr defaultColWidth="9" defaultRowHeight="15" customHeight="1"/>
  <cols>
    <col min="1" max="1" width="2.125" style="23" customWidth="1"/>
    <col min="2" max="19" width="9" style="23"/>
    <col min="20" max="20" width="9" style="23" customWidth="1"/>
    <col min="21" max="24" width="9.125" style="23" customWidth="1"/>
    <col min="25" max="16384" width="9" style="23"/>
  </cols>
  <sheetData>
    <row r="1" spans="2:43" s="468" customFormat="1" ht="15" customHeight="1"/>
    <row r="2" spans="2:43" s="468" customFormat="1" ht="15" customHeight="1"/>
    <row r="3" spans="2:43" s="468" customFormat="1" ht="15" customHeight="1"/>
    <row r="4" spans="2:43" s="468" customFormat="1" ht="15" customHeight="1"/>
    <row r="5" spans="2:43" s="36" customFormat="1" ht="4.3499999999999996" customHeight="1"/>
    <row r="7" spans="2:43" ht="15" customHeight="1">
      <c r="B7" s="373" t="s">
        <v>605</v>
      </c>
      <c r="C7" s="186"/>
      <c r="D7" s="186"/>
      <c r="E7" s="186"/>
      <c r="F7" s="186"/>
      <c r="G7" s="186"/>
      <c r="H7" s="186"/>
      <c r="I7" s="186"/>
      <c r="J7" s="186"/>
      <c r="K7" s="186"/>
      <c r="L7" s="186"/>
      <c r="M7" s="186"/>
      <c r="N7" s="186"/>
      <c r="O7" s="186"/>
      <c r="P7" s="186"/>
      <c r="R7" s="373" t="s">
        <v>606</v>
      </c>
      <c r="S7" s="186"/>
      <c r="T7" s="186"/>
      <c r="U7" s="186"/>
      <c r="V7" s="186"/>
      <c r="W7" s="186"/>
      <c r="X7" s="186"/>
      <c r="Y7" s="186"/>
      <c r="Z7" s="186"/>
    </row>
    <row r="8" spans="2:43" ht="15" customHeight="1">
      <c r="B8" s="186"/>
      <c r="C8" s="186"/>
      <c r="D8" s="186"/>
      <c r="E8" s="186"/>
      <c r="F8" s="186"/>
      <c r="G8" s="186"/>
      <c r="H8" s="186"/>
      <c r="I8" s="186"/>
      <c r="J8" s="186"/>
      <c r="K8" s="186"/>
      <c r="L8" s="186"/>
      <c r="M8" s="186"/>
      <c r="N8" s="186"/>
      <c r="O8" s="186"/>
      <c r="P8" s="186"/>
      <c r="R8" s="186"/>
      <c r="S8" s="186"/>
      <c r="T8" s="186"/>
      <c r="U8" s="186"/>
      <c r="V8" s="186"/>
      <c r="W8" s="186"/>
      <c r="X8" s="186"/>
      <c r="Y8" s="186"/>
      <c r="Z8" s="186"/>
    </row>
    <row r="9" spans="2:43" ht="15" customHeight="1">
      <c r="B9" s="186"/>
      <c r="C9" s="186"/>
      <c r="D9" s="186"/>
      <c r="E9" s="186"/>
      <c r="F9" s="186"/>
      <c r="G9" s="186"/>
      <c r="H9" s="186"/>
      <c r="I9" s="186"/>
      <c r="J9" s="186"/>
      <c r="K9" s="186"/>
      <c r="L9" s="186"/>
      <c r="M9" s="186"/>
      <c r="N9" s="186"/>
      <c r="O9" s="186"/>
      <c r="P9" s="186"/>
      <c r="R9" s="186"/>
      <c r="S9" s="186"/>
      <c r="T9" s="186"/>
      <c r="U9" s="186"/>
      <c r="V9" s="186"/>
      <c r="W9" s="186"/>
      <c r="X9" s="186"/>
      <c r="Y9" s="186"/>
      <c r="Z9" s="186"/>
    </row>
    <row r="10" spans="2:43" ht="4.3499999999999996" customHeight="1">
      <c r="B10" s="36"/>
      <c r="C10" s="36"/>
      <c r="D10" s="36"/>
      <c r="E10" s="36"/>
      <c r="F10" s="36"/>
      <c r="G10" s="36"/>
      <c r="H10" s="36"/>
      <c r="I10" s="36"/>
      <c r="J10" s="36"/>
      <c r="K10" s="36"/>
      <c r="L10" s="36"/>
      <c r="M10" s="36"/>
      <c r="N10" s="36"/>
      <c r="O10" s="36"/>
      <c r="P10" s="36"/>
      <c r="R10" s="36"/>
      <c r="S10" s="36"/>
      <c r="T10" s="36"/>
      <c r="U10" s="36"/>
      <c r="V10" s="36"/>
      <c r="W10" s="36"/>
      <c r="X10" s="36"/>
      <c r="Y10" s="36"/>
      <c r="Z10" s="36"/>
    </row>
    <row r="14" spans="2:43" ht="15" customHeight="1">
      <c r="AA14" s="25"/>
      <c r="AB14" s="25"/>
      <c r="AC14" s="25"/>
      <c r="AD14" s="25"/>
      <c r="AE14" s="25"/>
      <c r="AF14" s="25"/>
      <c r="AG14" s="25"/>
      <c r="AH14" s="25"/>
      <c r="AI14" s="25"/>
      <c r="AJ14" s="25"/>
      <c r="AK14" s="25"/>
      <c r="AL14" s="25"/>
      <c r="AM14" s="25"/>
      <c r="AN14" s="25"/>
      <c r="AO14" s="25"/>
      <c r="AP14" s="25"/>
      <c r="AQ14" s="25"/>
    </row>
    <row r="15" spans="2:43" ht="15" customHeight="1">
      <c r="AA15" s="25"/>
      <c r="AB15" s="25"/>
      <c r="AC15" s="25"/>
      <c r="AD15" s="25"/>
      <c r="AE15" s="25"/>
      <c r="AF15" s="25"/>
      <c r="AG15" s="25"/>
      <c r="AH15" s="25"/>
      <c r="AI15" s="25"/>
      <c r="AJ15" s="25"/>
      <c r="AK15" s="25"/>
      <c r="AL15" s="25"/>
      <c r="AM15" s="25"/>
      <c r="AN15" s="25"/>
      <c r="AO15" s="25"/>
      <c r="AP15" s="25"/>
      <c r="AQ15" s="25"/>
    </row>
    <row r="16" spans="2:43" ht="15" customHeight="1">
      <c r="AA16" s="25"/>
      <c r="AB16" s="25"/>
      <c r="AC16" s="25"/>
      <c r="AD16" s="25"/>
      <c r="AE16" s="25"/>
      <c r="AF16" s="25"/>
      <c r="AG16" s="25"/>
      <c r="AH16" s="25"/>
      <c r="AI16" s="25"/>
      <c r="AJ16" s="25"/>
      <c r="AK16" s="25"/>
      <c r="AL16" s="25"/>
      <c r="AM16" s="25"/>
      <c r="AN16" s="25"/>
      <c r="AO16" s="25"/>
      <c r="AP16" s="25"/>
      <c r="AQ16" s="25"/>
    </row>
    <row r="17" spans="18:43" ht="15" customHeight="1">
      <c r="AA17" s="25"/>
      <c r="AB17" s="25"/>
      <c r="AC17" s="25"/>
      <c r="AD17" s="25"/>
      <c r="AE17" s="25"/>
      <c r="AF17" s="25"/>
      <c r="AG17" s="25"/>
      <c r="AH17" s="25"/>
      <c r="AI17" s="25"/>
      <c r="AJ17" s="25"/>
      <c r="AK17" s="25"/>
      <c r="AL17" s="25"/>
      <c r="AM17" s="25"/>
      <c r="AN17" s="25"/>
      <c r="AO17" s="25"/>
      <c r="AP17" s="25"/>
      <c r="AQ17" s="25"/>
    </row>
    <row r="18" spans="18:43" ht="15" customHeight="1">
      <c r="AA18" s="25"/>
      <c r="AB18" s="25"/>
      <c r="AC18" s="25"/>
      <c r="AD18" s="25"/>
      <c r="AE18" s="25"/>
      <c r="AF18" s="25"/>
      <c r="AG18" s="25"/>
      <c r="AH18" s="25"/>
      <c r="AI18" s="25"/>
      <c r="AJ18" s="25"/>
      <c r="AK18" s="25"/>
      <c r="AL18" s="25"/>
      <c r="AM18" s="25"/>
      <c r="AN18" s="25"/>
      <c r="AO18" s="25"/>
      <c r="AP18" s="25"/>
      <c r="AQ18" s="25"/>
    </row>
    <row r="19" spans="18:43" ht="15" customHeight="1">
      <c r="AA19" s="25"/>
      <c r="AB19" s="25"/>
      <c r="AC19" s="25"/>
      <c r="AD19" s="25"/>
      <c r="AE19" s="25"/>
      <c r="AF19" s="25"/>
      <c r="AG19" s="25"/>
      <c r="AH19" s="25"/>
      <c r="AI19" s="25"/>
      <c r="AJ19" s="25"/>
      <c r="AK19" s="25"/>
      <c r="AL19" s="25"/>
      <c r="AM19" s="25"/>
      <c r="AN19" s="25"/>
      <c r="AO19" s="25"/>
      <c r="AP19" s="25"/>
      <c r="AQ19" s="25"/>
    </row>
    <row r="20" spans="18:43" ht="15" customHeight="1">
      <c r="AA20" s="25"/>
      <c r="AB20" s="25"/>
      <c r="AC20" s="25"/>
      <c r="AD20" s="25"/>
      <c r="AE20" s="25"/>
      <c r="AF20" s="25"/>
      <c r="AG20" s="25"/>
      <c r="AH20" s="25"/>
      <c r="AI20" s="25"/>
      <c r="AJ20" s="25"/>
      <c r="AK20" s="25"/>
      <c r="AL20" s="25"/>
      <c r="AM20" s="25"/>
      <c r="AN20" s="25"/>
      <c r="AO20" s="25"/>
      <c r="AP20" s="25"/>
      <c r="AQ20" s="25"/>
    </row>
    <row r="21" spans="18:43" ht="15" customHeight="1">
      <c r="AA21" s="25"/>
      <c r="AB21" s="25"/>
      <c r="AC21" s="25"/>
      <c r="AD21" s="25"/>
      <c r="AE21" s="25"/>
      <c r="AF21" s="25"/>
      <c r="AG21" s="25"/>
      <c r="AH21" s="25"/>
      <c r="AI21" s="25"/>
      <c r="AJ21" s="25"/>
      <c r="AK21" s="25"/>
      <c r="AL21" s="25"/>
      <c r="AM21" s="25"/>
      <c r="AN21" s="25"/>
      <c r="AO21" s="25"/>
      <c r="AP21" s="25"/>
      <c r="AQ21" s="25"/>
    </row>
    <row r="22" spans="18:43" ht="15" customHeight="1">
      <c r="AA22" s="25"/>
      <c r="AB22" s="25"/>
      <c r="AC22" s="25"/>
      <c r="AD22" s="25"/>
      <c r="AE22" s="25"/>
      <c r="AF22" s="25"/>
      <c r="AG22" s="25"/>
      <c r="AH22" s="25"/>
      <c r="AI22" s="25"/>
      <c r="AJ22" s="25"/>
      <c r="AK22" s="25"/>
      <c r="AL22" s="25"/>
      <c r="AM22" s="25"/>
      <c r="AN22" s="25"/>
      <c r="AO22" s="25"/>
      <c r="AP22" s="25"/>
      <c r="AQ22" s="25"/>
    </row>
    <row r="23" spans="18:43" ht="15" customHeight="1">
      <c r="AA23" s="25"/>
      <c r="AB23" s="25"/>
      <c r="AC23" s="25"/>
      <c r="AD23" s="25"/>
      <c r="AE23" s="25"/>
      <c r="AF23" s="25"/>
      <c r="AG23" s="25"/>
      <c r="AH23" s="25"/>
      <c r="AI23" s="25"/>
      <c r="AJ23" s="25"/>
      <c r="AK23" s="25"/>
      <c r="AL23" s="25"/>
      <c r="AM23" s="25"/>
      <c r="AN23" s="25"/>
      <c r="AO23" s="25"/>
      <c r="AP23" s="25"/>
      <c r="AQ23" s="25"/>
    </row>
    <row r="24" spans="18:43" ht="15" customHeight="1">
      <c r="AA24" s="25"/>
      <c r="AB24" s="25"/>
      <c r="AC24" s="25"/>
      <c r="AD24" s="25"/>
      <c r="AE24" s="25"/>
      <c r="AF24" s="25"/>
      <c r="AG24" s="25"/>
      <c r="AH24" s="25"/>
      <c r="AI24" s="25"/>
      <c r="AJ24" s="25"/>
      <c r="AK24" s="25"/>
      <c r="AL24" s="25"/>
      <c r="AM24" s="25"/>
      <c r="AN24" s="25"/>
      <c r="AO24" s="25"/>
      <c r="AP24" s="25"/>
      <c r="AQ24" s="25"/>
    </row>
    <row r="25" spans="18:43" ht="15" customHeight="1">
      <c r="AA25" s="25"/>
      <c r="AB25" s="25"/>
      <c r="AC25" s="25"/>
      <c r="AD25" s="25"/>
      <c r="AE25" s="25"/>
      <c r="AF25" s="25"/>
      <c r="AG25" s="25"/>
      <c r="AH25" s="25"/>
      <c r="AI25" s="25"/>
      <c r="AJ25" s="25"/>
      <c r="AK25" s="25"/>
      <c r="AL25" s="25"/>
      <c r="AM25" s="25"/>
      <c r="AN25" s="25"/>
      <c r="AO25" s="25"/>
      <c r="AP25" s="25"/>
      <c r="AQ25" s="25"/>
    </row>
    <row r="26" spans="18:43" ht="15" customHeight="1">
      <c r="AA26" s="25"/>
      <c r="AB26" s="25"/>
      <c r="AC26" s="25"/>
      <c r="AD26" s="25"/>
      <c r="AE26" s="25"/>
      <c r="AF26" s="25"/>
      <c r="AG26" s="25"/>
      <c r="AH26" s="25"/>
      <c r="AI26" s="25"/>
      <c r="AJ26" s="25"/>
      <c r="AK26" s="25"/>
      <c r="AL26" s="25"/>
      <c r="AM26" s="25"/>
      <c r="AN26" s="25"/>
      <c r="AO26" s="25"/>
      <c r="AP26" s="25"/>
      <c r="AQ26" s="25"/>
    </row>
    <row r="27" spans="18:43" ht="15" customHeight="1">
      <c r="AA27" s="25"/>
      <c r="AB27" s="25"/>
      <c r="AC27" s="25"/>
      <c r="AD27" s="25"/>
      <c r="AE27" s="25"/>
      <c r="AF27" s="25"/>
      <c r="AG27" s="25"/>
      <c r="AH27" s="25"/>
      <c r="AI27" s="25"/>
      <c r="AJ27" s="25"/>
      <c r="AK27" s="25"/>
      <c r="AL27" s="25"/>
      <c r="AM27" s="25"/>
      <c r="AN27" s="25"/>
      <c r="AO27" s="25"/>
      <c r="AP27" s="25"/>
      <c r="AQ27" s="25"/>
    </row>
    <row r="28" spans="18:43" ht="15" customHeight="1">
      <c r="AA28" s="25"/>
      <c r="AB28" s="25"/>
      <c r="AC28" s="25"/>
      <c r="AD28" s="25" t="str" cm="1">
        <f t="array" ref="AD28:AL34">_xlfn.SORTBY(R38:Z44,Z38:Z44,1)</f>
        <v>SG&amp;A Margin</v>
      </c>
      <c r="AE28" s="25">
        <v>0</v>
      </c>
      <c r="AF28" s="25">
        <v>0.01</v>
      </c>
      <c r="AG28" s="25">
        <v>0</v>
      </c>
      <c r="AH28" s="25">
        <v>248.5</v>
      </c>
      <c r="AI28" s="25">
        <v>320.05</v>
      </c>
      <c r="AJ28" s="25">
        <v>-35.779999999999973</v>
      </c>
      <c r="AK28" s="25">
        <v>35.770000000000039</v>
      </c>
      <c r="AL28" s="25">
        <v>35.779999999999973</v>
      </c>
      <c r="AM28" s="25"/>
      <c r="AN28" s="25"/>
      <c r="AO28" s="25"/>
      <c r="AP28" s="25"/>
      <c r="AQ28" s="25"/>
    </row>
    <row r="29" spans="18:43" ht="15" customHeight="1">
      <c r="AA29" s="25"/>
      <c r="AB29" s="25"/>
      <c r="AC29" s="25"/>
      <c r="AD29" s="25" t="str">
        <v>Terminal g</v>
      </c>
      <c r="AE29" s="25">
        <v>0</v>
      </c>
      <c r="AF29" s="25">
        <v>5.0000000000000001E-3</v>
      </c>
      <c r="AG29" s="25">
        <v>0</v>
      </c>
      <c r="AH29" s="25">
        <v>250.32</v>
      </c>
      <c r="AI29" s="25">
        <v>326.77999999999997</v>
      </c>
      <c r="AJ29" s="25">
        <v>-33.95999999999998</v>
      </c>
      <c r="AK29" s="25">
        <v>42.5</v>
      </c>
      <c r="AL29" s="25">
        <v>42.5</v>
      </c>
      <c r="AM29" s="25"/>
      <c r="AN29" s="25"/>
      <c r="AO29" s="25"/>
      <c r="AP29" s="25"/>
      <c r="AQ29" s="25"/>
    </row>
    <row r="30" spans="18:43" ht="15" customHeight="1">
      <c r="AA30" s="25"/>
      <c r="AB30" s="25"/>
      <c r="AC30" s="25"/>
      <c r="AD30" s="25" t="str">
        <v>Capex Intensity</v>
      </c>
      <c r="AE30" s="25">
        <v>0</v>
      </c>
      <c r="AF30" s="25">
        <v>0.01</v>
      </c>
      <c r="AG30" s="25">
        <v>0</v>
      </c>
      <c r="AH30" s="25">
        <v>240.59</v>
      </c>
      <c r="AI30" s="25">
        <v>327.96</v>
      </c>
      <c r="AJ30" s="25">
        <v>-43.689999999999969</v>
      </c>
      <c r="AK30" s="25">
        <v>43.680000000000007</v>
      </c>
      <c r="AL30" s="25">
        <v>43.689999999999969</v>
      </c>
      <c r="AM30" s="25"/>
      <c r="AN30" s="25"/>
      <c r="AO30" s="25"/>
      <c r="AP30" s="25"/>
      <c r="AQ30" s="25"/>
    </row>
    <row r="31" spans="18:43" ht="15" customHeight="1">
      <c r="AA31" s="25"/>
      <c r="AB31" s="25"/>
      <c r="AC31" s="25"/>
      <c r="AD31" s="25" t="str">
        <v>WACC</v>
      </c>
      <c r="AE31" s="25">
        <v>0</v>
      </c>
      <c r="AF31" s="25">
        <v>5.0000000000000001E-3</v>
      </c>
      <c r="AG31" s="25">
        <v>0</v>
      </c>
      <c r="AH31" s="25">
        <v>230.36</v>
      </c>
      <c r="AI31" s="25">
        <v>352.95</v>
      </c>
      <c r="AJ31" s="25">
        <v>-53.919999999999959</v>
      </c>
      <c r="AK31" s="25">
        <v>68.670000000000016</v>
      </c>
      <c r="AL31" s="25">
        <v>68.670000000000016</v>
      </c>
      <c r="AM31" s="25"/>
      <c r="AN31" s="25"/>
      <c r="AO31" s="25"/>
      <c r="AP31" s="25"/>
      <c r="AQ31" s="25"/>
    </row>
    <row r="32" spans="18:43" ht="15" customHeight="1">
      <c r="R32" s="373" t="s">
        <v>607</v>
      </c>
      <c r="S32" s="32"/>
      <c r="T32" s="32"/>
      <c r="U32" s="32"/>
      <c r="V32" s="373" t="s">
        <v>608</v>
      </c>
      <c r="W32" s="32"/>
      <c r="X32" s="32"/>
      <c r="Y32" s="32"/>
      <c r="Z32" s="37" t="s">
        <v>609</v>
      </c>
      <c r="AA32" s="25"/>
      <c r="AB32" s="25"/>
      <c r="AC32" s="25"/>
      <c r="AD32" s="25" t="str">
        <v>COGS Margin</v>
      </c>
      <c r="AE32" s="25">
        <v>0</v>
      </c>
      <c r="AF32" s="25">
        <v>0.02</v>
      </c>
      <c r="AG32" s="25">
        <v>0</v>
      </c>
      <c r="AH32" s="25">
        <v>215.51</v>
      </c>
      <c r="AI32" s="25">
        <v>353.04</v>
      </c>
      <c r="AJ32" s="25">
        <v>-68.769999999999982</v>
      </c>
      <c r="AK32" s="25">
        <v>68.760000000000048</v>
      </c>
      <c r="AL32" s="25">
        <v>68.769999999999982</v>
      </c>
      <c r="AM32" s="25"/>
      <c r="AN32" s="25"/>
      <c r="AO32" s="25"/>
      <c r="AP32" s="25"/>
      <c r="AQ32" s="25"/>
    </row>
    <row r="33" spans="18:43" ht="15" customHeight="1">
      <c r="R33" s="33" t="s">
        <v>610</v>
      </c>
      <c r="T33" s="486">
        <f ca="1">+FCFF!AL211</f>
        <v>354.98329600872029</v>
      </c>
      <c r="V33" s="33" t="s">
        <v>611</v>
      </c>
      <c r="W33" s="97"/>
      <c r="X33" s="506">
        <v>284.27999999999997</v>
      </c>
      <c r="Z33" s="23" t="s">
        <v>612</v>
      </c>
      <c r="AA33" s="25"/>
      <c r="AB33" s="25"/>
      <c r="AC33" s="25"/>
      <c r="AD33" s="25" t="str">
        <v>EBITDA Exit</v>
      </c>
      <c r="AE33" s="25">
        <v>0</v>
      </c>
      <c r="AF33" s="25">
        <v>5</v>
      </c>
      <c r="AG33" s="25">
        <v>0</v>
      </c>
      <c r="AH33" s="25">
        <v>167.83</v>
      </c>
      <c r="AI33" s="25">
        <v>398.19</v>
      </c>
      <c r="AJ33" s="25">
        <v>-116.44999999999996</v>
      </c>
      <c r="AK33" s="25">
        <v>113.91000000000003</v>
      </c>
      <c r="AL33" s="25">
        <v>116.44999999999996</v>
      </c>
      <c r="AM33" s="25"/>
      <c r="AN33" s="25"/>
      <c r="AO33" s="25"/>
      <c r="AP33" s="25"/>
      <c r="AQ33" s="25"/>
    </row>
    <row r="34" spans="18:43" ht="15" customHeight="1">
      <c r="R34" s="33" t="s">
        <v>613</v>
      </c>
      <c r="T34" s="486">
        <f ca="1">+FCFF!Z211</f>
        <v>271.50078215565844</v>
      </c>
      <c r="V34" s="105" t="s">
        <v>614</v>
      </c>
      <c r="W34" s="97"/>
      <c r="X34" s="506">
        <v>283.01</v>
      </c>
      <c r="AA34" s="25"/>
      <c r="AB34" s="25"/>
      <c r="AC34" s="25"/>
      <c r="AD34" s="25" t="str">
        <v>Revenue Exit</v>
      </c>
      <c r="AE34" s="25">
        <v>0</v>
      </c>
      <c r="AF34" s="25">
        <v>1</v>
      </c>
      <c r="AG34" s="25">
        <v>0</v>
      </c>
      <c r="AH34" s="25">
        <v>121.26</v>
      </c>
      <c r="AI34" s="25">
        <v>439.01</v>
      </c>
      <c r="AJ34" s="25">
        <v>-163.01999999999998</v>
      </c>
      <c r="AK34" s="25">
        <v>154.73000000000002</v>
      </c>
      <c r="AL34" s="25">
        <v>163.01999999999998</v>
      </c>
      <c r="AM34" s="25"/>
      <c r="AN34" s="25"/>
      <c r="AO34" s="25"/>
      <c r="AP34" s="25"/>
      <c r="AQ34" s="25"/>
    </row>
    <row r="35" spans="18:43" ht="15" customHeight="1">
      <c r="R35" s="33" t="s">
        <v>615</v>
      </c>
      <c r="T35" s="486">
        <f ca="1">FCFF!AF211</f>
        <v>203.73624647334353</v>
      </c>
      <c r="V35" s="33" t="s">
        <v>616</v>
      </c>
      <c r="X35" s="507">
        <v>278.24</v>
      </c>
      <c r="AA35" s="25"/>
      <c r="AB35" s="25"/>
      <c r="AC35" s="25"/>
      <c r="AD35" s="25"/>
      <c r="AE35" s="25"/>
      <c r="AF35" s="25"/>
      <c r="AG35" s="25"/>
      <c r="AH35" s="25"/>
      <c r="AI35" s="25"/>
      <c r="AJ35" s="25"/>
      <c r="AK35" s="25"/>
      <c r="AL35" s="25"/>
      <c r="AM35" s="25"/>
      <c r="AN35" s="25"/>
      <c r="AO35" s="25"/>
      <c r="AP35" s="25"/>
      <c r="AQ35" s="25"/>
    </row>
    <row r="36" spans="18:43" ht="15" customHeight="1">
      <c r="AA36" s="25"/>
      <c r="AB36" s="25"/>
      <c r="AC36" s="25"/>
      <c r="AD36" s="25"/>
      <c r="AE36" s="25"/>
      <c r="AF36" s="25"/>
      <c r="AG36" s="25"/>
      <c r="AH36" s="25"/>
      <c r="AI36" s="25"/>
      <c r="AJ36" s="25"/>
      <c r="AK36" s="25"/>
      <c r="AL36" s="25"/>
      <c r="AM36" s="25"/>
      <c r="AN36" s="25"/>
      <c r="AO36" s="25"/>
      <c r="AP36" s="25"/>
      <c r="AQ36" s="25"/>
    </row>
    <row r="37" spans="18:43" ht="15" customHeight="1">
      <c r="R37" s="32"/>
      <c r="S37" s="32"/>
      <c r="T37" s="487" t="s">
        <v>617</v>
      </c>
      <c r="U37" s="487" t="s">
        <v>618</v>
      </c>
      <c r="V37" s="488" t="s">
        <v>619</v>
      </c>
      <c r="W37" s="488" t="s">
        <v>620</v>
      </c>
      <c r="X37" s="487" t="s">
        <v>621</v>
      </c>
      <c r="Y37" s="487" t="s">
        <v>622</v>
      </c>
      <c r="Z37" s="487" t="s">
        <v>623</v>
      </c>
      <c r="AA37" s="25"/>
      <c r="AB37" s="25"/>
      <c r="AC37" s="25"/>
      <c r="AD37" s="25"/>
      <c r="AE37" s="25"/>
      <c r="AF37" s="25"/>
      <c r="AG37" s="25"/>
      <c r="AH37" s="25"/>
      <c r="AI37" s="25"/>
      <c r="AJ37" s="25"/>
      <c r="AK37" s="25"/>
      <c r="AL37" s="25"/>
      <c r="AM37" s="25"/>
      <c r="AN37" s="25"/>
      <c r="AO37" s="25"/>
      <c r="AP37" s="25"/>
      <c r="AQ37" s="25"/>
    </row>
    <row r="38" spans="18:43" ht="15" customHeight="1">
      <c r="R38" s="97" t="s">
        <v>624</v>
      </c>
      <c r="S38" s="97"/>
      <c r="T38" s="491">
        <v>0.01</v>
      </c>
      <c r="U38" s="489"/>
      <c r="V38" s="506">
        <v>240.59</v>
      </c>
      <c r="W38" s="506">
        <v>327.96</v>
      </c>
      <c r="X38" s="23" cm="1">
        <f t="array" ref="X38">+V38-_xlfn.IFS($Z$33="EBITDA",$X$34,$Z$33="Revenue",$X$35,$Z$33="Gordon",$X$33)</f>
        <v>-43.689999999999969</v>
      </c>
      <c r="Y38" s="23" cm="1">
        <f t="array" ref="Y38">+W38-_xlfn.IFS($Z$33="EBITDA",$X$34,$Z$33="Revenue",$X$35,$Z$33="Gordon",$X$33)</f>
        <v>43.680000000000007</v>
      </c>
      <c r="Z38" s="23">
        <f>MAX(ABS(X38),ABS(Y38))</f>
        <v>43.689999999999969</v>
      </c>
      <c r="AA38" s="25"/>
      <c r="AB38" s="25"/>
      <c r="AC38" s="25"/>
      <c r="AD38" s="25"/>
      <c r="AE38" s="25"/>
      <c r="AF38" s="25"/>
      <c r="AG38" s="25"/>
      <c r="AH38" s="25"/>
      <c r="AI38" s="25"/>
      <c r="AJ38" s="25"/>
      <c r="AK38" s="25"/>
      <c r="AL38" s="25"/>
      <c r="AM38" s="25"/>
      <c r="AN38" s="25"/>
      <c r="AO38" s="25"/>
      <c r="AP38" s="25"/>
      <c r="AQ38" s="25"/>
    </row>
    <row r="39" spans="18:43" ht="15" customHeight="1">
      <c r="R39" s="97" t="s">
        <v>625</v>
      </c>
      <c r="S39" s="340"/>
      <c r="T39" s="491">
        <v>0.02</v>
      </c>
      <c r="U39" s="489"/>
      <c r="V39" s="506">
        <v>215.51</v>
      </c>
      <c r="W39" s="506">
        <v>353.04</v>
      </c>
      <c r="X39" s="23" cm="1">
        <f t="array" ref="X39">+V39-_xlfn.IFS($Z$33="EBITDA",$X$34,$Z$33="Revenue",$X$35,$Z$33="Gordon",$X$33)</f>
        <v>-68.769999999999982</v>
      </c>
      <c r="Y39" s="23" cm="1">
        <f t="array" ref="Y39">+W39-_xlfn.IFS($Z$33="EBITDA",$X$34,$Z$33="Revenue",$X$35,$Z$33="Gordon",$X$33)</f>
        <v>68.760000000000048</v>
      </c>
      <c r="Z39" s="23">
        <f>MAX(ABS(X39),ABS(Y39))</f>
        <v>68.769999999999982</v>
      </c>
      <c r="AA39" s="25"/>
      <c r="AB39" s="25"/>
      <c r="AC39" s="25"/>
      <c r="AD39" s="25"/>
      <c r="AE39" s="25"/>
      <c r="AF39" s="25"/>
      <c r="AG39" s="25"/>
      <c r="AH39" s="25"/>
      <c r="AI39" s="25"/>
      <c r="AJ39" s="25"/>
      <c r="AK39" s="25"/>
      <c r="AL39" s="25"/>
      <c r="AM39" s="25"/>
      <c r="AN39" s="25"/>
      <c r="AO39" s="25"/>
      <c r="AP39" s="25"/>
      <c r="AQ39" s="25"/>
    </row>
    <row r="40" spans="18:43" ht="15" customHeight="1">
      <c r="R40" s="97" t="s">
        <v>626</v>
      </c>
      <c r="S40" s="97"/>
      <c r="T40" s="491">
        <v>0.01</v>
      </c>
      <c r="U40" s="489"/>
      <c r="V40" s="507">
        <v>248.5</v>
      </c>
      <c r="W40" s="507">
        <v>320.05</v>
      </c>
      <c r="X40" s="23" cm="1">
        <f t="array" ref="X40">+V40-_xlfn.IFS($Z$33="EBITDA",$X$34,$Z$33="Revenue",$X$35,$Z$33="Gordon",$X$33)</f>
        <v>-35.779999999999973</v>
      </c>
      <c r="Y40" s="23" cm="1">
        <f t="array" ref="Y40">+W40-_xlfn.IFS($Z$33="EBITDA",$X$34,$Z$33="Revenue",$X$35,$Z$33="Gordon",$X$33)</f>
        <v>35.770000000000039</v>
      </c>
      <c r="Z40" s="23">
        <f t="shared" ref="Z40:Z44" si="0">MAX(ABS(X40),ABS(Y40))</f>
        <v>35.779999999999973</v>
      </c>
      <c r="AA40" s="25"/>
      <c r="AB40" s="25"/>
      <c r="AC40" s="25"/>
      <c r="AD40" s="25"/>
      <c r="AE40" s="25"/>
      <c r="AF40" s="25"/>
      <c r="AG40" s="25"/>
      <c r="AH40" s="25"/>
      <c r="AI40" s="25"/>
      <c r="AJ40" s="25"/>
      <c r="AK40" s="25"/>
      <c r="AL40" s="25"/>
      <c r="AM40" s="25"/>
      <c r="AN40" s="25"/>
      <c r="AO40" s="25"/>
      <c r="AP40" s="25"/>
      <c r="AQ40" s="25"/>
    </row>
    <row r="41" spans="18:43" ht="15" customHeight="1">
      <c r="R41" s="97" t="s">
        <v>441</v>
      </c>
      <c r="S41" s="97"/>
      <c r="T41" s="491">
        <v>5.0000000000000001E-3</v>
      </c>
      <c r="U41" s="489"/>
      <c r="V41" s="506">
        <v>230.36</v>
      </c>
      <c r="W41" s="507">
        <v>352.95</v>
      </c>
      <c r="X41" s="23" cm="1">
        <f t="array" ref="X41">+V41-_xlfn.IFS($Z$33="EBITDA",$X$34,$Z$33="Revenue",$X$35,$Z$33="Gordon",$X$33)</f>
        <v>-53.919999999999959</v>
      </c>
      <c r="Y41" s="23" cm="1">
        <f t="array" ref="Y41">+W41-_xlfn.IFS($Z$33="EBITDA",$X$34,$Z$33="Revenue",$X$35,$Z$33="Gordon",$X$33)</f>
        <v>68.670000000000016</v>
      </c>
      <c r="Z41" s="23">
        <f t="shared" si="0"/>
        <v>68.670000000000016</v>
      </c>
      <c r="AA41" s="25"/>
      <c r="AB41" s="25"/>
      <c r="AC41" s="25"/>
      <c r="AD41" s="25"/>
      <c r="AE41" s="25"/>
      <c r="AF41" s="25"/>
      <c r="AG41" s="25"/>
      <c r="AH41" s="25"/>
      <c r="AI41" s="25"/>
      <c r="AJ41" s="25"/>
      <c r="AK41" s="25"/>
      <c r="AL41" s="25"/>
      <c r="AM41" s="25"/>
      <c r="AN41" s="25"/>
      <c r="AO41" s="25"/>
      <c r="AP41" s="25"/>
      <c r="AQ41" s="25"/>
    </row>
    <row r="42" spans="18:43" ht="15" customHeight="1">
      <c r="R42" s="97" t="s">
        <v>627</v>
      </c>
      <c r="S42" s="97"/>
      <c r="T42" s="491">
        <v>5.0000000000000001E-3</v>
      </c>
      <c r="U42" s="489"/>
      <c r="V42" s="667">
        <v>250.32</v>
      </c>
      <c r="W42" s="666">
        <v>326.77999999999997</v>
      </c>
      <c r="X42" s="23" cm="1">
        <f t="array" ref="X42">+V42-_xlfn.IFS($Z$33="EBITDA",$X$34,$Z$33="Revenue",$X$35,$Z$33="Gordon",$X$33)</f>
        <v>-33.95999999999998</v>
      </c>
      <c r="Y42" s="23" cm="1">
        <f t="array" ref="Y42">+W42-_xlfn.IFS($Z$33="EBITDA",$X$34,$Z$33="Revenue",$X$35,$Z$33="Gordon",$X$33)</f>
        <v>42.5</v>
      </c>
      <c r="Z42" s="23">
        <f t="shared" si="0"/>
        <v>42.5</v>
      </c>
      <c r="AA42" s="25"/>
      <c r="AB42" s="25"/>
      <c r="AC42" s="25"/>
      <c r="AD42" s="25"/>
      <c r="AE42" s="25"/>
      <c r="AF42" s="25"/>
      <c r="AG42" s="25"/>
      <c r="AH42" s="25"/>
      <c r="AI42" s="25"/>
      <c r="AJ42" s="25"/>
      <c r="AK42" s="25"/>
      <c r="AL42" s="25"/>
      <c r="AM42" s="25"/>
      <c r="AN42" s="25"/>
      <c r="AO42" s="25"/>
      <c r="AP42" s="25"/>
      <c r="AQ42" s="25"/>
    </row>
    <row r="43" spans="18:43" ht="15" customHeight="1">
      <c r="R43" s="97" t="s">
        <v>572</v>
      </c>
      <c r="S43" s="97"/>
      <c r="T43" s="492">
        <v>5</v>
      </c>
      <c r="U43" s="490"/>
      <c r="V43" s="507">
        <v>167.83</v>
      </c>
      <c r="W43" s="507">
        <v>398.19</v>
      </c>
      <c r="X43" s="23" cm="1">
        <f t="array" ref="X43">+V43-_xlfn.IFS($Z$33="EBITDA",$X$34,$Z$33="Revenue",$X$35,$Z$33="Gordon",$X$33)</f>
        <v>-116.44999999999996</v>
      </c>
      <c r="Y43" s="23" cm="1">
        <f t="array" ref="Y43">+W43-_xlfn.IFS($Z$33="EBITDA",$X$34,$Z$33="Revenue",$X$35,$Z$33="Gordon",$X$33)</f>
        <v>113.91000000000003</v>
      </c>
      <c r="Z43" s="23">
        <f t="shared" si="0"/>
        <v>116.44999999999996</v>
      </c>
      <c r="AA43" s="25"/>
      <c r="AB43" s="25"/>
      <c r="AC43" s="25"/>
      <c r="AD43" s="25"/>
      <c r="AE43" s="25"/>
      <c r="AF43" s="25"/>
      <c r="AG43" s="25"/>
      <c r="AH43" s="25"/>
      <c r="AI43" s="25"/>
      <c r="AJ43" s="25"/>
      <c r="AK43" s="25"/>
      <c r="AL43" s="25"/>
      <c r="AM43" s="25"/>
      <c r="AN43" s="25"/>
      <c r="AO43" s="25"/>
      <c r="AP43" s="25"/>
      <c r="AQ43" s="25"/>
    </row>
    <row r="44" spans="18:43" ht="15" customHeight="1">
      <c r="R44" s="97" t="s">
        <v>628</v>
      </c>
      <c r="S44" s="97"/>
      <c r="T44" s="492">
        <v>1</v>
      </c>
      <c r="U44" s="490"/>
      <c r="V44" s="506">
        <v>121.26</v>
      </c>
      <c r="W44" s="507">
        <v>439.01</v>
      </c>
      <c r="X44" s="23" cm="1">
        <f t="array" ref="X44">+V44-_xlfn.IFS($Z$33="EBITDA",$X$34,$Z$33="Revenue",$X$35,$Z$33="Gordon",$X$33)</f>
        <v>-163.01999999999998</v>
      </c>
      <c r="Y44" s="23" cm="1">
        <f t="array" ref="Y44">+W44-_xlfn.IFS($Z$33="EBITDA",$X$34,$Z$33="Revenue",$X$35,$Z$33="Gordon",$X$33)</f>
        <v>154.73000000000002</v>
      </c>
      <c r="Z44" s="23">
        <f t="shared" si="0"/>
        <v>163.01999999999998</v>
      </c>
      <c r="AA44" s="25"/>
      <c r="AB44" s="25"/>
      <c r="AC44" s="25"/>
      <c r="AD44" s="25"/>
      <c r="AE44" s="25"/>
      <c r="AF44" s="25"/>
      <c r="AG44" s="25"/>
      <c r="AH44" s="25"/>
      <c r="AI44" s="25"/>
      <c r="AJ44" s="25"/>
      <c r="AK44" s="25"/>
      <c r="AL44" s="25"/>
      <c r="AM44" s="25"/>
      <c r="AN44" s="25"/>
      <c r="AO44" s="25"/>
      <c r="AP44" s="25"/>
      <c r="AQ44" s="25"/>
    </row>
    <row r="45" spans="18:43" ht="15" customHeight="1">
      <c r="AA45" s="25"/>
      <c r="AB45" s="25"/>
      <c r="AC45" s="25"/>
      <c r="AD45" s="25"/>
      <c r="AE45" s="25"/>
      <c r="AF45" s="25"/>
      <c r="AG45" s="25"/>
      <c r="AH45" s="25"/>
      <c r="AI45" s="25"/>
      <c r="AJ45" s="25"/>
      <c r="AK45" s="25"/>
      <c r="AL45" s="25"/>
      <c r="AM45" s="25"/>
      <c r="AN45" s="25"/>
      <c r="AO45" s="25"/>
      <c r="AP45" s="25"/>
      <c r="AQ45" s="25"/>
    </row>
    <row r="46" spans="18:43" ht="15" customHeight="1">
      <c r="T46"/>
      <c r="U46"/>
      <c r="V46"/>
      <c r="W46"/>
      <c r="X46"/>
      <c r="AA46" s="25"/>
      <c r="AB46" s="25"/>
      <c r="AC46" s="25"/>
      <c r="AD46" s="25"/>
      <c r="AE46" s="25"/>
      <c r="AF46" s="25"/>
      <c r="AG46" s="25"/>
      <c r="AH46" s="25"/>
      <c r="AI46" s="25"/>
      <c r="AJ46" s="25"/>
      <c r="AK46" s="25"/>
      <c r="AL46" s="25"/>
      <c r="AM46" s="25"/>
      <c r="AN46" s="25"/>
      <c r="AO46" s="25"/>
      <c r="AP46" s="25"/>
      <c r="AQ46" s="25"/>
    </row>
    <row r="47" spans="18:43" ht="15" customHeight="1">
      <c r="T47"/>
      <c r="U47"/>
      <c r="V47"/>
      <c r="W47"/>
      <c r="X47"/>
      <c r="AA47" s="25"/>
      <c r="AB47" s="25"/>
      <c r="AC47" s="25"/>
      <c r="AD47" s="25"/>
      <c r="AE47" s="25"/>
      <c r="AF47" s="25"/>
      <c r="AG47" s="25"/>
      <c r="AH47" s="25"/>
      <c r="AI47" s="25"/>
      <c r="AJ47" s="25"/>
      <c r="AK47" s="25"/>
      <c r="AL47" s="25"/>
      <c r="AM47" s="25"/>
      <c r="AN47" s="25"/>
      <c r="AO47" s="25"/>
      <c r="AP47" s="25"/>
      <c r="AQ47" s="25"/>
    </row>
    <row r="48" spans="18:43" ht="15" customHeight="1">
      <c r="T48"/>
      <c r="U48"/>
      <c r="V48"/>
      <c r="W48"/>
      <c r="X48"/>
      <c r="AA48" s="25"/>
      <c r="AB48" s="25"/>
      <c r="AC48" s="25"/>
      <c r="AD48" s="25"/>
      <c r="AE48" s="25"/>
      <c r="AF48" s="25"/>
      <c r="AG48" s="25"/>
      <c r="AH48" s="25"/>
      <c r="AI48" s="25"/>
      <c r="AJ48" s="25"/>
      <c r="AK48" s="25"/>
      <c r="AL48" s="25"/>
      <c r="AM48" s="25"/>
      <c r="AN48" s="25"/>
      <c r="AO48" s="25"/>
      <c r="AP48" s="25"/>
      <c r="AQ48" s="25"/>
    </row>
    <row r="49" spans="20:43" ht="15" customHeight="1">
      <c r="T49"/>
      <c r="U49"/>
      <c r="V49"/>
      <c r="W49"/>
      <c r="X49"/>
      <c r="AA49" s="25"/>
      <c r="AB49" s="25"/>
      <c r="AC49" s="25"/>
      <c r="AD49" s="25"/>
      <c r="AE49" s="25"/>
      <c r="AF49" s="25"/>
      <c r="AG49" s="25"/>
      <c r="AH49" s="25"/>
      <c r="AI49" s="25"/>
      <c r="AJ49" s="25"/>
      <c r="AK49" s="25"/>
      <c r="AL49" s="25"/>
      <c r="AM49" s="25"/>
      <c r="AN49" s="25"/>
      <c r="AO49" s="25"/>
      <c r="AP49" s="25"/>
      <c r="AQ49" s="25"/>
    </row>
    <row r="50" spans="20:43" ht="15" customHeight="1">
      <c r="T50"/>
      <c r="U50"/>
      <c r="V50"/>
      <c r="W50"/>
      <c r="X50"/>
      <c r="AA50" s="25"/>
      <c r="AB50" s="25"/>
      <c r="AC50" s="25"/>
      <c r="AD50" s="25"/>
      <c r="AE50" s="25"/>
      <c r="AF50" s="25"/>
      <c r="AG50" s="25"/>
      <c r="AH50" s="25"/>
      <c r="AI50" s="25"/>
      <c r="AJ50" s="25"/>
      <c r="AK50" s="25"/>
      <c r="AL50" s="25"/>
      <c r="AM50" s="25"/>
      <c r="AN50" s="25"/>
      <c r="AO50" s="25"/>
      <c r="AP50" s="25"/>
      <c r="AQ50" s="25"/>
    </row>
    <row r="51" spans="20:43" ht="15" customHeight="1">
      <c r="T51"/>
      <c r="U51"/>
      <c r="V51"/>
      <c r="W51"/>
      <c r="X51"/>
      <c r="AA51" s="25"/>
      <c r="AB51" s="25"/>
      <c r="AC51" s="25"/>
      <c r="AD51" s="25"/>
      <c r="AE51" s="25"/>
      <c r="AF51" s="25"/>
      <c r="AG51" s="25"/>
      <c r="AH51" s="25"/>
      <c r="AI51" s="25"/>
      <c r="AJ51" s="25"/>
      <c r="AK51" s="25"/>
      <c r="AL51" s="25"/>
      <c r="AM51" s="25"/>
      <c r="AN51" s="25"/>
      <c r="AO51" s="25"/>
      <c r="AP51" s="25"/>
      <c r="AQ51" s="25"/>
    </row>
    <row r="52" spans="20:43" ht="15" customHeight="1">
      <c r="T52"/>
      <c r="U52"/>
      <c r="V52"/>
      <c r="W52"/>
      <c r="X52"/>
      <c r="AA52" s="25"/>
      <c r="AB52" s="25"/>
      <c r="AC52" s="25"/>
      <c r="AD52" s="25"/>
      <c r="AE52" s="25"/>
      <c r="AF52" s="25"/>
      <c r="AG52" s="25"/>
      <c r="AH52" s="25"/>
      <c r="AI52" s="25"/>
      <c r="AJ52" s="25"/>
      <c r="AK52" s="25"/>
      <c r="AL52" s="25"/>
      <c r="AM52" s="25"/>
      <c r="AN52" s="25"/>
      <c r="AO52" s="25"/>
      <c r="AP52" s="25"/>
      <c r="AQ52" s="25"/>
    </row>
    <row r="53" spans="20:43" ht="15" customHeight="1">
      <c r="AA53" s="25"/>
      <c r="AB53" s="25"/>
      <c r="AC53" s="25"/>
      <c r="AD53" s="25"/>
      <c r="AE53" s="25"/>
      <c r="AF53" s="25"/>
      <c r="AG53" s="25"/>
      <c r="AH53" s="25"/>
      <c r="AI53" s="25"/>
      <c r="AJ53" s="25"/>
      <c r="AK53" s="25"/>
      <c r="AL53" s="25"/>
      <c r="AM53" s="25"/>
      <c r="AN53" s="25"/>
      <c r="AO53" s="25"/>
      <c r="AP53" s="25"/>
      <c r="AQ53" s="25"/>
    </row>
    <row r="54" spans="20:43" ht="15" customHeight="1">
      <c r="AA54" s="25"/>
      <c r="AB54" s="25"/>
      <c r="AC54" s="25"/>
      <c r="AD54" s="25"/>
      <c r="AE54" s="25"/>
      <c r="AF54" s="25"/>
      <c r="AG54" s="25"/>
      <c r="AH54" s="25"/>
      <c r="AI54" s="25"/>
      <c r="AJ54" s="25"/>
      <c r="AK54" s="25"/>
      <c r="AL54" s="25"/>
      <c r="AM54" s="25"/>
      <c r="AN54" s="25"/>
      <c r="AO54" s="25"/>
      <c r="AP54" s="25"/>
      <c r="AQ54" s="25"/>
    </row>
  </sheetData>
  <dataValidations count="1">
    <dataValidation type="list" allowBlank="1" showInputMessage="1" showErrorMessage="1" sqref="Z33" xr:uid="{CA918BB2-7643-46AD-A5C9-F8292C1ABE7A}">
      <formula1>"Gordon, EBITDA, Revenue"</formula1>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tabColor theme="4" tint="-0.249977111117893"/>
  </sheetPr>
  <dimension ref="A1:AX65"/>
  <sheetViews>
    <sheetView showGridLines="0" topLeftCell="A46" zoomScale="70" zoomScaleNormal="70" workbookViewId="0">
      <selection activeCell="AD30" sqref="AD30"/>
    </sheetView>
  </sheetViews>
  <sheetFormatPr defaultColWidth="9" defaultRowHeight="14.25" customHeight="1" outlineLevelCol="1"/>
  <cols>
    <col min="1" max="1" width="2.125" style="97" customWidth="1"/>
    <col min="2" max="2" width="50.625" style="97" customWidth="1"/>
    <col min="3" max="3" width="3.125" style="23" customWidth="1"/>
    <col min="4" max="7" width="9.625" style="97" customWidth="1" outlineLevel="1"/>
    <col min="8" max="8" width="11.625" style="97" customWidth="1"/>
    <col min="9" max="9" width="1.625" style="23" customWidth="1"/>
    <col min="10" max="13" width="9.625" style="97" customWidth="1" outlineLevel="1"/>
    <col min="14" max="14" width="11.625" style="97" customWidth="1"/>
    <col min="15" max="15" width="1.625" style="23" customWidth="1"/>
    <col min="16" max="19" width="9.625" style="97" customWidth="1" outlineLevel="1"/>
    <col min="20" max="20" width="11.625" style="97" customWidth="1"/>
    <col min="21" max="21" width="1.625" style="23" customWidth="1"/>
    <col min="22" max="25" width="9.625" style="97" customWidth="1" outlineLevel="1"/>
    <col min="26" max="26" width="11.625" style="97" customWidth="1"/>
    <col min="27" max="27" width="1.625" style="23" customWidth="1"/>
    <col min="28" max="31" width="9.625" style="97" customWidth="1" outlineLevel="1"/>
    <col min="32" max="32" width="11.625" style="97" customWidth="1"/>
    <col min="33" max="33" width="1.625" style="23" customWidth="1"/>
    <col min="34" max="37" width="9.625" style="97" customWidth="1" outlineLevel="1"/>
    <col min="38" max="38" width="11.625" style="97" customWidth="1"/>
    <col min="39" max="39" width="1.625" style="23" customWidth="1"/>
    <col min="40" max="43" width="9.625" style="97" customWidth="1" outlineLevel="1"/>
    <col min="44" max="44" width="11.625" style="97" customWidth="1"/>
    <col min="45" max="45" width="1.625" style="23" customWidth="1"/>
    <col min="46" max="46" width="11.625" style="97" customWidth="1"/>
    <col min="47" max="47" width="1.625" style="23" customWidth="1"/>
    <col min="48" max="48" width="11.625" style="105" customWidth="1"/>
    <col min="49" max="49" width="1.625" style="23" customWidth="1"/>
    <col min="50" max="50" width="11.625" style="97" customWidth="1"/>
    <col min="51" max="51" width="1.625" style="97" customWidth="1"/>
    <col min="52" max="16384" width="9" style="97"/>
  </cols>
  <sheetData>
    <row r="1" spans="2:50" s="468" customFormat="1" ht="15" customHeight="1"/>
    <row r="2" spans="2:50" s="468" customFormat="1" ht="15" customHeight="1"/>
    <row r="3" spans="2:50" s="468" customFormat="1" ht="15" customHeight="1"/>
    <row r="4" spans="2:50" s="468" customFormat="1" ht="15" customHeight="1"/>
    <row r="5" spans="2:50" s="288" customFormat="1" ht="4.3499999999999996" customHeight="1">
      <c r="C5" s="36"/>
      <c r="I5" s="36"/>
      <c r="O5" s="36"/>
      <c r="U5" s="36"/>
      <c r="AA5" s="36"/>
      <c r="AG5" s="36"/>
      <c r="AM5" s="36"/>
      <c r="AS5" s="36"/>
      <c r="AU5" s="36"/>
      <c r="AV5" s="289"/>
      <c r="AW5" s="36"/>
    </row>
    <row r="7" spans="2:50" s="41" customFormat="1" ht="15" customHeight="1">
      <c r="B7" s="161" t="s">
        <v>469</v>
      </c>
      <c r="C7" s="18"/>
      <c r="D7" s="202">
        <v>2020</v>
      </c>
      <c r="E7" s="202">
        <v>2020</v>
      </c>
      <c r="F7" s="202">
        <v>2020</v>
      </c>
      <c r="G7" s="202">
        <v>2020</v>
      </c>
      <c r="H7" s="202">
        <v>2020</v>
      </c>
      <c r="I7" s="18"/>
      <c r="J7" s="202">
        <v>2021</v>
      </c>
      <c r="K7" s="202">
        <v>2021</v>
      </c>
      <c r="L7" s="202">
        <v>2021</v>
      </c>
      <c r="M7" s="202">
        <v>2021</v>
      </c>
      <c r="N7" s="202">
        <v>2021</v>
      </c>
      <c r="O7" s="169"/>
      <c r="P7" s="202">
        <v>2022</v>
      </c>
      <c r="Q7" s="202">
        <v>2022</v>
      </c>
      <c r="R7" s="202">
        <v>2022</v>
      </c>
      <c r="S7" s="202">
        <v>2022</v>
      </c>
      <c r="T7" s="202">
        <v>2022</v>
      </c>
      <c r="U7" s="169"/>
      <c r="V7" s="202">
        <v>2023</v>
      </c>
      <c r="W7" s="202">
        <v>2023</v>
      </c>
      <c r="X7" s="202">
        <v>2023</v>
      </c>
      <c r="Y7" s="202">
        <v>2023</v>
      </c>
      <c r="Z7" s="202">
        <v>2023</v>
      </c>
      <c r="AA7" s="170"/>
      <c r="AB7" s="202">
        <v>2024</v>
      </c>
      <c r="AC7" s="202">
        <v>2024</v>
      </c>
      <c r="AD7" s="202">
        <v>2024</v>
      </c>
      <c r="AE7" s="202">
        <v>2024</v>
      </c>
      <c r="AF7" s="202">
        <v>2024</v>
      </c>
      <c r="AG7" s="170"/>
      <c r="AH7" s="202">
        <v>2025</v>
      </c>
      <c r="AI7" s="202">
        <v>2025</v>
      </c>
      <c r="AJ7" s="203">
        <v>2025</v>
      </c>
      <c r="AK7" s="202">
        <v>2025</v>
      </c>
      <c r="AL7" s="202">
        <v>2025</v>
      </c>
      <c r="AM7" s="171"/>
      <c r="AN7" s="202">
        <v>2025</v>
      </c>
      <c r="AO7" s="202">
        <v>2025</v>
      </c>
      <c r="AP7" s="203">
        <v>2025</v>
      </c>
      <c r="AQ7" s="202">
        <v>2025</v>
      </c>
      <c r="AR7" s="202">
        <v>2025</v>
      </c>
      <c r="AS7" s="18"/>
      <c r="AT7" s="162"/>
      <c r="AU7" s="18"/>
      <c r="AV7" s="163"/>
      <c r="AW7" s="18"/>
      <c r="AX7" s="163"/>
    </row>
    <row r="8" spans="2:50" s="41" customFormat="1" ht="15" customHeight="1">
      <c r="B8" s="164"/>
      <c r="C8" s="18"/>
      <c r="D8" s="779">
        <v>2020</v>
      </c>
      <c r="E8" s="779"/>
      <c r="F8" s="779"/>
      <c r="G8" s="779"/>
      <c r="H8" s="779"/>
      <c r="I8" s="169"/>
      <c r="J8" s="779">
        <v>2021</v>
      </c>
      <c r="K8" s="779"/>
      <c r="L8" s="779"/>
      <c r="M8" s="779"/>
      <c r="N8" s="779"/>
      <c r="O8" s="169"/>
      <c r="P8" s="779">
        <v>2022</v>
      </c>
      <c r="Q8" s="779"/>
      <c r="R8" s="779"/>
      <c r="S8" s="779"/>
      <c r="T8" s="779"/>
      <c r="U8" s="169"/>
      <c r="V8" s="779">
        <v>2023</v>
      </c>
      <c r="W8" s="779"/>
      <c r="X8" s="779"/>
      <c r="Y8" s="779"/>
      <c r="Z8" s="779"/>
      <c r="AA8" s="169"/>
      <c r="AB8" s="779">
        <v>2024</v>
      </c>
      <c r="AC8" s="779"/>
      <c r="AD8" s="779"/>
      <c r="AE8" s="779"/>
      <c r="AF8" s="779"/>
      <c r="AG8" s="169"/>
      <c r="AH8" s="777">
        <v>2025</v>
      </c>
      <c r="AI8" s="777"/>
      <c r="AJ8" s="777"/>
      <c r="AK8" s="777"/>
      <c r="AL8" s="777"/>
      <c r="AM8" s="169"/>
      <c r="AN8" s="777">
        <v>2026</v>
      </c>
      <c r="AO8" s="777"/>
      <c r="AP8" s="777"/>
      <c r="AQ8" s="777"/>
      <c r="AR8" s="777"/>
      <c r="AS8" s="171"/>
      <c r="AT8" s="166">
        <v>2027</v>
      </c>
      <c r="AU8" s="167"/>
      <c r="AV8" s="166">
        <v>2028</v>
      </c>
      <c r="AW8" s="167"/>
      <c r="AX8" s="166">
        <v>2029</v>
      </c>
    </row>
    <row r="9" spans="2:50" s="41" customFormat="1" ht="14.25" customHeight="1">
      <c r="B9" s="164"/>
      <c r="C9" s="18"/>
      <c r="D9" s="168" t="s">
        <v>243</v>
      </c>
      <c r="E9" s="168" t="s">
        <v>244</v>
      </c>
      <c r="F9" s="168" t="s">
        <v>245</v>
      </c>
      <c r="G9" s="168" t="s">
        <v>246</v>
      </c>
      <c r="H9" s="168" t="s">
        <v>247</v>
      </c>
      <c r="I9" s="18"/>
      <c r="J9" s="168" t="s">
        <v>243</v>
      </c>
      <c r="K9" s="168" t="s">
        <v>244</v>
      </c>
      <c r="L9" s="168" t="s">
        <v>245</v>
      </c>
      <c r="M9" s="168" t="s">
        <v>246</v>
      </c>
      <c r="N9" s="168" t="s">
        <v>247</v>
      </c>
      <c r="O9" s="165"/>
      <c r="P9" s="168" t="s">
        <v>243</v>
      </c>
      <c r="Q9" s="168" t="s">
        <v>244</v>
      </c>
      <c r="R9" s="168" t="s">
        <v>245</v>
      </c>
      <c r="S9" s="168" t="s">
        <v>246</v>
      </c>
      <c r="T9" s="168" t="s">
        <v>247</v>
      </c>
      <c r="U9" s="165"/>
      <c r="V9" s="168" t="s">
        <v>243</v>
      </c>
      <c r="W9" s="168" t="s">
        <v>244</v>
      </c>
      <c r="X9" s="168" t="s">
        <v>245</v>
      </c>
      <c r="Y9" s="168" t="s">
        <v>246</v>
      </c>
      <c r="Z9" s="168" t="s">
        <v>247</v>
      </c>
      <c r="AA9" s="165"/>
      <c r="AB9" s="168" t="s">
        <v>243</v>
      </c>
      <c r="AC9" s="168" t="s">
        <v>244</v>
      </c>
      <c r="AD9" s="168" t="s">
        <v>245</v>
      </c>
      <c r="AE9" s="168" t="s">
        <v>246</v>
      </c>
      <c r="AF9" s="168" t="s">
        <v>247</v>
      </c>
      <c r="AG9" s="165"/>
      <c r="AH9" s="168" t="s">
        <v>243</v>
      </c>
      <c r="AI9" s="168" t="s">
        <v>244</v>
      </c>
      <c r="AJ9" s="168" t="s">
        <v>245</v>
      </c>
      <c r="AK9" s="168" t="s">
        <v>246</v>
      </c>
      <c r="AL9" s="168" t="s">
        <v>247</v>
      </c>
      <c r="AM9" s="165"/>
      <c r="AN9" s="168" t="s">
        <v>243</v>
      </c>
      <c r="AO9" s="168" t="s">
        <v>244</v>
      </c>
      <c r="AP9" s="168" t="s">
        <v>245</v>
      </c>
      <c r="AQ9" s="168" t="s">
        <v>246</v>
      </c>
      <c r="AR9" s="168" t="s">
        <v>247</v>
      </c>
      <c r="AS9" s="165"/>
      <c r="AT9" s="168" t="s">
        <v>247</v>
      </c>
      <c r="AU9" s="165"/>
      <c r="AV9" s="168" t="s">
        <v>247</v>
      </c>
      <c r="AW9" s="165"/>
      <c r="AX9" s="168" t="s">
        <v>247</v>
      </c>
    </row>
    <row r="10" spans="2:50" s="41" customFormat="1" ht="4.3499999999999996" customHeight="1">
      <c r="B10" s="176"/>
      <c r="C10" s="35"/>
      <c r="D10" s="177"/>
      <c r="E10" s="177"/>
      <c r="F10" s="177"/>
      <c r="G10" s="177"/>
      <c r="H10" s="177"/>
      <c r="I10" s="35"/>
      <c r="J10" s="177"/>
      <c r="K10" s="177"/>
      <c r="L10" s="177"/>
      <c r="M10" s="177"/>
      <c r="N10" s="177"/>
      <c r="O10" s="178"/>
      <c r="P10" s="177"/>
      <c r="Q10" s="177"/>
      <c r="R10" s="177"/>
      <c r="S10" s="177"/>
      <c r="T10" s="177"/>
      <c r="U10" s="178"/>
      <c r="V10" s="177"/>
      <c r="W10" s="177"/>
      <c r="X10" s="177"/>
      <c r="Y10" s="177"/>
      <c r="Z10" s="177"/>
      <c r="AA10" s="178"/>
      <c r="AB10" s="177"/>
      <c r="AC10" s="177"/>
      <c r="AD10" s="177"/>
      <c r="AE10" s="177"/>
      <c r="AF10" s="177"/>
      <c r="AG10" s="178"/>
      <c r="AH10" s="177"/>
      <c r="AI10" s="177"/>
      <c r="AJ10" s="177"/>
      <c r="AK10" s="177"/>
      <c r="AL10" s="179"/>
      <c r="AM10" s="180"/>
      <c r="AN10" s="179"/>
      <c r="AO10" s="179"/>
      <c r="AP10" s="179"/>
      <c r="AQ10" s="179"/>
      <c r="AR10" s="179"/>
      <c r="AS10" s="180"/>
      <c r="AT10" s="179"/>
      <c r="AU10" s="180"/>
      <c r="AV10" s="179"/>
      <c r="AW10" s="180"/>
      <c r="AX10" s="179"/>
    </row>
    <row r="11" spans="2:50" s="41" customFormat="1" ht="4.3499999999999996" customHeight="1">
      <c r="B11" s="172"/>
      <c r="C11" s="19"/>
      <c r="D11" s="173"/>
      <c r="E11" s="173"/>
      <c r="F11" s="173"/>
      <c r="G11" s="173"/>
      <c r="H11" s="173"/>
      <c r="I11" s="19"/>
      <c r="J11" s="173"/>
      <c r="K11" s="173"/>
      <c r="L11" s="173"/>
      <c r="M11" s="173"/>
      <c r="N11" s="173"/>
      <c r="O11" s="174"/>
      <c r="P11" s="173"/>
      <c r="Q11" s="173"/>
      <c r="R11" s="173"/>
      <c r="S11" s="173"/>
      <c r="T11" s="173"/>
      <c r="U11" s="174"/>
      <c r="V11" s="173"/>
      <c r="W11" s="173"/>
      <c r="X11" s="173"/>
      <c r="Y11" s="173"/>
      <c r="Z11" s="173"/>
      <c r="AA11" s="174"/>
      <c r="AB11" s="173"/>
      <c r="AC11" s="173"/>
      <c r="AD11" s="173"/>
      <c r="AE11" s="173"/>
      <c r="AF11" s="173"/>
      <c r="AG11" s="204"/>
      <c r="AH11" s="173"/>
      <c r="AI11" s="173"/>
      <c r="AJ11" s="173"/>
      <c r="AK11" s="173"/>
      <c r="AL11" s="175"/>
      <c r="AM11" s="34"/>
      <c r="AN11" s="175"/>
      <c r="AO11" s="175"/>
      <c r="AP11" s="175"/>
      <c r="AQ11" s="175"/>
      <c r="AR11" s="175"/>
      <c r="AS11" s="34"/>
      <c r="AT11" s="175"/>
      <c r="AU11" s="34"/>
      <c r="AV11" s="175"/>
      <c r="AW11" s="34"/>
      <c r="AX11" s="175"/>
    </row>
    <row r="12" spans="2:50" s="54" customFormat="1" ht="14.25" customHeight="1">
      <c r="B12" s="45" t="s">
        <v>629</v>
      </c>
      <c r="C12" s="23"/>
      <c r="D12" s="46"/>
      <c r="E12" s="46"/>
      <c r="F12" s="46"/>
      <c r="G12" s="46"/>
      <c r="H12" s="47"/>
      <c r="I12" s="48"/>
      <c r="J12" s="46"/>
      <c r="K12" s="46"/>
      <c r="L12" s="46"/>
      <c r="M12" s="46"/>
      <c r="N12" s="47"/>
      <c r="O12" s="47"/>
      <c r="P12" s="46"/>
      <c r="Q12" s="46"/>
      <c r="R12" s="46"/>
      <c r="S12" s="46"/>
      <c r="T12" s="47"/>
      <c r="U12" s="47"/>
      <c r="V12" s="46"/>
      <c r="W12" s="46"/>
      <c r="X12" s="46"/>
      <c r="Y12" s="46"/>
      <c r="Z12" s="47"/>
      <c r="AA12" s="47"/>
      <c r="AB12" s="46"/>
      <c r="AC12" s="46"/>
      <c r="AD12" s="46"/>
      <c r="AE12" s="46"/>
      <c r="AF12" s="47"/>
      <c r="AG12" s="49"/>
      <c r="AH12" s="46"/>
      <c r="AI12" s="46"/>
      <c r="AJ12" s="50"/>
      <c r="AK12" s="50"/>
      <c r="AL12" s="47"/>
      <c r="AM12" s="51"/>
      <c r="AN12" s="50"/>
      <c r="AO12" s="50"/>
      <c r="AP12" s="50"/>
      <c r="AQ12" s="50"/>
      <c r="AR12" s="47"/>
      <c r="AS12" s="51"/>
      <c r="AT12" s="52"/>
      <c r="AU12" s="53"/>
      <c r="AV12" s="52"/>
      <c r="AW12" s="53"/>
      <c r="AX12" s="52"/>
    </row>
    <row r="13" spans="2:50" s="54" customFormat="1" ht="14.25" customHeight="1">
      <c r="B13" s="56" t="s">
        <v>630</v>
      </c>
      <c r="C13" s="23"/>
      <c r="D13" s="50"/>
      <c r="E13" s="50"/>
      <c r="F13" s="50"/>
      <c r="G13" s="50"/>
      <c r="H13" s="52"/>
      <c r="I13" s="48"/>
      <c r="J13" s="50"/>
      <c r="K13" s="50"/>
      <c r="L13" s="50"/>
      <c r="M13" s="50"/>
      <c r="N13" s="52"/>
      <c r="O13" s="47"/>
      <c r="P13" s="50"/>
      <c r="Q13" s="50"/>
      <c r="R13" s="50"/>
      <c r="S13" s="50"/>
      <c r="T13" s="52"/>
      <c r="U13" s="47"/>
      <c r="V13" s="50"/>
      <c r="W13" s="50"/>
      <c r="X13" s="50"/>
      <c r="Y13" s="50"/>
      <c r="Z13" s="52"/>
      <c r="AA13" s="47"/>
      <c r="AB13" s="50"/>
      <c r="AC13" s="50"/>
      <c r="AD13" s="50"/>
      <c r="AE13" s="50"/>
      <c r="AF13" s="52"/>
      <c r="AG13" s="49"/>
      <c r="AH13" s="50"/>
      <c r="AI13" s="50"/>
      <c r="AJ13" s="50"/>
      <c r="AK13" s="50"/>
      <c r="AL13" s="52"/>
      <c r="AM13" s="51"/>
      <c r="AN13" s="50"/>
      <c r="AO13" s="50"/>
      <c r="AP13" s="50"/>
      <c r="AQ13" s="50"/>
      <c r="AR13" s="52"/>
      <c r="AS13" s="51"/>
      <c r="AT13" s="52"/>
      <c r="AU13" s="53"/>
      <c r="AV13" s="52"/>
      <c r="AW13" s="53"/>
      <c r="AX13" s="52"/>
    </row>
    <row r="14" spans="2:50" s="54" customFormat="1" ht="14.25" customHeight="1">
      <c r="B14" s="56" t="s">
        <v>631</v>
      </c>
      <c r="C14" s="23"/>
      <c r="D14" s="50"/>
      <c r="E14" s="50"/>
      <c r="F14" s="50"/>
      <c r="G14" s="50"/>
      <c r="H14" s="52"/>
      <c r="I14" s="48"/>
      <c r="J14" s="50"/>
      <c r="K14" s="50"/>
      <c r="L14" s="50"/>
      <c r="M14" s="50"/>
      <c r="N14" s="52"/>
      <c r="O14" s="47"/>
      <c r="P14" s="50"/>
      <c r="Q14" s="50"/>
      <c r="R14" s="50"/>
      <c r="S14" s="50"/>
      <c r="T14" s="52"/>
      <c r="U14" s="47"/>
      <c r="V14" s="50"/>
      <c r="W14" s="50"/>
      <c r="X14" s="50"/>
      <c r="Y14" s="50"/>
      <c r="Z14" s="52"/>
      <c r="AA14" s="47"/>
      <c r="AB14" s="50"/>
      <c r="AC14" s="50"/>
      <c r="AD14" s="50"/>
      <c r="AE14" s="50"/>
      <c r="AF14" s="52"/>
      <c r="AG14" s="49"/>
      <c r="AH14" s="50"/>
      <c r="AI14" s="50"/>
      <c r="AJ14" s="50"/>
      <c r="AK14" s="50"/>
      <c r="AL14" s="52"/>
      <c r="AM14" s="51"/>
      <c r="AN14" s="50"/>
      <c r="AO14" s="50"/>
      <c r="AP14" s="50"/>
      <c r="AQ14" s="50"/>
      <c r="AR14" s="52"/>
      <c r="AS14" s="51"/>
      <c r="AT14" s="52"/>
      <c r="AU14" s="53"/>
      <c r="AV14" s="52"/>
      <c r="AW14" s="53"/>
      <c r="AX14" s="52"/>
    </row>
    <row r="15" spans="2:50" s="54" customFormat="1" ht="14.25" customHeight="1">
      <c r="B15" s="56" t="s">
        <v>632</v>
      </c>
      <c r="C15" s="23"/>
      <c r="D15" s="50"/>
      <c r="E15" s="50"/>
      <c r="F15" s="50"/>
      <c r="G15" s="50"/>
      <c r="H15" s="52"/>
      <c r="I15" s="48"/>
      <c r="J15" s="50"/>
      <c r="K15" s="50"/>
      <c r="L15" s="50"/>
      <c r="M15" s="50"/>
      <c r="N15" s="52"/>
      <c r="O15" s="47"/>
      <c r="P15" s="50"/>
      <c r="Q15" s="50"/>
      <c r="R15" s="50"/>
      <c r="S15" s="50"/>
      <c r="T15" s="52"/>
      <c r="U15" s="47"/>
      <c r="V15" s="50"/>
      <c r="W15" s="50"/>
      <c r="X15" s="50"/>
      <c r="Y15" s="50"/>
      <c r="Z15" s="52"/>
      <c r="AA15" s="47"/>
      <c r="AB15" s="50"/>
      <c r="AC15" s="50"/>
      <c r="AD15" s="50"/>
      <c r="AE15" s="50"/>
      <c r="AF15" s="52"/>
      <c r="AG15" s="49"/>
      <c r="AH15" s="50"/>
      <c r="AI15" s="50"/>
      <c r="AJ15" s="50"/>
      <c r="AK15" s="50"/>
      <c r="AL15" s="52"/>
      <c r="AM15" s="51"/>
      <c r="AN15" s="50"/>
      <c r="AO15" s="50"/>
      <c r="AP15" s="50"/>
      <c r="AQ15" s="50"/>
      <c r="AR15" s="52"/>
      <c r="AS15" s="51"/>
      <c r="AT15" s="52"/>
      <c r="AU15" s="53"/>
      <c r="AV15" s="52"/>
      <c r="AW15" s="53"/>
      <c r="AX15" s="52"/>
    </row>
    <row r="16" spans="2:50" s="54" customFormat="1" ht="14.25" customHeight="1">
      <c r="B16" s="56" t="s">
        <v>633</v>
      </c>
      <c r="C16" s="23"/>
      <c r="D16" s="50"/>
      <c r="E16" s="50"/>
      <c r="F16" s="50"/>
      <c r="G16" s="50"/>
      <c r="H16" s="58"/>
      <c r="I16" s="48"/>
      <c r="J16" s="50"/>
      <c r="K16" s="50"/>
      <c r="L16" s="50"/>
      <c r="M16" s="50"/>
      <c r="N16" s="58"/>
      <c r="O16" s="57"/>
      <c r="P16" s="50"/>
      <c r="Q16" s="50"/>
      <c r="R16" s="50"/>
      <c r="S16" s="50"/>
      <c r="T16" s="58"/>
      <c r="U16" s="57"/>
      <c r="V16" s="50"/>
      <c r="W16" s="50"/>
      <c r="X16" s="50"/>
      <c r="Y16" s="50"/>
      <c r="Z16" s="58"/>
      <c r="AA16" s="57"/>
      <c r="AB16" s="50"/>
      <c r="AC16" s="50"/>
      <c r="AD16" s="50"/>
      <c r="AE16" s="50"/>
      <c r="AF16" s="58"/>
      <c r="AG16" s="49"/>
      <c r="AH16" s="50"/>
      <c r="AI16" s="50"/>
      <c r="AJ16" s="50"/>
      <c r="AK16" s="50"/>
      <c r="AL16" s="58"/>
      <c r="AM16" s="51"/>
      <c r="AN16" s="50"/>
      <c r="AO16" s="50"/>
      <c r="AP16" s="50"/>
      <c r="AQ16" s="50"/>
      <c r="AR16" s="58"/>
      <c r="AS16" s="51"/>
      <c r="AT16" s="58"/>
      <c r="AU16" s="53"/>
      <c r="AV16" s="58"/>
      <c r="AW16" s="53"/>
      <c r="AX16" s="58"/>
    </row>
    <row r="17" spans="1:50" s="54" customFormat="1" ht="14.25" customHeight="1">
      <c r="A17" s="55"/>
      <c r="B17" s="56" t="s">
        <v>634</v>
      </c>
      <c r="C17" s="23"/>
      <c r="D17" s="50"/>
      <c r="E17" s="50"/>
      <c r="F17" s="50"/>
      <c r="G17" s="50"/>
      <c r="H17" s="58"/>
      <c r="I17" s="48"/>
      <c r="J17" s="50"/>
      <c r="K17" s="50"/>
      <c r="L17" s="50"/>
      <c r="M17" s="50"/>
      <c r="N17" s="58"/>
      <c r="O17" s="57"/>
      <c r="P17" s="50"/>
      <c r="Q17" s="50"/>
      <c r="R17" s="50"/>
      <c r="S17" s="50"/>
      <c r="T17" s="58"/>
      <c r="U17" s="57"/>
      <c r="V17" s="50"/>
      <c r="W17" s="50"/>
      <c r="X17" s="50"/>
      <c r="Y17" s="50"/>
      <c r="Z17" s="58"/>
      <c r="AA17" s="57"/>
      <c r="AB17" s="50"/>
      <c r="AC17" s="50"/>
      <c r="AD17" s="50"/>
      <c r="AE17" s="50"/>
      <c r="AF17" s="58"/>
      <c r="AG17" s="49"/>
      <c r="AH17" s="50"/>
      <c r="AI17" s="50"/>
      <c r="AJ17" s="50"/>
      <c r="AK17" s="50"/>
      <c r="AL17" s="58"/>
      <c r="AM17" s="51"/>
      <c r="AN17" s="50"/>
      <c r="AO17" s="50"/>
      <c r="AP17" s="50"/>
      <c r="AQ17" s="50"/>
      <c r="AR17" s="58"/>
      <c r="AS17" s="51"/>
      <c r="AT17" s="58"/>
      <c r="AU17" s="53"/>
      <c r="AV17" s="58"/>
      <c r="AW17" s="53"/>
      <c r="AX17" s="58"/>
    </row>
    <row r="18" spans="1:50" s="54" customFormat="1" ht="14.25" customHeight="1">
      <c r="A18" s="55"/>
      <c r="B18" s="59" t="s">
        <v>255</v>
      </c>
      <c r="C18" s="23"/>
      <c r="D18" s="60">
        <v>17048</v>
      </c>
      <c r="E18" s="60">
        <v>17324</v>
      </c>
      <c r="F18" s="60">
        <v>17487</v>
      </c>
      <c r="G18" s="60">
        <v>17358</v>
      </c>
      <c r="H18" s="61">
        <v>69217</v>
      </c>
      <c r="I18" s="48"/>
      <c r="J18" s="60">
        <v>19321</v>
      </c>
      <c r="K18" s="60">
        <v>20563</v>
      </c>
      <c r="L18" s="60">
        <v>21510</v>
      </c>
      <c r="M18" s="60">
        <v>22565</v>
      </c>
      <c r="N18" s="61">
        <v>83959</v>
      </c>
      <c r="O18" s="47"/>
      <c r="P18" s="60">
        <v>22003</v>
      </c>
      <c r="Q18" s="60">
        <v>23474</v>
      </c>
      <c r="R18" s="60">
        <v>23641</v>
      </c>
      <c r="S18" s="60">
        <v>24394</v>
      </c>
      <c r="T18" s="61">
        <v>93512</v>
      </c>
      <c r="U18" s="47"/>
      <c r="V18" s="60">
        <v>23242</v>
      </c>
      <c r="W18" s="60">
        <v>22814</v>
      </c>
      <c r="X18" s="60">
        <v>22169</v>
      </c>
      <c r="Y18" s="60">
        <v>21930</v>
      </c>
      <c r="Z18" s="61">
        <v>90155</v>
      </c>
      <c r="AA18" s="47"/>
      <c r="AB18" s="60">
        <v>21681</v>
      </c>
      <c r="AC18" s="60">
        <v>22165</v>
      </c>
      <c r="AD18" s="60">
        <v>21738</v>
      </c>
      <c r="AE18" s="60">
        <v>22109</v>
      </c>
      <c r="AF18" s="61">
        <v>87693</v>
      </c>
      <c r="AG18" s="49"/>
      <c r="AH18" s="60">
        <v>21579</v>
      </c>
      <c r="AI18" s="60">
        <v>21967</v>
      </c>
      <c r="AJ18" s="62"/>
      <c r="AK18" s="62"/>
      <c r="AL18" s="63"/>
      <c r="AM18" s="51"/>
      <c r="AN18" s="62"/>
      <c r="AO18" s="62"/>
      <c r="AP18" s="62"/>
      <c r="AQ18" s="62"/>
      <c r="AR18" s="63"/>
      <c r="AS18" s="51"/>
      <c r="AT18" s="63"/>
      <c r="AU18" s="53"/>
      <c r="AV18" s="63"/>
      <c r="AW18" s="53"/>
      <c r="AX18" s="63"/>
    </row>
    <row r="19" spans="1:50" s="54" customFormat="1" ht="14.25" customHeight="1">
      <c r="A19" s="55"/>
      <c r="B19" s="64"/>
      <c r="C19" s="23"/>
      <c r="D19" s="46"/>
      <c r="E19" s="46"/>
      <c r="F19" s="46"/>
      <c r="G19" s="46"/>
      <c r="H19" s="47"/>
      <c r="I19" s="48"/>
      <c r="J19" s="46"/>
      <c r="K19" s="46"/>
      <c r="L19" s="46"/>
      <c r="M19" s="46"/>
      <c r="N19" s="47"/>
      <c r="O19" s="47"/>
      <c r="P19" s="46"/>
      <c r="Q19" s="46"/>
      <c r="R19" s="46"/>
      <c r="S19" s="46"/>
      <c r="T19" s="47"/>
      <c r="U19" s="47"/>
      <c r="V19" s="46"/>
      <c r="W19" s="46"/>
      <c r="X19" s="46"/>
      <c r="Y19" s="46"/>
      <c r="Z19" s="47"/>
      <c r="AA19" s="47"/>
      <c r="AB19" s="46"/>
      <c r="AC19" s="46"/>
      <c r="AD19" s="46"/>
      <c r="AE19" s="46"/>
      <c r="AF19" s="47"/>
      <c r="AG19" s="49"/>
      <c r="AH19" s="459"/>
      <c r="AI19" s="46"/>
      <c r="AJ19" s="50"/>
      <c r="AK19" s="50"/>
      <c r="AL19" s="52"/>
      <c r="AM19" s="51"/>
      <c r="AN19" s="50"/>
      <c r="AO19" s="50"/>
      <c r="AP19" s="50"/>
      <c r="AQ19" s="50"/>
      <c r="AR19" s="52"/>
      <c r="AS19" s="51"/>
      <c r="AT19" s="52"/>
      <c r="AU19" s="53"/>
      <c r="AV19" s="52"/>
      <c r="AW19" s="53"/>
      <c r="AX19" s="52"/>
    </row>
    <row r="20" spans="1:50" s="54" customFormat="1" ht="14.25" customHeight="1">
      <c r="A20" s="44" t="s">
        <v>37</v>
      </c>
      <c r="B20" s="65" t="s">
        <v>635</v>
      </c>
      <c r="C20" s="21"/>
      <c r="D20" s="46"/>
      <c r="E20" s="46"/>
      <c r="F20" s="46"/>
      <c r="G20" s="46"/>
      <c r="H20" s="66"/>
      <c r="I20" s="48"/>
      <c r="J20" s="46"/>
      <c r="K20" s="46"/>
      <c r="L20" s="46"/>
      <c r="M20" s="46"/>
      <c r="N20" s="66"/>
      <c r="O20" s="48"/>
      <c r="P20" s="46"/>
      <c r="Q20" s="46"/>
      <c r="R20" s="46"/>
      <c r="S20" s="46"/>
      <c r="T20" s="66"/>
      <c r="U20" s="48"/>
      <c r="V20" s="46"/>
      <c r="W20" s="46"/>
      <c r="X20" s="46"/>
      <c r="Y20" s="46"/>
      <c r="Z20" s="66"/>
      <c r="AA20" s="51"/>
      <c r="AB20" s="46"/>
      <c r="AC20" s="46"/>
      <c r="AD20" s="46"/>
      <c r="AE20" s="46"/>
      <c r="AF20" s="66"/>
      <c r="AG20" s="49"/>
      <c r="AH20" s="46"/>
      <c r="AI20" s="46"/>
      <c r="AJ20" s="50"/>
      <c r="AK20" s="50"/>
      <c r="AL20" s="68"/>
      <c r="AM20" s="67"/>
      <c r="AN20" s="50"/>
      <c r="AO20" s="50"/>
      <c r="AP20" s="50"/>
      <c r="AQ20" s="50"/>
      <c r="AR20" s="68"/>
      <c r="AS20" s="67"/>
      <c r="AT20" s="68"/>
      <c r="AU20" s="69"/>
      <c r="AV20" s="68"/>
      <c r="AW20" s="69"/>
      <c r="AX20" s="68"/>
    </row>
    <row r="21" spans="1:50" s="54" customFormat="1" ht="14.25" customHeight="1">
      <c r="A21" s="55"/>
      <c r="B21" s="70" t="s">
        <v>636</v>
      </c>
      <c r="C21" s="24"/>
      <c r="D21" s="60">
        <v>12673</v>
      </c>
      <c r="E21" s="60">
        <v>13151</v>
      </c>
      <c r="F21" s="60">
        <v>13467</v>
      </c>
      <c r="G21" s="60">
        <v>12967</v>
      </c>
      <c r="H21" s="66">
        <v>52258</v>
      </c>
      <c r="I21" s="48"/>
      <c r="J21" s="60">
        <v>14136</v>
      </c>
      <c r="K21" s="60">
        <v>15296</v>
      </c>
      <c r="L21" s="60">
        <v>16379</v>
      </c>
      <c r="M21" s="60">
        <v>16401</v>
      </c>
      <c r="N21" s="66">
        <v>62212</v>
      </c>
      <c r="O21" s="48"/>
      <c r="P21" s="60">
        <v>16446</v>
      </c>
      <c r="Q21" s="60">
        <v>17537</v>
      </c>
      <c r="R21" s="60">
        <v>17764</v>
      </c>
      <c r="S21" s="60">
        <v>17628</v>
      </c>
      <c r="T21" s="66">
        <v>69375</v>
      </c>
      <c r="U21" s="48"/>
      <c r="V21" s="60">
        <v>17511</v>
      </c>
      <c r="W21" s="60">
        <v>17127</v>
      </c>
      <c r="X21" s="60">
        <v>16563</v>
      </c>
      <c r="Y21" s="60">
        <v>15612</v>
      </c>
      <c r="Z21" s="66">
        <v>66813</v>
      </c>
      <c r="AA21" s="51"/>
      <c r="AB21" s="60">
        <v>15897</v>
      </c>
      <c r="AC21" s="60">
        <v>16548</v>
      </c>
      <c r="AD21" s="60">
        <v>16127</v>
      </c>
      <c r="AE21" s="60">
        <v>15882</v>
      </c>
      <c r="AF21" s="66">
        <v>64454</v>
      </c>
      <c r="AG21" s="49"/>
      <c r="AH21" s="60">
        <v>16125</v>
      </c>
      <c r="AI21" s="60">
        <v>16325</v>
      </c>
      <c r="AJ21" s="50"/>
      <c r="AK21" s="50"/>
      <c r="AL21" s="68"/>
      <c r="AM21" s="71"/>
      <c r="AN21" s="50"/>
      <c r="AO21" s="50"/>
      <c r="AP21" s="50"/>
      <c r="AQ21" s="50"/>
      <c r="AR21" s="68"/>
      <c r="AS21" s="71"/>
      <c r="AT21" s="68"/>
      <c r="AU21" s="72"/>
      <c r="AV21" s="68"/>
      <c r="AW21" s="72"/>
      <c r="AX21" s="68"/>
    </row>
    <row r="22" spans="1:50" s="54" customFormat="1" ht="14.25" customHeight="1">
      <c r="A22" s="73"/>
      <c r="B22" s="70" t="s">
        <v>637</v>
      </c>
      <c r="C22" s="21"/>
      <c r="D22" s="60">
        <v>879</v>
      </c>
      <c r="E22" s="60">
        <v>901</v>
      </c>
      <c r="F22" s="60">
        <v>908</v>
      </c>
      <c r="G22" s="60">
        <v>927</v>
      </c>
      <c r="H22" s="74">
        <v>3615</v>
      </c>
      <c r="I22" s="48"/>
      <c r="J22" s="60">
        <v>926</v>
      </c>
      <c r="K22" s="60">
        <v>936</v>
      </c>
      <c r="L22" s="60">
        <v>956</v>
      </c>
      <c r="M22" s="60">
        <v>975</v>
      </c>
      <c r="N22" s="74">
        <v>3793</v>
      </c>
      <c r="O22" s="48"/>
      <c r="P22" s="60">
        <v>971</v>
      </c>
      <c r="Q22" s="60">
        <v>995</v>
      </c>
      <c r="R22" s="60">
        <v>986</v>
      </c>
      <c r="S22" s="60">
        <v>1018</v>
      </c>
      <c r="T22" s="74">
        <v>3970</v>
      </c>
      <c r="U22" s="48"/>
      <c r="V22" s="60">
        <v>1024</v>
      </c>
      <c r="W22" s="60">
        <v>1046</v>
      </c>
      <c r="X22" s="60">
        <v>1031</v>
      </c>
      <c r="Y22" s="60">
        <v>1075</v>
      </c>
      <c r="Z22" s="74">
        <v>4176</v>
      </c>
      <c r="AA22" s="51"/>
      <c r="AB22" s="60">
        <v>1071</v>
      </c>
      <c r="AC22" s="60">
        <v>1040</v>
      </c>
      <c r="AD22" s="60">
        <v>1072</v>
      </c>
      <c r="AE22" s="60">
        <v>1104</v>
      </c>
      <c r="AF22" s="74">
        <v>4287</v>
      </c>
      <c r="AG22" s="49"/>
      <c r="AH22" s="60">
        <v>1078</v>
      </c>
      <c r="AI22" s="60">
        <v>1063</v>
      </c>
      <c r="AJ22" s="50"/>
      <c r="AK22" s="50"/>
      <c r="AL22" s="75"/>
      <c r="AM22" s="71"/>
      <c r="AN22" s="50"/>
      <c r="AO22" s="50"/>
      <c r="AP22" s="50"/>
      <c r="AQ22" s="50"/>
      <c r="AR22" s="75"/>
      <c r="AS22" s="71"/>
      <c r="AT22" s="75"/>
      <c r="AU22" s="72"/>
      <c r="AV22" s="75"/>
      <c r="AW22" s="72"/>
      <c r="AX22" s="75"/>
    </row>
    <row r="23" spans="1:50" s="54" customFormat="1" ht="14.25" customHeight="1">
      <c r="A23" s="55"/>
      <c r="B23" s="76" t="s">
        <v>638</v>
      </c>
      <c r="C23" s="23"/>
      <c r="D23" s="46">
        <v>13552</v>
      </c>
      <c r="E23" s="46">
        <v>14052</v>
      </c>
      <c r="F23" s="46">
        <v>14375</v>
      </c>
      <c r="G23" s="46">
        <v>13894</v>
      </c>
      <c r="H23" s="77">
        <v>55873</v>
      </c>
      <c r="I23" s="48"/>
      <c r="J23" s="46">
        <v>15062</v>
      </c>
      <c r="K23" s="46">
        <v>16232</v>
      </c>
      <c r="L23" s="46">
        <v>17335</v>
      </c>
      <c r="M23" s="46">
        <v>17376</v>
      </c>
      <c r="N23" s="77">
        <v>66005</v>
      </c>
      <c r="O23" s="48"/>
      <c r="P23" s="46">
        <v>17417</v>
      </c>
      <c r="Q23" s="46">
        <v>18532</v>
      </c>
      <c r="R23" s="46">
        <v>18750</v>
      </c>
      <c r="S23" s="46">
        <v>18646</v>
      </c>
      <c r="T23" s="77">
        <v>73345</v>
      </c>
      <c r="U23" s="48"/>
      <c r="V23" s="46">
        <v>18535</v>
      </c>
      <c r="W23" s="46">
        <v>18173</v>
      </c>
      <c r="X23" s="46">
        <v>17594</v>
      </c>
      <c r="Y23" s="46">
        <v>16687</v>
      </c>
      <c r="Z23" s="77">
        <v>70989</v>
      </c>
      <c r="AA23" s="51"/>
      <c r="AB23" s="46">
        <v>16968</v>
      </c>
      <c r="AC23" s="46">
        <v>17588</v>
      </c>
      <c r="AD23" s="46">
        <v>17199</v>
      </c>
      <c r="AE23" s="46">
        <v>16986</v>
      </c>
      <c r="AF23" s="77">
        <v>68741</v>
      </c>
      <c r="AG23" s="49"/>
      <c r="AH23" s="46">
        <v>17203</v>
      </c>
      <c r="AI23" s="46">
        <v>17388</v>
      </c>
      <c r="AJ23" s="50"/>
      <c r="AK23" s="50"/>
      <c r="AL23" s="78"/>
      <c r="AM23" s="71"/>
      <c r="AN23" s="50"/>
      <c r="AO23" s="50"/>
      <c r="AP23" s="50"/>
      <c r="AQ23" s="50"/>
      <c r="AR23" s="78"/>
      <c r="AS23" s="71"/>
      <c r="AT23" s="78"/>
      <c r="AU23" s="72"/>
      <c r="AV23" s="78"/>
      <c r="AW23" s="72"/>
      <c r="AX23" s="78"/>
    </row>
    <row r="24" spans="1:50" s="54" customFormat="1" ht="14.25" customHeight="1">
      <c r="A24" s="73"/>
      <c r="B24" s="79" t="s">
        <v>363</v>
      </c>
      <c r="C24" s="21"/>
      <c r="D24" s="46">
        <v>3496</v>
      </c>
      <c r="E24" s="46">
        <v>3272</v>
      </c>
      <c r="F24" s="46">
        <v>3112</v>
      </c>
      <c r="G24" s="46">
        <v>3464</v>
      </c>
      <c r="H24" s="77">
        <v>13344</v>
      </c>
      <c r="I24" s="48"/>
      <c r="J24" s="46">
        <v>4259</v>
      </c>
      <c r="K24" s="46">
        <v>4331</v>
      </c>
      <c r="L24" s="46">
        <v>4175</v>
      </c>
      <c r="M24" s="46">
        <v>5189</v>
      </c>
      <c r="N24" s="77">
        <v>17954</v>
      </c>
      <c r="O24" s="48"/>
      <c r="P24" s="46">
        <v>4586</v>
      </c>
      <c r="Q24" s="46">
        <v>4942</v>
      </c>
      <c r="R24" s="46">
        <v>4891</v>
      </c>
      <c r="S24" s="46">
        <v>5748</v>
      </c>
      <c r="T24" s="77">
        <v>20167</v>
      </c>
      <c r="U24" s="48"/>
      <c r="V24" s="46">
        <v>4707</v>
      </c>
      <c r="W24" s="46">
        <v>4641</v>
      </c>
      <c r="X24" s="46">
        <v>4575</v>
      </c>
      <c r="Y24" s="46">
        <v>5243</v>
      </c>
      <c r="Z24" s="77">
        <v>19166</v>
      </c>
      <c r="AA24" s="51"/>
      <c r="AB24" s="46">
        <v>4713</v>
      </c>
      <c r="AC24" s="46">
        <v>4577</v>
      </c>
      <c r="AD24" s="46">
        <v>4539</v>
      </c>
      <c r="AE24" s="46">
        <v>5123</v>
      </c>
      <c r="AF24" s="77">
        <v>18952</v>
      </c>
      <c r="AG24" s="49"/>
      <c r="AH24" s="46">
        <v>4376</v>
      </c>
      <c r="AI24" s="46">
        <v>4579</v>
      </c>
      <c r="AJ24" s="50"/>
      <c r="AK24" s="50"/>
      <c r="AL24" s="78"/>
      <c r="AM24" s="71"/>
      <c r="AN24" s="50"/>
      <c r="AO24" s="50"/>
      <c r="AP24" s="50"/>
      <c r="AQ24" s="50"/>
      <c r="AR24" s="78"/>
      <c r="AS24" s="71"/>
      <c r="AT24" s="78"/>
      <c r="AU24" s="72"/>
      <c r="AV24" s="78"/>
      <c r="AW24" s="72"/>
      <c r="AX24" s="78"/>
    </row>
    <row r="25" spans="1:50" s="54" customFormat="1" ht="14.25" customHeight="1">
      <c r="A25" s="55"/>
      <c r="B25" s="80"/>
      <c r="C25" s="23"/>
      <c r="D25" s="46"/>
      <c r="E25" s="46"/>
      <c r="F25" s="46"/>
      <c r="G25" s="46"/>
      <c r="H25" s="66"/>
      <c r="I25" s="48"/>
      <c r="J25" s="46"/>
      <c r="K25" s="46"/>
      <c r="L25" s="46"/>
      <c r="M25" s="46"/>
      <c r="N25" s="66"/>
      <c r="O25" s="48"/>
      <c r="P25" s="46"/>
      <c r="Q25" s="46"/>
      <c r="R25" s="46"/>
      <c r="S25" s="46"/>
      <c r="T25" s="66"/>
      <c r="U25" s="48"/>
      <c r="V25" s="46"/>
      <c r="W25" s="46"/>
      <c r="X25" s="46"/>
      <c r="Y25" s="46"/>
      <c r="Z25" s="66"/>
      <c r="AA25" s="51"/>
      <c r="AB25" s="46"/>
      <c r="AC25" s="46"/>
      <c r="AD25" s="46"/>
      <c r="AE25" s="46"/>
      <c r="AF25" s="66"/>
      <c r="AG25" s="49"/>
      <c r="AH25" s="46"/>
      <c r="AI25" s="46"/>
      <c r="AJ25" s="50"/>
      <c r="AK25" s="50"/>
      <c r="AL25" s="68"/>
      <c r="AM25" s="71"/>
      <c r="AN25" s="50"/>
      <c r="AO25" s="50"/>
      <c r="AP25" s="50"/>
      <c r="AQ25" s="50"/>
      <c r="AR25" s="68"/>
      <c r="AS25" s="71"/>
      <c r="AT25" s="68"/>
      <c r="AU25" s="72"/>
      <c r="AV25" s="68"/>
      <c r="AW25" s="72"/>
      <c r="AX25" s="68"/>
    </row>
    <row r="26" spans="1:50" s="54" customFormat="1" ht="14.25" customHeight="1">
      <c r="A26" s="44" t="s">
        <v>37</v>
      </c>
      <c r="B26" s="65" t="s">
        <v>639</v>
      </c>
      <c r="C26" s="21"/>
      <c r="D26" s="46"/>
      <c r="E26" s="46"/>
      <c r="F26" s="46"/>
      <c r="G26" s="46"/>
      <c r="H26" s="66"/>
      <c r="I26" s="48"/>
      <c r="J26" s="46"/>
      <c r="K26" s="46"/>
      <c r="L26" s="46"/>
      <c r="M26" s="46"/>
      <c r="N26" s="66"/>
      <c r="O26" s="48"/>
      <c r="P26" s="46"/>
      <c r="Q26" s="46"/>
      <c r="R26" s="46"/>
      <c r="S26" s="46"/>
      <c r="T26" s="66"/>
      <c r="U26" s="48"/>
      <c r="V26" s="46"/>
      <c r="W26" s="46"/>
      <c r="X26" s="46"/>
      <c r="Y26" s="46"/>
      <c r="Z26" s="66"/>
      <c r="AA26" s="81"/>
      <c r="AB26" s="46"/>
      <c r="AC26" s="46"/>
      <c r="AD26" s="46"/>
      <c r="AE26" s="46"/>
      <c r="AF26" s="66"/>
      <c r="AG26" s="82"/>
      <c r="AH26" s="46"/>
      <c r="AI26" s="46"/>
      <c r="AJ26" s="50"/>
      <c r="AK26" s="50"/>
      <c r="AL26" s="68"/>
      <c r="AM26" s="81"/>
      <c r="AN26" s="50"/>
      <c r="AO26" s="50"/>
      <c r="AP26" s="50"/>
      <c r="AQ26" s="50"/>
      <c r="AR26" s="68"/>
      <c r="AS26" s="81"/>
      <c r="AT26" s="68"/>
      <c r="AU26" s="83"/>
      <c r="AV26" s="68"/>
      <c r="AW26" s="83"/>
      <c r="AX26" s="68"/>
    </row>
    <row r="27" spans="1:50" s="54" customFormat="1" ht="14.25" customHeight="1">
      <c r="A27" s="84"/>
      <c r="B27" s="70" t="s">
        <v>640</v>
      </c>
      <c r="C27" s="26"/>
      <c r="D27" s="46">
        <v>0</v>
      </c>
      <c r="E27" s="46">
        <v>0</v>
      </c>
      <c r="F27" s="46">
        <v>0</v>
      </c>
      <c r="G27" s="46">
        <v>0</v>
      </c>
      <c r="H27" s="66">
        <v>0</v>
      </c>
      <c r="I27" s="48"/>
      <c r="J27" s="46">
        <v>0</v>
      </c>
      <c r="K27" s="46">
        <v>0</v>
      </c>
      <c r="L27" s="46">
        <v>0</v>
      </c>
      <c r="M27" s="46">
        <v>0</v>
      </c>
      <c r="N27" s="66">
        <v>0</v>
      </c>
      <c r="O27" s="48"/>
      <c r="P27" s="46">
        <v>0</v>
      </c>
      <c r="Q27" s="46">
        <v>0</v>
      </c>
      <c r="R27" s="46">
        <v>0</v>
      </c>
      <c r="S27" s="46">
        <v>0</v>
      </c>
      <c r="T27" s="66">
        <v>0</v>
      </c>
      <c r="U27" s="48"/>
      <c r="V27" s="46">
        <v>0</v>
      </c>
      <c r="W27" s="46">
        <v>0</v>
      </c>
      <c r="X27" s="46">
        <v>0</v>
      </c>
      <c r="Y27" s="46">
        <v>0</v>
      </c>
      <c r="Z27" s="66">
        <v>0</v>
      </c>
      <c r="AA27" s="81"/>
      <c r="AB27" s="46">
        <v>0</v>
      </c>
      <c r="AC27" s="46">
        <v>0</v>
      </c>
      <c r="AD27" s="46">
        <v>0</v>
      </c>
      <c r="AE27" s="46">
        <v>0</v>
      </c>
      <c r="AF27" s="66">
        <v>0</v>
      </c>
      <c r="AG27" s="82"/>
      <c r="AH27" s="46">
        <v>0</v>
      </c>
      <c r="AI27" s="46">
        <v>0</v>
      </c>
      <c r="AJ27" s="50"/>
      <c r="AK27" s="50"/>
      <c r="AL27" s="68"/>
      <c r="AM27" s="81"/>
      <c r="AN27" s="50"/>
      <c r="AO27" s="50"/>
      <c r="AP27" s="50"/>
      <c r="AQ27" s="50"/>
      <c r="AR27" s="68"/>
      <c r="AS27" s="81"/>
      <c r="AT27" s="68"/>
      <c r="AU27" s="83"/>
      <c r="AV27" s="68"/>
      <c r="AW27" s="83"/>
      <c r="AX27" s="68"/>
    </row>
    <row r="28" spans="1:50" s="54" customFormat="1" ht="14.25" customHeight="1">
      <c r="A28" s="55"/>
      <c r="B28" s="70" t="s">
        <v>641</v>
      </c>
      <c r="C28" s="23"/>
      <c r="D28" s="46">
        <v>0</v>
      </c>
      <c r="E28" s="46">
        <v>0</v>
      </c>
      <c r="F28" s="46">
        <v>0</v>
      </c>
      <c r="G28" s="46">
        <v>0</v>
      </c>
      <c r="H28" s="66">
        <v>0</v>
      </c>
      <c r="I28" s="48"/>
      <c r="J28" s="46">
        <v>0</v>
      </c>
      <c r="K28" s="46">
        <v>0</v>
      </c>
      <c r="L28" s="46">
        <v>0</v>
      </c>
      <c r="M28" s="46">
        <v>0</v>
      </c>
      <c r="N28" s="66">
        <v>0</v>
      </c>
      <c r="O28" s="48"/>
      <c r="P28" s="46">
        <v>971</v>
      </c>
      <c r="Q28" s="46">
        <v>995</v>
      </c>
      <c r="R28" s="46">
        <v>986</v>
      </c>
      <c r="S28" s="46">
        <v>1018</v>
      </c>
      <c r="T28" s="66">
        <f>SUM(P28:S28)</f>
        <v>3970</v>
      </c>
      <c r="U28" s="48"/>
      <c r="V28" s="46">
        <v>1024</v>
      </c>
      <c r="W28" s="46">
        <v>1046</v>
      </c>
      <c r="X28" s="46">
        <v>1031</v>
      </c>
      <c r="Y28" s="46">
        <v>1075</v>
      </c>
      <c r="Z28" s="66">
        <f>SUM(V28:Y28)</f>
        <v>4176</v>
      </c>
      <c r="AA28" s="51"/>
      <c r="AB28" s="46">
        <v>1071</v>
      </c>
      <c r="AC28" s="46">
        <v>1040</v>
      </c>
      <c r="AD28" s="46">
        <v>1072</v>
      </c>
      <c r="AE28" s="46">
        <v>1104</v>
      </c>
      <c r="AF28" s="66">
        <f>SUM(AB28:AE28)</f>
        <v>4287</v>
      </c>
      <c r="AG28" s="49"/>
      <c r="AH28" s="46">
        <v>1078</v>
      </c>
      <c r="AI28" s="46">
        <v>1063</v>
      </c>
      <c r="AJ28" s="50">
        <v>1066</v>
      </c>
      <c r="AK28" s="50"/>
      <c r="AL28" s="66">
        <f>SUM(AH28:AK28)</f>
        <v>3207</v>
      </c>
      <c r="AM28" s="71"/>
      <c r="AN28" s="50"/>
      <c r="AO28" s="50"/>
      <c r="AP28" s="50"/>
      <c r="AQ28" s="50"/>
      <c r="AR28" s="68"/>
      <c r="AS28" s="71"/>
      <c r="AT28" s="68"/>
      <c r="AU28" s="72"/>
      <c r="AV28" s="68"/>
      <c r="AW28" s="72"/>
      <c r="AX28" s="68"/>
    </row>
    <row r="29" spans="1:50" s="54" customFormat="1" ht="14.25" customHeight="1">
      <c r="A29" s="73"/>
      <c r="B29" s="70" t="s">
        <v>642</v>
      </c>
      <c r="C29" s="21"/>
      <c r="D29" s="46">
        <v>0</v>
      </c>
      <c r="E29" s="46">
        <v>0</v>
      </c>
      <c r="F29" s="46">
        <v>0</v>
      </c>
      <c r="G29" s="46">
        <v>0</v>
      </c>
      <c r="H29" s="66">
        <v>0</v>
      </c>
      <c r="I29" s="48"/>
      <c r="J29" s="46">
        <v>0</v>
      </c>
      <c r="K29" s="46">
        <v>0</v>
      </c>
      <c r="L29" s="46">
        <v>0</v>
      </c>
      <c r="M29" s="46">
        <v>0</v>
      </c>
      <c r="N29" s="66">
        <v>0</v>
      </c>
      <c r="O29" s="48"/>
      <c r="P29" s="46">
        <v>0</v>
      </c>
      <c r="Q29" s="46">
        <v>0</v>
      </c>
      <c r="R29" s="46">
        <v>0</v>
      </c>
      <c r="S29" s="46">
        <v>0</v>
      </c>
      <c r="T29" s="66">
        <v>0</v>
      </c>
      <c r="U29" s="48"/>
      <c r="V29" s="46">
        <v>0</v>
      </c>
      <c r="W29" s="46">
        <v>0</v>
      </c>
      <c r="X29" s="46">
        <v>0</v>
      </c>
      <c r="Y29" s="46">
        <v>0</v>
      </c>
      <c r="Z29" s="66">
        <v>0</v>
      </c>
      <c r="AA29" s="81"/>
      <c r="AB29" s="46">
        <v>0</v>
      </c>
      <c r="AC29" s="46">
        <v>0</v>
      </c>
      <c r="AD29" s="46">
        <v>0</v>
      </c>
      <c r="AE29" s="46">
        <v>0</v>
      </c>
      <c r="AF29" s="66">
        <v>0</v>
      </c>
      <c r="AG29" s="82"/>
      <c r="AH29" s="46">
        <v>0</v>
      </c>
      <c r="AI29" s="46">
        <v>0</v>
      </c>
      <c r="AJ29" s="50"/>
      <c r="AK29" s="50"/>
      <c r="AL29" s="68"/>
      <c r="AM29" s="81"/>
      <c r="AN29" s="50"/>
      <c r="AO29" s="50"/>
      <c r="AP29" s="50"/>
      <c r="AQ29" s="50"/>
      <c r="AR29" s="68"/>
      <c r="AS29" s="81"/>
      <c r="AT29" s="68"/>
      <c r="AU29" s="83"/>
      <c r="AV29" s="68"/>
      <c r="AW29" s="83"/>
      <c r="AX29" s="68"/>
    </row>
    <row r="30" spans="1:50" s="54" customFormat="1" ht="14.25" customHeight="1">
      <c r="A30" s="55"/>
      <c r="B30" s="70" t="s">
        <v>643</v>
      </c>
      <c r="C30" s="23"/>
      <c r="D30" s="46">
        <v>2448</v>
      </c>
      <c r="E30" s="46">
        <v>2588</v>
      </c>
      <c r="F30" s="46">
        <v>2629</v>
      </c>
      <c r="G30" s="46">
        <v>1819.0253</v>
      </c>
      <c r="H30" s="74">
        <v>9428</v>
      </c>
      <c r="I30" s="48"/>
      <c r="J30" s="46">
        <v>2620</v>
      </c>
      <c r="K30" s="46">
        <v>2766.1012999999998</v>
      </c>
      <c r="L30" s="46">
        <v>3111</v>
      </c>
      <c r="M30" s="46">
        <v>4406.8100999999997</v>
      </c>
      <c r="N30" s="74">
        <v>12903.911400000001</v>
      </c>
      <c r="O30" s="48"/>
      <c r="P30" s="46">
        <v>3092</v>
      </c>
      <c r="Q30" s="46">
        <v>3020.1646000000001</v>
      </c>
      <c r="R30" s="46">
        <v>3429</v>
      </c>
      <c r="S30" s="46">
        <v>3514</v>
      </c>
      <c r="T30" s="74">
        <v>13302</v>
      </c>
      <c r="U30" s="48"/>
      <c r="V30" s="46">
        <v>3473</v>
      </c>
      <c r="W30" s="46">
        <v>3394.8227999999999</v>
      </c>
      <c r="X30" s="46">
        <v>3410</v>
      </c>
      <c r="Y30" s="46">
        <v>3476</v>
      </c>
      <c r="Z30" s="74">
        <v>13793</v>
      </c>
      <c r="AA30" s="51"/>
      <c r="AB30" s="46">
        <v>3123</v>
      </c>
      <c r="AC30" s="46">
        <v>3156</v>
      </c>
      <c r="AD30" s="46">
        <v>3182</v>
      </c>
      <c r="AE30" s="46">
        <v>3250</v>
      </c>
      <c r="AF30" s="74">
        <v>12711</v>
      </c>
      <c r="AG30" s="49"/>
      <c r="AH30" s="46">
        <v>3168</v>
      </c>
      <c r="AI30" s="46">
        <v>3201</v>
      </c>
      <c r="AJ30" s="50"/>
      <c r="AK30" s="50"/>
      <c r="AL30" s="75"/>
      <c r="AM30" s="71"/>
      <c r="AN30" s="50"/>
      <c r="AO30" s="50"/>
      <c r="AP30" s="50"/>
      <c r="AQ30" s="50"/>
      <c r="AR30" s="75"/>
      <c r="AS30" s="71"/>
      <c r="AT30" s="75"/>
      <c r="AU30" s="72"/>
      <c r="AV30" s="75"/>
      <c r="AW30" s="72"/>
      <c r="AX30" s="75"/>
    </row>
    <row r="31" spans="1:50" s="54" customFormat="1" ht="14.25" customHeight="1">
      <c r="A31" s="73"/>
      <c r="B31" s="76" t="s">
        <v>644</v>
      </c>
      <c r="C31" s="21"/>
      <c r="D31" s="46">
        <v>2448</v>
      </c>
      <c r="E31" s="46">
        <v>2588</v>
      </c>
      <c r="F31" s="46">
        <v>2629</v>
      </c>
      <c r="G31" s="46">
        <v>1819.0253</v>
      </c>
      <c r="H31" s="85">
        <v>9428</v>
      </c>
      <c r="I31" s="48"/>
      <c r="J31" s="46">
        <v>2620</v>
      </c>
      <c r="K31" s="46">
        <v>2766.1012999999998</v>
      </c>
      <c r="L31" s="46">
        <v>3111</v>
      </c>
      <c r="M31" s="46">
        <v>4406.8100999999997</v>
      </c>
      <c r="N31" s="85">
        <v>12903.911400000001</v>
      </c>
      <c r="O31" s="48"/>
      <c r="P31" s="46">
        <v>3092</v>
      </c>
      <c r="Q31" s="46">
        <v>3020.1646000000001</v>
      </c>
      <c r="R31" s="46">
        <v>3429</v>
      </c>
      <c r="S31" s="46">
        <v>3514</v>
      </c>
      <c r="T31" s="85">
        <v>13302</v>
      </c>
      <c r="U31" s="48"/>
      <c r="V31" s="46">
        <v>3473</v>
      </c>
      <c r="W31" s="46">
        <v>3394.8227999999999</v>
      </c>
      <c r="X31" s="46">
        <v>3410</v>
      </c>
      <c r="Y31" s="46">
        <v>3476</v>
      </c>
      <c r="Z31" s="85">
        <v>13793</v>
      </c>
      <c r="AA31" s="81"/>
      <c r="AB31" s="46">
        <v>3123</v>
      </c>
      <c r="AC31" s="46">
        <v>3156</v>
      </c>
      <c r="AD31" s="46">
        <v>3182</v>
      </c>
      <c r="AE31" s="46">
        <v>3250</v>
      </c>
      <c r="AF31" s="85">
        <v>12711</v>
      </c>
      <c r="AG31" s="82"/>
      <c r="AH31" s="46">
        <v>3168</v>
      </c>
      <c r="AI31" s="46">
        <v>3201</v>
      </c>
      <c r="AJ31" s="46"/>
      <c r="AK31" s="46"/>
      <c r="AL31" s="359"/>
      <c r="AM31" s="81"/>
      <c r="AN31" s="46"/>
      <c r="AO31" s="46"/>
      <c r="AP31" s="46"/>
      <c r="AQ31" s="46"/>
      <c r="AR31" s="359"/>
      <c r="AS31" s="81"/>
      <c r="AT31" s="359"/>
      <c r="AU31" s="83"/>
      <c r="AV31" s="359"/>
      <c r="AW31" s="83"/>
      <c r="AX31" s="359"/>
    </row>
    <row r="32" spans="1:50" s="54" customFormat="1" ht="14.25" customHeight="1">
      <c r="A32" s="73"/>
      <c r="B32" s="76" t="s">
        <v>645</v>
      </c>
      <c r="C32" s="21"/>
      <c r="D32" s="46">
        <v>0</v>
      </c>
      <c r="E32" s="46">
        <v>0</v>
      </c>
      <c r="F32" s="46">
        <v>0</v>
      </c>
      <c r="G32" s="46">
        <v>0</v>
      </c>
      <c r="H32" s="74">
        <v>0</v>
      </c>
      <c r="I32" s="48"/>
      <c r="J32" s="46">
        <v>0</v>
      </c>
      <c r="K32" s="46">
        <v>0</v>
      </c>
      <c r="L32" s="46">
        <v>0</v>
      </c>
      <c r="M32" s="46">
        <v>0</v>
      </c>
      <c r="N32" s="74">
        <v>0</v>
      </c>
      <c r="O32" s="48"/>
      <c r="P32" s="46">
        <v>0</v>
      </c>
      <c r="Q32" s="46">
        <v>0</v>
      </c>
      <c r="R32" s="46">
        <v>0</v>
      </c>
      <c r="S32" s="46">
        <v>0</v>
      </c>
      <c r="T32" s="74">
        <v>0</v>
      </c>
      <c r="U32" s="48"/>
      <c r="V32" s="46">
        <v>0</v>
      </c>
      <c r="W32" s="46">
        <v>0</v>
      </c>
      <c r="X32" s="46">
        <v>0</v>
      </c>
      <c r="Y32" s="46">
        <v>0</v>
      </c>
      <c r="Z32" s="74">
        <v>0</v>
      </c>
      <c r="AA32" s="86"/>
      <c r="AB32" s="46">
        <v>0</v>
      </c>
      <c r="AC32" s="46">
        <v>0</v>
      </c>
      <c r="AD32" s="46">
        <v>0</v>
      </c>
      <c r="AE32" s="46">
        <v>0</v>
      </c>
      <c r="AF32" s="74">
        <v>0</v>
      </c>
      <c r="AG32" s="82"/>
      <c r="AH32" s="46">
        <v>0</v>
      </c>
      <c r="AI32" s="46">
        <v>0</v>
      </c>
      <c r="AJ32" s="50"/>
      <c r="AK32" s="50"/>
      <c r="AL32" s="75"/>
      <c r="AM32" s="86"/>
      <c r="AN32" s="50"/>
      <c r="AO32" s="50"/>
      <c r="AP32" s="50"/>
      <c r="AQ32" s="50"/>
      <c r="AR32" s="75"/>
      <c r="AS32" s="86"/>
      <c r="AT32" s="75"/>
      <c r="AU32" s="87"/>
      <c r="AV32" s="75"/>
      <c r="AW32" s="87"/>
      <c r="AX32" s="75"/>
    </row>
    <row r="33" spans="1:50" s="54" customFormat="1" ht="14.25" customHeight="1">
      <c r="A33" s="55"/>
      <c r="B33" s="79" t="s">
        <v>646</v>
      </c>
      <c r="C33" s="23"/>
      <c r="D33" s="46">
        <v>1048</v>
      </c>
      <c r="E33" s="46">
        <v>684</v>
      </c>
      <c r="F33" s="46">
        <v>483</v>
      </c>
      <c r="G33" s="46">
        <v>1644.9747</v>
      </c>
      <c r="H33" s="74">
        <v>3916</v>
      </c>
      <c r="I33" s="48"/>
      <c r="J33" s="46">
        <v>1639</v>
      </c>
      <c r="K33" s="46">
        <v>1564.8987</v>
      </c>
      <c r="L33" s="46">
        <v>1064</v>
      </c>
      <c r="M33" s="46">
        <v>782.18989999999997</v>
      </c>
      <c r="N33" s="74">
        <v>5050.0886</v>
      </c>
      <c r="O33" s="48"/>
      <c r="P33" s="46">
        <v>1494</v>
      </c>
      <c r="Q33" s="46">
        <v>1921.8353999999999</v>
      </c>
      <c r="R33" s="46">
        <v>1462</v>
      </c>
      <c r="S33" s="46">
        <v>2234</v>
      </c>
      <c r="T33" s="74">
        <v>6865</v>
      </c>
      <c r="U33" s="48"/>
      <c r="V33" s="46">
        <v>1234</v>
      </c>
      <c r="W33" s="46">
        <v>1246.1772000000001</v>
      </c>
      <c r="X33" s="46">
        <v>1165</v>
      </c>
      <c r="Y33" s="46">
        <v>1767</v>
      </c>
      <c r="Z33" s="74">
        <v>5373</v>
      </c>
      <c r="AA33" s="51"/>
      <c r="AB33" s="46">
        <v>1590</v>
      </c>
      <c r="AC33" s="46">
        <v>1421</v>
      </c>
      <c r="AD33" s="46">
        <v>1357</v>
      </c>
      <c r="AE33" s="46">
        <v>1873</v>
      </c>
      <c r="AF33" s="74">
        <v>6241</v>
      </c>
      <c r="AG33" s="49"/>
      <c r="AH33" s="46">
        <v>1208</v>
      </c>
      <c r="AI33" s="46">
        <v>1378</v>
      </c>
      <c r="AJ33" s="50"/>
      <c r="AK33" s="50"/>
      <c r="AL33" s="75"/>
      <c r="AM33" s="71"/>
      <c r="AN33" s="50"/>
      <c r="AO33" s="50"/>
      <c r="AP33" s="50"/>
      <c r="AQ33" s="50"/>
      <c r="AR33" s="75"/>
      <c r="AS33" s="71"/>
      <c r="AT33" s="75"/>
      <c r="AU33" s="72"/>
      <c r="AV33" s="75"/>
      <c r="AW33" s="72"/>
      <c r="AX33" s="75"/>
    </row>
    <row r="34" spans="1:50" s="54" customFormat="1" ht="14.25" customHeight="1">
      <c r="A34" s="73"/>
      <c r="B34" s="73"/>
      <c r="C34" s="21"/>
      <c r="D34" s="46"/>
      <c r="E34" s="46"/>
      <c r="F34" s="46"/>
      <c r="G34" s="46"/>
      <c r="H34" s="66"/>
      <c r="I34" s="48"/>
      <c r="J34" s="46"/>
      <c r="K34" s="46"/>
      <c r="L34" s="46"/>
      <c r="M34" s="46"/>
      <c r="N34" s="66"/>
      <c r="O34" s="48"/>
      <c r="P34" s="46"/>
      <c r="Q34" s="46"/>
      <c r="R34" s="46"/>
      <c r="S34" s="46"/>
      <c r="T34" s="66"/>
      <c r="U34" s="48"/>
      <c r="V34" s="46"/>
      <c r="W34" s="46"/>
      <c r="X34" s="46"/>
      <c r="Y34" s="46"/>
      <c r="Z34" s="66"/>
      <c r="AA34" s="81"/>
      <c r="AB34" s="46"/>
      <c r="AC34" s="46"/>
      <c r="AD34" s="46"/>
      <c r="AE34" s="46"/>
      <c r="AF34" s="66"/>
      <c r="AG34" s="82"/>
      <c r="AH34" s="46"/>
      <c r="AI34" s="46"/>
      <c r="AJ34" s="50"/>
      <c r="AK34" s="50"/>
      <c r="AL34" s="68"/>
      <c r="AM34" s="88"/>
      <c r="AN34" s="50"/>
      <c r="AO34" s="50"/>
      <c r="AP34" s="50"/>
      <c r="AQ34" s="50"/>
      <c r="AR34" s="68"/>
      <c r="AS34" s="88"/>
      <c r="AT34" s="68"/>
      <c r="AU34" s="89"/>
      <c r="AV34" s="68"/>
      <c r="AW34" s="89"/>
      <c r="AX34" s="68"/>
    </row>
    <row r="35" spans="1:50" s="54" customFormat="1" ht="14.25" customHeight="1">
      <c r="A35" s="44" t="s">
        <v>37</v>
      </c>
      <c r="B35" s="65" t="s">
        <v>647</v>
      </c>
      <c r="C35" s="23"/>
      <c r="D35" s="46"/>
      <c r="E35" s="46"/>
      <c r="F35" s="46"/>
      <c r="G35" s="46"/>
      <c r="H35" s="66"/>
      <c r="I35" s="48"/>
      <c r="J35" s="46"/>
      <c r="K35" s="46"/>
      <c r="L35" s="46"/>
      <c r="M35" s="46"/>
      <c r="N35" s="66"/>
      <c r="O35" s="48"/>
      <c r="P35" s="46"/>
      <c r="Q35" s="46"/>
      <c r="R35" s="46"/>
      <c r="S35" s="46"/>
      <c r="T35" s="66"/>
      <c r="U35" s="48"/>
      <c r="V35" s="46"/>
      <c r="W35" s="46"/>
      <c r="X35" s="46"/>
      <c r="Y35" s="46"/>
      <c r="Z35" s="66"/>
      <c r="AA35" s="51"/>
      <c r="AB35" s="46"/>
      <c r="AC35" s="46"/>
      <c r="AD35" s="46"/>
      <c r="AE35" s="46"/>
      <c r="AF35" s="66"/>
      <c r="AG35" s="49"/>
      <c r="AH35" s="46"/>
      <c r="AI35" s="46"/>
      <c r="AJ35" s="50"/>
      <c r="AK35" s="50"/>
      <c r="AL35" s="68"/>
      <c r="AM35" s="71"/>
      <c r="AN35" s="50"/>
      <c r="AO35" s="50"/>
      <c r="AP35" s="50"/>
      <c r="AQ35" s="50"/>
      <c r="AR35" s="68"/>
      <c r="AS35" s="71"/>
      <c r="AT35" s="68"/>
      <c r="AU35" s="72"/>
      <c r="AV35" s="68"/>
      <c r="AW35" s="72"/>
      <c r="AX35" s="68"/>
    </row>
    <row r="36" spans="1:50" s="54" customFormat="1" ht="14.25" customHeight="1">
      <c r="A36" s="44"/>
      <c r="B36" s="70" t="s">
        <v>648</v>
      </c>
      <c r="C36" s="23"/>
      <c r="D36" s="46">
        <v>137</v>
      </c>
      <c r="E36" s="46">
        <v>151</v>
      </c>
      <c r="F36" s="46">
        <v>155</v>
      </c>
      <c r="G36" s="46">
        <v>174</v>
      </c>
      <c r="H36" s="66">
        <v>672</v>
      </c>
      <c r="I36" s="48"/>
      <c r="J36" s="46">
        <v>184</v>
      </c>
      <c r="K36" s="46">
        <v>184</v>
      </c>
      <c r="L36" s="46">
        <v>187</v>
      </c>
      <c r="M36" s="46">
        <v>186</v>
      </c>
      <c r="N36" s="66">
        <v>793</v>
      </c>
      <c r="O36" s="48"/>
      <c r="P36" s="46">
        <v>160</v>
      </c>
      <c r="Q36" s="46">
        <v>155</v>
      </c>
      <c r="R36" s="46">
        <v>163</v>
      </c>
      <c r="S36" s="46">
        <v>158</v>
      </c>
      <c r="T36" s="66">
        <v>689</v>
      </c>
      <c r="U36" s="48"/>
      <c r="V36" s="46">
        <v>142</v>
      </c>
      <c r="W36" s="46">
        <v>127</v>
      </c>
      <c r="X36" s="46">
        <v>122</v>
      </c>
      <c r="Y36" s="46">
        <v>303</v>
      </c>
      <c r="Z36" s="66">
        <v>694</v>
      </c>
      <c r="AA36" s="51"/>
      <c r="AB36" s="46">
        <v>91</v>
      </c>
      <c r="AC36" s="46">
        <v>97</v>
      </c>
      <c r="AD36" s="46">
        <v>91</v>
      </c>
      <c r="AE36" s="46">
        <v>466</v>
      </c>
      <c r="AF36" s="66">
        <v>745</v>
      </c>
      <c r="AG36" s="49"/>
      <c r="AH36" s="46">
        <v>84</v>
      </c>
      <c r="AI36" s="46">
        <v>102</v>
      </c>
      <c r="AJ36" s="50"/>
      <c r="AK36" s="50"/>
      <c r="AL36" s="68"/>
      <c r="AM36" s="71"/>
      <c r="AN36" s="50"/>
      <c r="AO36" s="50"/>
      <c r="AP36" s="50"/>
      <c r="AQ36" s="50"/>
      <c r="AR36" s="68"/>
      <c r="AS36" s="71"/>
      <c r="AT36" s="68"/>
      <c r="AU36" s="72"/>
      <c r="AV36" s="68"/>
      <c r="AW36" s="72"/>
      <c r="AX36" s="68"/>
    </row>
    <row r="37" spans="1:50" s="54" customFormat="1" ht="14.25" customHeight="1">
      <c r="A37" s="44"/>
      <c r="B37" s="70" t="s">
        <v>649</v>
      </c>
      <c r="C37" s="23"/>
      <c r="D37" s="46">
        <v>0</v>
      </c>
      <c r="E37" s="46">
        <v>0</v>
      </c>
      <c r="F37" s="46">
        <v>0</v>
      </c>
      <c r="G37" s="46">
        <v>0</v>
      </c>
      <c r="H37" s="66">
        <v>55</v>
      </c>
      <c r="I37" s="48"/>
      <c r="J37" s="46">
        <v>0</v>
      </c>
      <c r="K37" s="46">
        <v>0</v>
      </c>
      <c r="L37" s="46">
        <v>0</v>
      </c>
      <c r="M37" s="46">
        <v>0</v>
      </c>
      <c r="N37" s="66">
        <v>52</v>
      </c>
      <c r="O37" s="48"/>
      <c r="P37" s="46">
        <v>0</v>
      </c>
      <c r="Q37" s="46">
        <v>0</v>
      </c>
      <c r="R37" s="46">
        <v>0</v>
      </c>
      <c r="S37" s="46">
        <v>0</v>
      </c>
      <c r="T37" s="66">
        <v>53</v>
      </c>
      <c r="U37" s="48"/>
      <c r="V37" s="46">
        <v>0</v>
      </c>
      <c r="W37" s="46">
        <v>0</v>
      </c>
      <c r="X37" s="46">
        <v>0</v>
      </c>
      <c r="Y37" s="46">
        <v>198</v>
      </c>
      <c r="Z37" s="66">
        <v>198</v>
      </c>
      <c r="AA37" s="51"/>
      <c r="AB37" s="46">
        <v>0</v>
      </c>
      <c r="AC37" s="46">
        <v>0</v>
      </c>
      <c r="AD37" s="46">
        <v>0</v>
      </c>
      <c r="AE37" s="46">
        <v>370</v>
      </c>
      <c r="AF37" s="66">
        <v>370</v>
      </c>
      <c r="AG37" s="49"/>
      <c r="AH37" s="46">
        <v>0</v>
      </c>
      <c r="AI37" s="46">
        <v>0</v>
      </c>
      <c r="AJ37" s="50"/>
      <c r="AK37" s="50"/>
      <c r="AL37" s="68"/>
      <c r="AM37" s="71"/>
      <c r="AN37" s="50"/>
      <c r="AO37" s="50"/>
      <c r="AP37" s="50"/>
      <c r="AQ37" s="50"/>
      <c r="AR37" s="68"/>
      <c r="AS37" s="71"/>
      <c r="AT37" s="68"/>
      <c r="AU37" s="72"/>
      <c r="AV37" s="68"/>
      <c r="AW37" s="72"/>
      <c r="AX37" s="68"/>
    </row>
    <row r="38" spans="1:50" s="54" customFormat="1" ht="14.25" customHeight="1">
      <c r="A38" s="55" t="s">
        <v>37</v>
      </c>
      <c r="B38" s="76" t="s">
        <v>650</v>
      </c>
      <c r="C38" s="23"/>
      <c r="D38" s="46">
        <v>137</v>
      </c>
      <c r="E38" s="46">
        <v>151</v>
      </c>
      <c r="F38" s="46">
        <v>155</v>
      </c>
      <c r="G38" s="46">
        <v>174</v>
      </c>
      <c r="H38" s="66">
        <v>617</v>
      </c>
      <c r="I38" s="48"/>
      <c r="J38" s="46">
        <v>184</v>
      </c>
      <c r="K38" s="46">
        <v>184</v>
      </c>
      <c r="L38" s="46">
        <v>187</v>
      </c>
      <c r="M38" s="46">
        <v>186</v>
      </c>
      <c r="N38" s="66">
        <v>741</v>
      </c>
      <c r="O38" s="48"/>
      <c r="P38" s="46">
        <v>160</v>
      </c>
      <c r="Q38" s="46">
        <v>155</v>
      </c>
      <c r="R38" s="46">
        <v>163</v>
      </c>
      <c r="S38" s="46">
        <v>158</v>
      </c>
      <c r="T38" s="66">
        <v>636</v>
      </c>
      <c r="U38" s="48"/>
      <c r="V38" s="46">
        <v>142</v>
      </c>
      <c r="W38" s="46">
        <v>127</v>
      </c>
      <c r="X38" s="46">
        <v>122</v>
      </c>
      <c r="Y38" s="46">
        <v>105</v>
      </c>
      <c r="Z38" s="66">
        <v>496</v>
      </c>
      <c r="AA38" s="51"/>
      <c r="AB38" s="46">
        <v>91</v>
      </c>
      <c r="AC38" s="46">
        <v>97</v>
      </c>
      <c r="AD38" s="46">
        <v>91</v>
      </c>
      <c r="AE38" s="46">
        <v>96</v>
      </c>
      <c r="AF38" s="66">
        <v>375</v>
      </c>
      <c r="AG38" s="49"/>
      <c r="AH38" s="46">
        <v>84</v>
      </c>
      <c r="AI38" s="46">
        <v>102</v>
      </c>
      <c r="AJ38" s="50"/>
      <c r="AK38" s="50"/>
      <c r="AL38" s="68"/>
      <c r="AM38" s="71"/>
      <c r="AN38" s="50"/>
      <c r="AO38" s="50"/>
      <c r="AP38" s="50"/>
      <c r="AQ38" s="50"/>
      <c r="AR38" s="68"/>
      <c r="AS38" s="71"/>
      <c r="AT38" s="68"/>
      <c r="AU38" s="72"/>
      <c r="AV38" s="68"/>
      <c r="AW38" s="72"/>
      <c r="AX38" s="68"/>
    </row>
    <row r="39" spans="1:50" s="54" customFormat="1" ht="14.25" customHeight="1">
      <c r="A39" s="73"/>
      <c r="B39" s="76" t="s">
        <v>651</v>
      </c>
      <c r="C39" s="21"/>
      <c r="D39" s="46">
        <v>0</v>
      </c>
      <c r="E39" s="46">
        <v>0</v>
      </c>
      <c r="F39" s="46">
        <v>0</v>
      </c>
      <c r="G39" s="46">
        <v>0</v>
      </c>
      <c r="H39" s="66">
        <v>0</v>
      </c>
      <c r="I39" s="48"/>
      <c r="J39" s="46">
        <v>0</v>
      </c>
      <c r="K39" s="46">
        <v>0</v>
      </c>
      <c r="L39" s="46">
        <v>0</v>
      </c>
      <c r="M39" s="46">
        <v>0</v>
      </c>
      <c r="N39" s="66">
        <v>0</v>
      </c>
      <c r="O39" s="48"/>
      <c r="P39" s="46">
        <v>0</v>
      </c>
      <c r="Q39" s="46">
        <v>0</v>
      </c>
      <c r="R39" s="46">
        <v>0</v>
      </c>
      <c r="S39" s="46">
        <v>0</v>
      </c>
      <c r="T39" s="66">
        <v>0</v>
      </c>
      <c r="U39" s="48"/>
      <c r="V39" s="46">
        <v>0</v>
      </c>
      <c r="W39" s="46">
        <v>0</v>
      </c>
      <c r="X39" s="46">
        <v>0</v>
      </c>
      <c r="Y39" s="46">
        <v>0</v>
      </c>
      <c r="Z39" s="66">
        <v>0</v>
      </c>
      <c r="AA39" s="81"/>
      <c r="AB39" s="46">
        <v>0</v>
      </c>
      <c r="AC39" s="46">
        <v>0</v>
      </c>
      <c r="AD39" s="46">
        <v>0</v>
      </c>
      <c r="AE39" s="46">
        <v>0</v>
      </c>
      <c r="AF39" s="66">
        <v>0</v>
      </c>
      <c r="AG39" s="82"/>
      <c r="AH39" s="46">
        <v>0</v>
      </c>
      <c r="AI39" s="46">
        <v>0</v>
      </c>
      <c r="AJ39" s="50"/>
      <c r="AK39" s="50"/>
      <c r="AL39" s="68"/>
      <c r="AM39" s="81"/>
      <c r="AN39" s="50"/>
      <c r="AO39" s="50"/>
      <c r="AP39" s="50"/>
      <c r="AQ39" s="50"/>
      <c r="AR39" s="68"/>
      <c r="AS39" s="81"/>
      <c r="AT39" s="68"/>
      <c r="AU39" s="83"/>
      <c r="AV39" s="68"/>
      <c r="AW39" s="83"/>
      <c r="AX39" s="68"/>
    </row>
    <row r="40" spans="1:50" s="54" customFormat="1" ht="14.25" customHeight="1">
      <c r="A40" s="55"/>
      <c r="B40" s="76" t="s">
        <v>652</v>
      </c>
      <c r="C40" s="23"/>
      <c r="D40" s="46">
        <v>-156</v>
      </c>
      <c r="E40" s="46">
        <v>-169</v>
      </c>
      <c r="F40" s="46">
        <v>-164</v>
      </c>
      <c r="G40" s="46">
        <v>620</v>
      </c>
      <c r="H40" s="74">
        <v>131</v>
      </c>
      <c r="I40" s="48"/>
      <c r="J40" s="46">
        <v>-200</v>
      </c>
      <c r="K40" s="46">
        <v>-125</v>
      </c>
      <c r="L40" s="46">
        <v>-231</v>
      </c>
      <c r="M40" s="46">
        <v>-1395</v>
      </c>
      <c r="N40" s="74">
        <v>-1951</v>
      </c>
      <c r="O40" s="48"/>
      <c r="P40" s="46">
        <v>-219</v>
      </c>
      <c r="Q40" s="46">
        <v>62</v>
      </c>
      <c r="R40" s="46">
        <v>-212</v>
      </c>
      <c r="S40" s="46">
        <v>-236</v>
      </c>
      <c r="T40" s="74">
        <v>-865</v>
      </c>
      <c r="U40" s="48"/>
      <c r="V40" s="46">
        <v>-105</v>
      </c>
      <c r="W40" s="46">
        <v>-10</v>
      </c>
      <c r="X40" s="46">
        <v>-102</v>
      </c>
      <c r="Y40" s="46">
        <v>-80</v>
      </c>
      <c r="Z40" s="74">
        <v>-297</v>
      </c>
      <c r="AA40" s="51"/>
      <c r="AB40" s="46">
        <v>-29</v>
      </c>
      <c r="AC40" s="46">
        <v>-23</v>
      </c>
      <c r="AD40" s="46">
        <v>-31</v>
      </c>
      <c r="AE40" s="46">
        <v>-569</v>
      </c>
      <c r="AF40" s="74">
        <v>-652</v>
      </c>
      <c r="AG40" s="49"/>
      <c r="AH40" s="46">
        <v>-60</v>
      </c>
      <c r="AI40" s="46">
        <v>-31</v>
      </c>
      <c r="AJ40" s="50"/>
      <c r="AK40" s="50"/>
      <c r="AL40" s="75"/>
      <c r="AM40" s="51"/>
      <c r="AN40" s="50"/>
      <c r="AO40" s="50"/>
      <c r="AP40" s="50"/>
      <c r="AQ40" s="50"/>
      <c r="AR40" s="75"/>
      <c r="AS40" s="51"/>
      <c r="AT40" s="75"/>
      <c r="AU40" s="53"/>
      <c r="AV40" s="75"/>
      <c r="AW40" s="53"/>
      <c r="AX40" s="75"/>
    </row>
    <row r="41" spans="1:50" s="54" customFormat="1" ht="14.25" customHeight="1">
      <c r="A41" s="73"/>
      <c r="B41" s="79" t="s">
        <v>653</v>
      </c>
      <c r="C41" s="21"/>
      <c r="D41" s="46">
        <v>-19</v>
      </c>
      <c r="E41" s="46">
        <v>-18</v>
      </c>
      <c r="F41" s="46">
        <v>-9</v>
      </c>
      <c r="G41" s="46">
        <v>794</v>
      </c>
      <c r="H41" s="77">
        <v>748</v>
      </c>
      <c r="I41" s="48"/>
      <c r="J41" s="46">
        <v>-16</v>
      </c>
      <c r="K41" s="46">
        <v>59</v>
      </c>
      <c r="L41" s="46">
        <v>-44</v>
      </c>
      <c r="M41" s="46">
        <v>-1209</v>
      </c>
      <c r="N41" s="77">
        <v>-1210</v>
      </c>
      <c r="O41" s="48"/>
      <c r="P41" s="46">
        <v>-59</v>
      </c>
      <c r="Q41" s="46">
        <v>217</v>
      </c>
      <c r="R41" s="46">
        <v>-49</v>
      </c>
      <c r="S41" s="46">
        <v>-78</v>
      </c>
      <c r="T41" s="77">
        <v>-229</v>
      </c>
      <c r="U41" s="48"/>
      <c r="V41" s="46">
        <v>37</v>
      </c>
      <c r="W41" s="46">
        <v>117</v>
      </c>
      <c r="X41" s="46">
        <v>20</v>
      </c>
      <c r="Y41" s="46">
        <v>25</v>
      </c>
      <c r="Z41" s="77">
        <v>199</v>
      </c>
      <c r="AA41" s="86"/>
      <c r="AB41" s="46">
        <v>62</v>
      </c>
      <c r="AC41" s="46">
        <v>74</v>
      </c>
      <c r="AD41" s="46">
        <v>60</v>
      </c>
      <c r="AE41" s="46">
        <v>-473</v>
      </c>
      <c r="AF41" s="77">
        <v>-277</v>
      </c>
      <c r="AG41" s="82"/>
      <c r="AH41" s="46">
        <v>24</v>
      </c>
      <c r="AI41" s="46">
        <v>71</v>
      </c>
      <c r="AJ41" s="50"/>
      <c r="AK41" s="50"/>
      <c r="AL41" s="78"/>
      <c r="AM41" s="81"/>
      <c r="AN41" s="50"/>
      <c r="AO41" s="50"/>
      <c r="AP41" s="50"/>
      <c r="AQ41" s="50"/>
      <c r="AR41" s="78"/>
      <c r="AS41" s="81"/>
      <c r="AT41" s="78"/>
      <c r="AU41" s="83"/>
      <c r="AV41" s="78"/>
      <c r="AW41" s="83"/>
      <c r="AX41" s="78"/>
    </row>
    <row r="42" spans="1:50" s="54" customFormat="1" ht="14.25" customHeight="1">
      <c r="A42" s="84"/>
      <c r="B42" s="90" t="s">
        <v>654</v>
      </c>
      <c r="C42" s="22"/>
      <c r="D42" s="46">
        <v>1067</v>
      </c>
      <c r="E42" s="46">
        <v>702</v>
      </c>
      <c r="F42" s="46">
        <v>492</v>
      </c>
      <c r="G42" s="46">
        <v>850.97469999999998</v>
      </c>
      <c r="H42" s="77">
        <v>3168</v>
      </c>
      <c r="I42" s="48"/>
      <c r="J42" s="46">
        <v>1655</v>
      </c>
      <c r="K42" s="46">
        <v>1505.8987</v>
      </c>
      <c r="L42" s="46">
        <v>1108</v>
      </c>
      <c r="M42" s="46">
        <v>1991.1899000000001</v>
      </c>
      <c r="N42" s="77">
        <v>6260.0886</v>
      </c>
      <c r="O42" s="48"/>
      <c r="P42" s="46">
        <v>1553</v>
      </c>
      <c r="Q42" s="46">
        <v>1704.8353999999999</v>
      </c>
      <c r="R42" s="46">
        <v>1511</v>
      </c>
      <c r="S42" s="46">
        <v>2312</v>
      </c>
      <c r="T42" s="77">
        <v>7094</v>
      </c>
      <c r="U42" s="48"/>
      <c r="V42" s="46">
        <v>1197</v>
      </c>
      <c r="W42" s="46">
        <v>1129.1772000000001</v>
      </c>
      <c r="X42" s="46">
        <v>1145</v>
      </c>
      <c r="Y42" s="46">
        <v>1742</v>
      </c>
      <c r="Z42" s="77">
        <v>5174</v>
      </c>
      <c r="AA42" s="51"/>
      <c r="AB42" s="46">
        <v>1528</v>
      </c>
      <c r="AC42" s="46">
        <v>1347</v>
      </c>
      <c r="AD42" s="46">
        <v>1297</v>
      </c>
      <c r="AE42" s="46">
        <v>2346</v>
      </c>
      <c r="AF42" s="77">
        <v>6518</v>
      </c>
      <c r="AG42" s="49"/>
      <c r="AH42" s="46">
        <v>1184</v>
      </c>
      <c r="AI42" s="46">
        <v>1307</v>
      </c>
      <c r="AJ42" s="50"/>
      <c r="AK42" s="50"/>
      <c r="AL42" s="78"/>
      <c r="AM42" s="51"/>
      <c r="AN42" s="50"/>
      <c r="AO42" s="50"/>
      <c r="AP42" s="50"/>
      <c r="AQ42" s="50"/>
      <c r="AR42" s="78"/>
      <c r="AS42" s="51"/>
      <c r="AT42" s="78"/>
      <c r="AU42" s="53"/>
      <c r="AV42" s="78"/>
      <c r="AW42" s="53"/>
      <c r="AX42" s="78"/>
    </row>
    <row r="43" spans="1:50" s="54" customFormat="1" ht="14.25" customHeight="1">
      <c r="A43" s="73"/>
      <c r="B43" s="76"/>
      <c r="C43" s="21"/>
      <c r="D43" s="46"/>
      <c r="E43" s="46"/>
      <c r="F43" s="46"/>
      <c r="G43" s="46"/>
      <c r="H43" s="66"/>
      <c r="I43" s="48"/>
      <c r="J43" s="46"/>
      <c r="K43" s="46"/>
      <c r="L43" s="46"/>
      <c r="M43" s="46"/>
      <c r="N43" s="66"/>
      <c r="O43" s="48"/>
      <c r="P43" s="46"/>
      <c r="Q43" s="46"/>
      <c r="R43" s="46"/>
      <c r="S43" s="46"/>
      <c r="T43" s="66"/>
      <c r="U43" s="48"/>
      <c r="V43" s="46"/>
      <c r="W43" s="46"/>
      <c r="X43" s="46"/>
      <c r="Y43" s="46"/>
      <c r="Z43" s="66"/>
      <c r="AA43" s="51"/>
      <c r="AB43" s="46"/>
      <c r="AC43" s="46"/>
      <c r="AD43" s="46"/>
      <c r="AE43" s="46"/>
      <c r="AF43" s="66"/>
      <c r="AG43" s="49"/>
      <c r="AH43" s="46"/>
      <c r="AI43" s="46"/>
      <c r="AJ43" s="50"/>
      <c r="AK43" s="50"/>
      <c r="AL43" s="68"/>
      <c r="AM43" s="51"/>
      <c r="AN43" s="50"/>
      <c r="AO43" s="50"/>
      <c r="AP43" s="50"/>
      <c r="AQ43" s="50"/>
      <c r="AR43" s="68"/>
      <c r="AS43" s="51"/>
      <c r="AT43" s="68"/>
      <c r="AU43" s="53"/>
      <c r="AV43" s="68"/>
      <c r="AW43" s="53"/>
      <c r="AX43" s="68"/>
    </row>
    <row r="44" spans="1:50" s="54" customFormat="1" ht="14.25" customHeight="1">
      <c r="A44" s="44" t="s">
        <v>37</v>
      </c>
      <c r="B44" s="65" t="s">
        <v>655</v>
      </c>
      <c r="C44" s="21"/>
      <c r="D44" s="46"/>
      <c r="E44" s="46"/>
      <c r="F44" s="46"/>
      <c r="G44" s="46"/>
      <c r="H44" s="66"/>
      <c r="I44" s="48"/>
      <c r="J44" s="46"/>
      <c r="K44" s="46"/>
      <c r="L44" s="46"/>
      <c r="M44" s="46"/>
      <c r="N44" s="66"/>
      <c r="O44" s="48"/>
      <c r="P44" s="46"/>
      <c r="Q44" s="46"/>
      <c r="R44" s="46"/>
      <c r="S44" s="46"/>
      <c r="T44" s="66"/>
      <c r="U44" s="48"/>
      <c r="V44" s="46"/>
      <c r="W44" s="46"/>
      <c r="X44" s="46"/>
      <c r="Y44" s="46"/>
      <c r="Z44" s="66"/>
      <c r="AA44" s="51"/>
      <c r="AB44" s="46"/>
      <c r="AC44" s="46"/>
      <c r="AD44" s="46"/>
      <c r="AE44" s="46"/>
      <c r="AF44" s="66"/>
      <c r="AG44" s="49"/>
      <c r="AH44" s="46"/>
      <c r="AI44" s="46"/>
      <c r="AJ44" s="50"/>
      <c r="AK44" s="50"/>
      <c r="AL44" s="68"/>
      <c r="AM44" s="51"/>
      <c r="AN44" s="50"/>
      <c r="AO44" s="50"/>
      <c r="AP44" s="50"/>
      <c r="AQ44" s="50"/>
      <c r="AR44" s="68"/>
      <c r="AS44" s="51"/>
      <c r="AT44" s="68"/>
      <c r="AU44" s="53"/>
      <c r="AV44" s="68"/>
      <c r="AW44" s="53"/>
      <c r="AX44" s="68"/>
    </row>
    <row r="45" spans="1:50" s="54" customFormat="1" ht="14.25" customHeight="1">
      <c r="A45" s="84"/>
      <c r="B45" s="70" t="s">
        <v>656</v>
      </c>
      <c r="C45" s="22"/>
      <c r="D45" s="46">
        <v>267</v>
      </c>
      <c r="E45" s="46">
        <v>42</v>
      </c>
      <c r="F45" s="46">
        <v>121</v>
      </c>
      <c r="G45" s="46">
        <v>187.97470000000001</v>
      </c>
      <c r="H45" s="66">
        <v>674</v>
      </c>
      <c r="I45" s="48"/>
      <c r="J45" s="46">
        <v>372</v>
      </c>
      <c r="K45" s="46">
        <v>202.89869999999999</v>
      </c>
      <c r="L45" s="46">
        <v>169</v>
      </c>
      <c r="M45" s="46">
        <v>631.18989999999997</v>
      </c>
      <c r="N45" s="66">
        <v>1375.0886</v>
      </c>
      <c r="O45" s="48"/>
      <c r="P45" s="46">
        <v>366</v>
      </c>
      <c r="Q45" s="46">
        <v>405.83539999999999</v>
      </c>
      <c r="R45" s="46">
        <v>294</v>
      </c>
      <c r="S45" s="46">
        <v>513</v>
      </c>
      <c r="T45" s="66">
        <v>1592</v>
      </c>
      <c r="U45" s="48"/>
      <c r="V45" s="46">
        <v>292</v>
      </c>
      <c r="W45" s="46">
        <v>285.73719999999997</v>
      </c>
      <c r="X45" s="46">
        <v>280</v>
      </c>
      <c r="Y45" s="46">
        <v>488</v>
      </c>
      <c r="Z45" s="66">
        <v>1335</v>
      </c>
      <c r="AA45" s="71"/>
      <c r="AB45" s="46">
        <v>369</v>
      </c>
      <c r="AC45" s="46">
        <v>337</v>
      </c>
      <c r="AD45" s="46">
        <v>331</v>
      </c>
      <c r="AE45" s="46">
        <v>639.55999999999995</v>
      </c>
      <c r="AF45" s="66">
        <v>1667</v>
      </c>
      <c r="AG45" s="49"/>
      <c r="AH45" s="46">
        <v>292</v>
      </c>
      <c r="AI45" s="46">
        <v>317</v>
      </c>
      <c r="AJ45" s="50"/>
      <c r="AK45" s="50"/>
      <c r="AL45" s="68"/>
      <c r="AM45" s="91"/>
      <c r="AN45" s="50"/>
      <c r="AO45" s="50"/>
      <c r="AP45" s="50"/>
      <c r="AQ45" s="50"/>
      <c r="AR45" s="68"/>
      <c r="AS45" s="71"/>
      <c r="AT45" s="68"/>
      <c r="AU45" s="72"/>
      <c r="AV45" s="68"/>
      <c r="AW45" s="72"/>
      <c r="AX45" s="68"/>
    </row>
    <row r="46" spans="1:50" s="54" customFormat="1" ht="14.25" customHeight="1">
      <c r="A46" s="84"/>
      <c r="B46" s="70" t="s">
        <v>657</v>
      </c>
      <c r="C46" s="22"/>
      <c r="D46" s="46">
        <v>0</v>
      </c>
      <c r="E46" s="46">
        <v>0</v>
      </c>
      <c r="F46" s="46">
        <v>0</v>
      </c>
      <c r="G46" s="46">
        <v>0</v>
      </c>
      <c r="H46" s="66">
        <v>0</v>
      </c>
      <c r="I46" s="48"/>
      <c r="J46" s="46">
        <v>0</v>
      </c>
      <c r="K46" s="46">
        <v>0</v>
      </c>
      <c r="L46" s="46">
        <v>0</v>
      </c>
      <c r="M46" s="46">
        <v>0</v>
      </c>
      <c r="N46" s="66">
        <v>0</v>
      </c>
      <c r="O46" s="48"/>
      <c r="P46" s="46">
        <v>0</v>
      </c>
      <c r="Q46" s="46">
        <v>0</v>
      </c>
      <c r="R46" s="46">
        <v>0</v>
      </c>
      <c r="S46" s="46">
        <v>0</v>
      </c>
      <c r="T46" s="66">
        <v>0</v>
      </c>
      <c r="U46" s="48"/>
      <c r="V46" s="46">
        <v>0</v>
      </c>
      <c r="W46" s="46">
        <v>0</v>
      </c>
      <c r="X46" s="46">
        <v>0</v>
      </c>
      <c r="Y46" s="46">
        <v>0</v>
      </c>
      <c r="Z46" s="66">
        <v>0</v>
      </c>
      <c r="AA46" s="51"/>
      <c r="AB46" s="46">
        <v>0</v>
      </c>
      <c r="AC46" s="46">
        <v>0</v>
      </c>
      <c r="AD46" s="46">
        <v>0</v>
      </c>
      <c r="AE46" s="46">
        <v>0</v>
      </c>
      <c r="AF46" s="66">
        <v>0</v>
      </c>
      <c r="AG46" s="49"/>
      <c r="AH46" s="46">
        <v>0</v>
      </c>
      <c r="AI46" s="46">
        <v>0</v>
      </c>
      <c r="AJ46" s="50"/>
      <c r="AK46" s="50"/>
      <c r="AL46" s="68"/>
      <c r="AM46" s="92"/>
      <c r="AN46" s="50"/>
      <c r="AO46" s="50"/>
      <c r="AP46" s="50"/>
      <c r="AQ46" s="50"/>
      <c r="AR46" s="68"/>
      <c r="AS46" s="51"/>
      <c r="AT46" s="68"/>
      <c r="AU46" s="53"/>
      <c r="AV46" s="68"/>
      <c r="AW46" s="53"/>
      <c r="AX46" s="68"/>
    </row>
    <row r="47" spans="1:50" s="54" customFormat="1" ht="14.25" customHeight="1" thickBot="1">
      <c r="A47" s="73"/>
      <c r="B47" s="70" t="s">
        <v>658</v>
      </c>
      <c r="C47" s="21"/>
      <c r="D47" s="46">
        <v>800</v>
      </c>
      <c r="E47" s="46">
        <v>660</v>
      </c>
      <c r="F47" s="46">
        <v>371</v>
      </c>
      <c r="G47" s="46">
        <v>663</v>
      </c>
      <c r="H47" s="93">
        <v>2494</v>
      </c>
      <c r="I47" s="48"/>
      <c r="J47" s="46">
        <v>1283</v>
      </c>
      <c r="K47" s="46">
        <v>1303</v>
      </c>
      <c r="L47" s="46">
        <v>939</v>
      </c>
      <c r="M47" s="46">
        <v>1360</v>
      </c>
      <c r="N47" s="93">
        <v>4885</v>
      </c>
      <c r="O47" s="48"/>
      <c r="P47" s="46">
        <v>1187</v>
      </c>
      <c r="Q47" s="46">
        <v>1299</v>
      </c>
      <c r="R47" s="46">
        <v>1217</v>
      </c>
      <c r="S47" s="46">
        <v>1799</v>
      </c>
      <c r="T47" s="93">
        <v>5502</v>
      </c>
      <c r="U47" s="48"/>
      <c r="V47" s="46">
        <v>905</v>
      </c>
      <c r="W47" s="46">
        <v>843.44</v>
      </c>
      <c r="X47" s="46">
        <v>865</v>
      </c>
      <c r="Y47" s="46">
        <v>1254</v>
      </c>
      <c r="Z47" s="93">
        <v>3839</v>
      </c>
      <c r="AA47" s="51"/>
      <c r="AB47" s="46">
        <v>1159</v>
      </c>
      <c r="AC47" s="46">
        <v>1010</v>
      </c>
      <c r="AD47" s="46">
        <v>966</v>
      </c>
      <c r="AE47" s="46">
        <v>1706.44</v>
      </c>
      <c r="AF47" s="93">
        <v>4851</v>
      </c>
      <c r="AG47" s="49"/>
      <c r="AH47" s="46">
        <v>892</v>
      </c>
      <c r="AI47" s="46">
        <v>990</v>
      </c>
      <c r="AJ47" s="50"/>
      <c r="AK47" s="50"/>
      <c r="AL47" s="94"/>
      <c r="AM47" s="92"/>
      <c r="AN47" s="50"/>
      <c r="AO47" s="50"/>
      <c r="AP47" s="50"/>
      <c r="AQ47" s="50"/>
      <c r="AR47" s="94"/>
      <c r="AS47" s="51"/>
      <c r="AT47" s="94"/>
      <c r="AU47" s="53"/>
      <c r="AV47" s="94"/>
      <c r="AW47" s="53"/>
      <c r="AX47" s="94"/>
    </row>
    <row r="49" spans="1:50" s="54" customFormat="1" ht="14.25" customHeight="1">
      <c r="A49" s="44" t="s">
        <v>37</v>
      </c>
      <c r="B49" s="65" t="s">
        <v>659</v>
      </c>
      <c r="C49" s="23"/>
      <c r="D49" s="46"/>
      <c r="E49" s="46"/>
      <c r="F49" s="46"/>
      <c r="G49" s="46"/>
      <c r="H49" s="66"/>
      <c r="I49" s="48"/>
      <c r="J49" s="46"/>
      <c r="K49" s="46"/>
      <c r="L49" s="46"/>
      <c r="M49" s="46"/>
      <c r="N49" s="66"/>
      <c r="O49" s="48"/>
      <c r="P49" s="46"/>
      <c r="Q49" s="46"/>
      <c r="R49" s="46"/>
      <c r="S49" s="46"/>
      <c r="T49" s="66"/>
      <c r="U49" s="48"/>
      <c r="V49" s="46"/>
      <c r="W49" s="46"/>
      <c r="X49" s="46"/>
      <c r="Y49" s="46"/>
      <c r="Z49" s="66"/>
      <c r="AA49" s="48"/>
      <c r="AB49" s="46"/>
      <c r="AC49" s="46"/>
      <c r="AD49" s="46"/>
      <c r="AE49" s="46"/>
      <c r="AF49" s="66"/>
      <c r="AG49" s="95"/>
      <c r="AH49" s="46"/>
      <c r="AI49" s="46"/>
      <c r="AJ49" s="50"/>
      <c r="AK49" s="50"/>
      <c r="AL49" s="68"/>
      <c r="AM49" s="48"/>
      <c r="AN49" s="50"/>
      <c r="AO49" s="50"/>
      <c r="AP49" s="50"/>
      <c r="AQ49" s="50"/>
      <c r="AR49" s="68"/>
      <c r="AS49" s="48"/>
      <c r="AT49" s="68"/>
      <c r="AU49" s="96"/>
      <c r="AV49" s="68"/>
      <c r="AW49" s="96"/>
      <c r="AX49" s="68"/>
    </row>
    <row r="50" spans="1:50" s="54" customFormat="1" ht="14.25" customHeight="1">
      <c r="A50" s="73"/>
      <c r="B50" s="70" t="s">
        <v>660</v>
      </c>
      <c r="C50" s="21"/>
      <c r="D50" s="46">
        <v>0</v>
      </c>
      <c r="E50" s="46">
        <v>0</v>
      </c>
      <c r="F50" s="46">
        <v>0</v>
      </c>
      <c r="G50" s="46">
        <v>0</v>
      </c>
      <c r="H50" s="66">
        <v>0</v>
      </c>
      <c r="I50" s="48"/>
      <c r="J50" s="46">
        <v>0</v>
      </c>
      <c r="K50" s="46">
        <v>0</v>
      </c>
      <c r="L50" s="46">
        <v>0</v>
      </c>
      <c r="M50" s="46">
        <v>0</v>
      </c>
      <c r="N50" s="66">
        <v>0</v>
      </c>
      <c r="O50" s="48"/>
      <c r="P50" s="46">
        <v>0</v>
      </c>
      <c r="Q50" s="46">
        <v>0</v>
      </c>
      <c r="R50" s="46">
        <v>0</v>
      </c>
      <c r="S50" s="46">
        <v>0</v>
      </c>
      <c r="T50" s="66">
        <v>0</v>
      </c>
      <c r="U50" s="48"/>
      <c r="V50" s="46">
        <v>0</v>
      </c>
      <c r="W50" s="46">
        <v>0</v>
      </c>
      <c r="X50" s="46">
        <v>0</v>
      </c>
      <c r="Y50" s="46">
        <v>0</v>
      </c>
      <c r="Z50" s="66">
        <v>0</v>
      </c>
      <c r="AA50" s="81"/>
      <c r="AB50" s="46">
        <v>0</v>
      </c>
      <c r="AC50" s="46">
        <v>0</v>
      </c>
      <c r="AD50" s="46">
        <v>0</v>
      </c>
      <c r="AE50" s="46">
        <v>0</v>
      </c>
      <c r="AF50" s="66">
        <v>0</v>
      </c>
      <c r="AG50" s="82"/>
      <c r="AH50" s="46">
        <v>0</v>
      </c>
      <c r="AI50" s="46">
        <v>0</v>
      </c>
      <c r="AJ50" s="50"/>
      <c r="AK50" s="50"/>
      <c r="AL50" s="68"/>
      <c r="AM50" s="81"/>
      <c r="AN50" s="50"/>
      <c r="AO50" s="50"/>
      <c r="AP50" s="50"/>
      <c r="AQ50" s="50"/>
      <c r="AR50" s="68"/>
      <c r="AS50" s="81"/>
      <c r="AT50" s="68"/>
      <c r="AU50" s="83"/>
      <c r="AV50" s="68"/>
      <c r="AW50" s="83"/>
      <c r="AX50" s="68"/>
    </row>
    <row r="51" spans="1:50" s="54" customFormat="1" ht="14.25" customHeight="1">
      <c r="A51" s="55"/>
      <c r="B51" s="70" t="s">
        <v>661</v>
      </c>
      <c r="C51" s="23"/>
      <c r="D51" s="46">
        <v>0</v>
      </c>
      <c r="E51" s="46">
        <v>0</v>
      </c>
      <c r="F51" s="46">
        <v>0</v>
      </c>
      <c r="G51" s="46">
        <v>0</v>
      </c>
      <c r="H51" s="74">
        <v>0</v>
      </c>
      <c r="I51" s="48"/>
      <c r="J51" s="46">
        <v>0</v>
      </c>
      <c r="K51" s="46">
        <v>0</v>
      </c>
      <c r="L51" s="46">
        <v>0</v>
      </c>
      <c r="M51" s="46">
        <v>0</v>
      </c>
      <c r="N51" s="74">
        <v>0</v>
      </c>
      <c r="O51" s="48"/>
      <c r="P51" s="46">
        <v>0</v>
      </c>
      <c r="Q51" s="46">
        <v>0</v>
      </c>
      <c r="R51" s="46">
        <v>0</v>
      </c>
      <c r="S51" s="46">
        <v>0</v>
      </c>
      <c r="T51" s="74">
        <v>0</v>
      </c>
      <c r="U51" s="48"/>
      <c r="V51" s="46">
        <v>0</v>
      </c>
      <c r="W51" s="46">
        <v>0</v>
      </c>
      <c r="X51" s="46">
        <v>0</v>
      </c>
      <c r="Y51" s="46">
        <v>0</v>
      </c>
      <c r="Z51" s="74">
        <v>0</v>
      </c>
      <c r="AA51" s="48"/>
      <c r="AB51" s="46">
        <v>0</v>
      </c>
      <c r="AC51" s="46">
        <v>0</v>
      </c>
      <c r="AD51" s="46">
        <v>0</v>
      </c>
      <c r="AE51" s="46">
        <v>0</v>
      </c>
      <c r="AF51" s="74">
        <v>0</v>
      </c>
      <c r="AG51" s="95"/>
      <c r="AH51" s="46">
        <v>0</v>
      </c>
      <c r="AI51" s="46">
        <v>0</v>
      </c>
      <c r="AJ51" s="50"/>
      <c r="AK51" s="50"/>
      <c r="AL51" s="75"/>
      <c r="AM51" s="48"/>
      <c r="AN51" s="50"/>
      <c r="AO51" s="50"/>
      <c r="AP51" s="50"/>
      <c r="AQ51" s="50"/>
      <c r="AR51" s="75"/>
      <c r="AS51" s="48"/>
      <c r="AT51" s="75"/>
      <c r="AU51" s="96"/>
      <c r="AV51" s="75"/>
      <c r="AW51" s="96"/>
      <c r="AX51" s="75"/>
    </row>
    <row r="52" spans="1:50" s="54" customFormat="1" ht="14.25" customHeight="1" thickBot="1">
      <c r="A52" s="73"/>
      <c r="B52" s="76" t="s">
        <v>662</v>
      </c>
      <c r="C52" s="21"/>
      <c r="D52" s="46">
        <v>800</v>
      </c>
      <c r="E52" s="46">
        <v>660</v>
      </c>
      <c r="F52" s="46">
        <v>371</v>
      </c>
      <c r="G52" s="46">
        <v>663</v>
      </c>
      <c r="H52" s="93">
        <v>2494</v>
      </c>
      <c r="I52" s="48"/>
      <c r="J52" s="46">
        <v>1283</v>
      </c>
      <c r="K52" s="46">
        <v>1303</v>
      </c>
      <c r="L52" s="46">
        <v>939</v>
      </c>
      <c r="M52" s="46">
        <v>1360</v>
      </c>
      <c r="N52" s="93">
        <v>4885</v>
      </c>
      <c r="O52" s="48"/>
      <c r="P52" s="46">
        <v>1187</v>
      </c>
      <c r="Q52" s="46">
        <v>1299</v>
      </c>
      <c r="R52" s="46">
        <v>1217</v>
      </c>
      <c r="S52" s="46">
        <v>1799</v>
      </c>
      <c r="T52" s="93">
        <v>5502</v>
      </c>
      <c r="U52" s="48"/>
      <c r="V52" s="46">
        <v>905</v>
      </c>
      <c r="W52" s="46">
        <v>843.44</v>
      </c>
      <c r="X52" s="46">
        <v>865</v>
      </c>
      <c r="Y52" s="46">
        <v>1254</v>
      </c>
      <c r="Z52" s="93">
        <v>3839</v>
      </c>
      <c r="AA52" s="48"/>
      <c r="AB52" s="46">
        <v>1159</v>
      </c>
      <c r="AC52" s="46">
        <v>1010</v>
      </c>
      <c r="AD52" s="46">
        <v>966</v>
      </c>
      <c r="AE52" s="46">
        <v>1706.44</v>
      </c>
      <c r="AF52" s="93">
        <v>4851</v>
      </c>
      <c r="AG52" s="95"/>
      <c r="AH52" s="46">
        <v>892</v>
      </c>
      <c r="AI52" s="46">
        <v>990</v>
      </c>
      <c r="AJ52" s="50"/>
      <c r="AK52" s="50"/>
      <c r="AL52" s="94"/>
      <c r="AM52" s="48"/>
      <c r="AN52" s="50"/>
      <c r="AO52" s="50"/>
      <c r="AP52" s="50"/>
      <c r="AQ52" s="50"/>
      <c r="AR52" s="94"/>
      <c r="AS52" s="48"/>
      <c r="AT52" s="94"/>
      <c r="AU52" s="96"/>
      <c r="AV52" s="94"/>
      <c r="AW52" s="96"/>
      <c r="AX52" s="94"/>
    </row>
    <row r="53" spans="1:50" s="54" customFormat="1" ht="14.25" customHeight="1" thickTop="1">
      <c r="A53" s="55"/>
      <c r="B53" s="97"/>
      <c r="C53" s="23"/>
      <c r="D53" s="46"/>
      <c r="E53" s="46"/>
      <c r="F53" s="46"/>
      <c r="G53" s="46"/>
      <c r="H53" s="66"/>
      <c r="I53" s="48"/>
      <c r="J53" s="46"/>
      <c r="K53" s="46"/>
      <c r="L53" s="46"/>
      <c r="M53" s="46"/>
      <c r="N53" s="66"/>
      <c r="O53" s="48"/>
      <c r="P53" s="46"/>
      <c r="Q53" s="46"/>
      <c r="R53" s="46"/>
      <c r="S53" s="46"/>
      <c r="T53" s="66"/>
      <c r="U53" s="48"/>
      <c r="V53" s="46"/>
      <c r="W53" s="46"/>
      <c r="X53" s="46"/>
      <c r="Y53" s="46"/>
      <c r="Z53" s="66"/>
      <c r="AA53" s="48"/>
      <c r="AB53" s="46"/>
      <c r="AC53" s="46"/>
      <c r="AD53" s="46"/>
      <c r="AE53" s="46"/>
      <c r="AF53" s="66"/>
      <c r="AG53" s="95"/>
      <c r="AH53" s="46"/>
      <c r="AI53" s="46"/>
      <c r="AJ53" s="50"/>
      <c r="AK53" s="50"/>
      <c r="AL53" s="68"/>
      <c r="AM53" s="48"/>
      <c r="AN53" s="50"/>
      <c r="AO53" s="50"/>
      <c r="AP53" s="50"/>
      <c r="AQ53" s="50"/>
      <c r="AR53" s="68"/>
      <c r="AS53" s="48"/>
      <c r="AT53" s="68"/>
      <c r="AU53" s="96"/>
      <c r="AV53" s="68"/>
      <c r="AW53" s="96"/>
      <c r="AX53" s="68"/>
    </row>
    <row r="54" spans="1:50" s="54" customFormat="1" ht="14.25" customHeight="1">
      <c r="A54" s="44" t="s">
        <v>37</v>
      </c>
      <c r="B54" s="65" t="s">
        <v>663</v>
      </c>
      <c r="C54" s="21"/>
      <c r="D54" s="46"/>
      <c r="E54" s="46"/>
      <c r="F54" s="46"/>
      <c r="G54" s="46"/>
      <c r="H54" s="66"/>
      <c r="I54" s="48"/>
      <c r="J54" s="46"/>
      <c r="K54" s="46"/>
      <c r="L54" s="46"/>
      <c r="M54" s="46"/>
      <c r="N54" s="66"/>
      <c r="O54" s="48"/>
      <c r="P54" s="46"/>
      <c r="Q54" s="46"/>
      <c r="R54" s="46"/>
      <c r="S54" s="46"/>
      <c r="T54" s="66"/>
      <c r="U54" s="48"/>
      <c r="V54" s="46"/>
      <c r="W54" s="46"/>
      <c r="X54" s="46"/>
      <c r="Y54" s="46"/>
      <c r="Z54" s="66"/>
      <c r="AA54" s="48"/>
      <c r="AB54" s="46"/>
      <c r="AC54" s="46"/>
      <c r="AD54" s="46"/>
      <c r="AE54" s="46"/>
      <c r="AF54" s="66"/>
      <c r="AG54" s="95"/>
      <c r="AH54" s="46"/>
      <c r="AI54" s="46"/>
      <c r="AJ54" s="50"/>
      <c r="AK54" s="50"/>
      <c r="AL54" s="68"/>
      <c r="AM54" s="48"/>
      <c r="AN54" s="50"/>
      <c r="AO54" s="50"/>
      <c r="AP54" s="50"/>
      <c r="AQ54" s="50"/>
      <c r="AR54" s="68"/>
      <c r="AS54" s="48"/>
      <c r="AT54" s="68"/>
      <c r="AU54" s="96"/>
      <c r="AV54" s="68"/>
      <c r="AW54" s="96"/>
      <c r="AX54" s="68"/>
    </row>
    <row r="55" spans="1:50" s="54" customFormat="1" ht="14.25" customHeight="1">
      <c r="A55" s="55"/>
      <c r="B55" s="76" t="s">
        <v>664</v>
      </c>
      <c r="C55" s="23"/>
      <c r="D55" s="98">
        <v>3.0769000000000002</v>
      </c>
      <c r="E55" s="98">
        <v>2.5287000000000002</v>
      </c>
      <c r="F55" s="98">
        <v>1.4215</v>
      </c>
      <c r="G55" s="98">
        <v>2.5402</v>
      </c>
      <c r="H55" s="99">
        <v>9.5556000000000001</v>
      </c>
      <c r="I55" s="100"/>
      <c r="J55" s="98">
        <v>4.8968999999999996</v>
      </c>
      <c r="K55" s="98">
        <v>4.9356</v>
      </c>
      <c r="L55" s="98">
        <v>3.5703</v>
      </c>
      <c r="M55" s="98">
        <v>5.0183999999999997</v>
      </c>
      <c r="N55" s="99">
        <v>18.503799999999998</v>
      </c>
      <c r="O55" s="100"/>
      <c r="P55" s="98">
        <v>4.4623999999999997</v>
      </c>
      <c r="Q55" s="98">
        <v>4.9019000000000004</v>
      </c>
      <c r="R55" s="98">
        <v>4.6627999999999998</v>
      </c>
      <c r="S55" s="98">
        <v>6.8926999999999996</v>
      </c>
      <c r="T55" s="99">
        <v>20.920200000000001</v>
      </c>
      <c r="U55" s="100"/>
      <c r="V55" s="98">
        <v>3.4942000000000002</v>
      </c>
      <c r="W55" s="98">
        <v>3.3075999999999999</v>
      </c>
      <c r="X55" s="98">
        <v>3.4462000000000002</v>
      </c>
      <c r="Y55" s="98">
        <v>4.9960000000000004</v>
      </c>
      <c r="Z55" s="99">
        <v>15.1142</v>
      </c>
      <c r="AA55" s="100"/>
      <c r="AB55" s="98">
        <v>4.6174999999999997</v>
      </c>
      <c r="AC55" s="98">
        <v>4.04</v>
      </c>
      <c r="AD55" s="98">
        <v>3.9108999999999998</v>
      </c>
      <c r="AE55" s="98">
        <v>6.8807999999999998</v>
      </c>
      <c r="AF55" s="99">
        <v>19.326699999999999</v>
      </c>
      <c r="AG55" s="101"/>
      <c r="AH55" s="98">
        <v>3.6556999999999999</v>
      </c>
      <c r="AI55" s="98">
        <v>4.0909000000000004</v>
      </c>
      <c r="AJ55" s="102"/>
      <c r="AK55" s="102"/>
      <c r="AL55" s="103"/>
      <c r="AM55" s="100"/>
      <c r="AN55" s="102"/>
      <c r="AO55" s="102"/>
      <c r="AP55" s="102"/>
      <c r="AQ55" s="102"/>
      <c r="AR55" s="103"/>
      <c r="AS55" s="100"/>
      <c r="AT55" s="103"/>
      <c r="AU55" s="104"/>
      <c r="AV55" s="103"/>
      <c r="AW55" s="104"/>
      <c r="AX55" s="103"/>
    </row>
    <row r="56" spans="1:50" s="54" customFormat="1" ht="14.25" customHeight="1">
      <c r="A56" s="73"/>
      <c r="B56" s="76" t="s">
        <v>665</v>
      </c>
      <c r="C56" s="21"/>
      <c r="D56" s="98">
        <v>3.0499000000000001</v>
      </c>
      <c r="E56" s="98">
        <v>2.5116999999999998</v>
      </c>
      <c r="F56" s="98">
        <v>1.4137</v>
      </c>
      <c r="G56" s="98">
        <v>2.5398999999999998</v>
      </c>
      <c r="H56" s="99">
        <v>9.5106999999999999</v>
      </c>
      <c r="I56" s="100"/>
      <c r="J56" s="98">
        <v>4.8644999999999996</v>
      </c>
      <c r="K56" s="98">
        <v>4.8438999999999997</v>
      </c>
      <c r="L56" s="98">
        <v>3.4906999999999999</v>
      </c>
      <c r="M56" s="98">
        <v>5.0054999999999996</v>
      </c>
      <c r="N56" s="99">
        <v>18.158999999999999</v>
      </c>
      <c r="O56" s="100"/>
      <c r="P56" s="98">
        <v>4.3667999999999996</v>
      </c>
      <c r="Q56" s="98">
        <v>4.8315000000000001</v>
      </c>
      <c r="R56" s="98">
        <v>4.5961999999999996</v>
      </c>
      <c r="S56" s="98">
        <v>6.8848000000000003</v>
      </c>
      <c r="T56" s="99">
        <v>20.630800000000001</v>
      </c>
      <c r="U56" s="100"/>
      <c r="V56" s="98">
        <v>3.4445000000000001</v>
      </c>
      <c r="W56" s="98">
        <v>3.2866</v>
      </c>
      <c r="X56" s="98">
        <v>3.4215</v>
      </c>
      <c r="Y56" s="98">
        <v>4.9565000000000001</v>
      </c>
      <c r="Z56" s="99">
        <v>14.9605</v>
      </c>
      <c r="AA56" s="100"/>
      <c r="AB56" s="98">
        <v>4.5488999999999997</v>
      </c>
      <c r="AC56" s="98">
        <v>3.9847999999999999</v>
      </c>
      <c r="AD56" s="98">
        <v>3.8580000000000001</v>
      </c>
      <c r="AE56" s="98">
        <v>6.8807999999999998</v>
      </c>
      <c r="AF56" s="99">
        <v>19.326699999999999</v>
      </c>
      <c r="AG56" s="101"/>
      <c r="AH56" s="98">
        <v>3.6067999999999998</v>
      </c>
      <c r="AI56" s="98">
        <v>4.0505000000000004</v>
      </c>
      <c r="AJ56" s="102"/>
      <c r="AK56" s="102"/>
      <c r="AL56" s="103"/>
      <c r="AM56" s="100"/>
      <c r="AN56" s="102"/>
      <c r="AO56" s="102"/>
      <c r="AP56" s="102"/>
      <c r="AQ56" s="102"/>
      <c r="AR56" s="103"/>
      <c r="AS56" s="100"/>
      <c r="AT56" s="103"/>
      <c r="AU56" s="104"/>
      <c r="AV56" s="103"/>
      <c r="AW56" s="104"/>
      <c r="AX56" s="103"/>
    </row>
    <row r="57" spans="1:50" s="54" customFormat="1" ht="14.25" customHeight="1">
      <c r="A57" s="55"/>
      <c r="B57" s="97"/>
      <c r="C57" s="23"/>
      <c r="D57" s="46"/>
      <c r="E57" s="46"/>
      <c r="F57" s="46"/>
      <c r="G57" s="46"/>
      <c r="H57" s="66"/>
      <c r="I57" s="48"/>
      <c r="J57" s="46"/>
      <c r="K57" s="46"/>
      <c r="L57" s="46"/>
      <c r="M57" s="46"/>
      <c r="N57" s="66"/>
      <c r="O57" s="48"/>
      <c r="P57" s="46"/>
      <c r="Q57" s="46"/>
      <c r="R57" s="46"/>
      <c r="S57" s="46"/>
      <c r="T57" s="66"/>
      <c r="U57" s="48"/>
      <c r="V57" s="46"/>
      <c r="W57" s="46"/>
      <c r="X57" s="46"/>
      <c r="Y57" s="46"/>
      <c r="Z57" s="66"/>
      <c r="AA57" s="48"/>
      <c r="AB57" s="46"/>
      <c r="AC57" s="46"/>
      <c r="AD57" s="46"/>
      <c r="AE57" s="46"/>
      <c r="AF57" s="66"/>
      <c r="AG57" s="95"/>
      <c r="AH57" s="46"/>
      <c r="AI57" s="46"/>
      <c r="AJ57" s="50"/>
      <c r="AK57" s="50"/>
      <c r="AL57" s="68"/>
      <c r="AM57" s="48"/>
      <c r="AN57" s="50"/>
      <c r="AO57" s="50"/>
      <c r="AP57" s="50"/>
      <c r="AQ57" s="50"/>
      <c r="AR57" s="68"/>
      <c r="AS57" s="48"/>
      <c r="AT57" s="68"/>
      <c r="AU57" s="96"/>
      <c r="AV57" s="68"/>
      <c r="AW57" s="96"/>
      <c r="AX57" s="68"/>
    </row>
    <row r="58" spans="1:50" s="54" customFormat="1" ht="14.25" customHeight="1">
      <c r="A58" s="44" t="s">
        <v>37</v>
      </c>
      <c r="B58" s="65" t="s">
        <v>666</v>
      </c>
      <c r="C58" s="21"/>
      <c r="D58" s="46"/>
      <c r="E58" s="46"/>
      <c r="F58" s="46"/>
      <c r="G58" s="46"/>
      <c r="H58" s="66"/>
      <c r="I58" s="48"/>
      <c r="J58" s="46"/>
      <c r="K58" s="46"/>
      <c r="L58" s="46"/>
      <c r="M58" s="46"/>
      <c r="N58" s="66"/>
      <c r="O58" s="48"/>
      <c r="P58" s="46"/>
      <c r="Q58" s="46"/>
      <c r="R58" s="46"/>
      <c r="S58" s="46"/>
      <c r="T58" s="66"/>
      <c r="U58" s="48"/>
      <c r="V58" s="46"/>
      <c r="W58" s="46"/>
      <c r="X58" s="46"/>
      <c r="Y58" s="46"/>
      <c r="Z58" s="66"/>
      <c r="AA58" s="48"/>
      <c r="AB58" s="46"/>
      <c r="AC58" s="46"/>
      <c r="AD58" s="46"/>
      <c r="AE58" s="46"/>
      <c r="AF58" s="66"/>
      <c r="AG58" s="95"/>
      <c r="AH58" s="46"/>
      <c r="AI58" s="46"/>
      <c r="AJ58" s="50"/>
      <c r="AK58" s="50"/>
      <c r="AL58" s="68"/>
      <c r="AM58" s="48"/>
      <c r="AN58" s="50"/>
      <c r="AO58" s="50"/>
      <c r="AP58" s="50"/>
      <c r="AQ58" s="50"/>
      <c r="AR58" s="68"/>
      <c r="AS58" s="48"/>
      <c r="AT58" s="68"/>
      <c r="AU58" s="96"/>
      <c r="AV58" s="68"/>
      <c r="AW58" s="96"/>
      <c r="AX58" s="68"/>
    </row>
    <row r="59" spans="1:50" s="54" customFormat="1" ht="14.25" customHeight="1">
      <c r="A59" s="97"/>
      <c r="B59" s="70" t="s">
        <v>667</v>
      </c>
      <c r="C59" s="23"/>
      <c r="D59" s="319">
        <v>260</v>
      </c>
      <c r="E59" s="319">
        <v>261</v>
      </c>
      <c r="F59" s="319">
        <v>261</v>
      </c>
      <c r="G59" s="319">
        <v>261</v>
      </c>
      <c r="H59" s="329">
        <v>261</v>
      </c>
      <c r="I59" s="330"/>
      <c r="J59" s="319">
        <v>262</v>
      </c>
      <c r="K59" s="319">
        <v>264</v>
      </c>
      <c r="L59" s="319">
        <v>263</v>
      </c>
      <c r="M59" s="319">
        <v>271</v>
      </c>
      <c r="N59" s="329">
        <v>264</v>
      </c>
      <c r="O59" s="330"/>
      <c r="P59" s="319">
        <v>266</v>
      </c>
      <c r="Q59" s="319">
        <v>265</v>
      </c>
      <c r="R59" s="319">
        <v>261</v>
      </c>
      <c r="S59" s="319">
        <v>261</v>
      </c>
      <c r="T59" s="329">
        <v>263</v>
      </c>
      <c r="U59" s="330"/>
      <c r="V59" s="319">
        <v>259</v>
      </c>
      <c r="W59" s="319">
        <v>255</v>
      </c>
      <c r="X59" s="319">
        <v>251</v>
      </c>
      <c r="Y59" s="319">
        <v>251</v>
      </c>
      <c r="Z59" s="329">
        <v>254</v>
      </c>
      <c r="AA59" s="330"/>
      <c r="AB59" s="319">
        <v>251</v>
      </c>
      <c r="AC59" s="319">
        <v>250</v>
      </c>
      <c r="AD59" s="319">
        <v>247</v>
      </c>
      <c r="AE59" s="319">
        <v>248</v>
      </c>
      <c r="AF59" s="329">
        <v>251</v>
      </c>
      <c r="AG59" s="331"/>
      <c r="AH59" s="319">
        <v>244</v>
      </c>
      <c r="AI59" s="319">
        <v>242</v>
      </c>
      <c r="AJ59" s="332"/>
      <c r="AK59" s="332"/>
      <c r="AL59" s="358"/>
      <c r="AM59" s="330"/>
      <c r="AN59" s="332"/>
      <c r="AO59" s="332"/>
      <c r="AP59" s="332"/>
      <c r="AQ59" s="332"/>
      <c r="AR59" s="358"/>
      <c r="AS59" s="48"/>
      <c r="AT59" s="358"/>
      <c r="AU59" s="96"/>
      <c r="AV59" s="358"/>
      <c r="AW59" s="96"/>
      <c r="AX59" s="358"/>
    </row>
    <row r="60" spans="1:50" s="54" customFormat="1" ht="14.25" customHeight="1">
      <c r="A60" s="97"/>
      <c r="B60" s="70" t="s">
        <v>668</v>
      </c>
      <c r="C60" s="23"/>
      <c r="D60" s="319">
        <v>262</v>
      </c>
      <c r="E60" s="319">
        <v>262</v>
      </c>
      <c r="F60" s="319">
        <v>262</v>
      </c>
      <c r="G60" s="319">
        <v>261</v>
      </c>
      <c r="H60" s="329">
        <v>262</v>
      </c>
      <c r="I60" s="330"/>
      <c r="J60" s="319">
        <v>263</v>
      </c>
      <c r="K60" s="319">
        <v>269</v>
      </c>
      <c r="L60" s="319">
        <v>269</v>
      </c>
      <c r="M60" s="319">
        <v>271</v>
      </c>
      <c r="N60" s="329">
        <v>268</v>
      </c>
      <c r="O60" s="330"/>
      <c r="P60" s="319">
        <v>271</v>
      </c>
      <c r="Q60" s="319">
        <v>268</v>
      </c>
      <c r="R60" s="319">
        <v>265</v>
      </c>
      <c r="S60" s="319">
        <v>261</v>
      </c>
      <c r="T60" s="329">
        <v>266</v>
      </c>
      <c r="U60" s="330"/>
      <c r="V60" s="319">
        <v>262</v>
      </c>
      <c r="W60" s="319">
        <v>256</v>
      </c>
      <c r="X60" s="319">
        <v>253</v>
      </c>
      <c r="Y60" s="319">
        <v>253</v>
      </c>
      <c r="Z60" s="329">
        <v>256</v>
      </c>
      <c r="AA60" s="330"/>
      <c r="AB60" s="319">
        <v>254</v>
      </c>
      <c r="AC60" s="319">
        <v>253</v>
      </c>
      <c r="AD60" s="319">
        <v>250</v>
      </c>
      <c r="AE60" s="319">
        <v>248</v>
      </c>
      <c r="AF60" s="329">
        <v>251</v>
      </c>
      <c r="AG60" s="331"/>
      <c r="AH60" s="319">
        <v>247</v>
      </c>
      <c r="AI60" s="319">
        <v>244</v>
      </c>
      <c r="AJ60" s="332"/>
      <c r="AK60" s="332"/>
      <c r="AL60" s="358"/>
      <c r="AM60" s="330"/>
      <c r="AN60" s="332"/>
      <c r="AO60" s="332"/>
      <c r="AP60" s="332"/>
      <c r="AQ60" s="332"/>
      <c r="AR60" s="358"/>
      <c r="AS60" s="48"/>
      <c r="AT60" s="358"/>
      <c r="AU60" s="96"/>
      <c r="AV60" s="358"/>
      <c r="AW60" s="96"/>
      <c r="AX60" s="358"/>
    </row>
    <row r="61" spans="1:50" ht="14.25" customHeight="1">
      <c r="AG61" s="205"/>
    </row>
    <row r="62" spans="1:50" ht="14.25" customHeight="1">
      <c r="B62" s="64" t="s">
        <v>669</v>
      </c>
      <c r="C62" s="115"/>
      <c r="D62" s="113"/>
      <c r="E62" s="113"/>
      <c r="F62" s="113"/>
      <c r="G62" s="113"/>
      <c r="H62" s="113"/>
      <c r="I62" s="115"/>
      <c r="J62" s="113"/>
      <c r="K62" s="113"/>
      <c r="L62" s="113"/>
      <c r="M62" s="113"/>
      <c r="N62" s="113"/>
      <c r="O62" s="115"/>
      <c r="P62" s="113"/>
      <c r="Q62" s="113"/>
      <c r="R62" s="113"/>
      <c r="S62" s="113"/>
      <c r="T62" s="113"/>
      <c r="U62" s="115"/>
      <c r="V62" s="113"/>
      <c r="W62" s="113"/>
      <c r="X62" s="113"/>
      <c r="Y62" s="113"/>
      <c r="Z62" s="113"/>
      <c r="AA62" s="115"/>
      <c r="AB62" s="113"/>
      <c r="AC62" s="113"/>
      <c r="AD62" s="113"/>
      <c r="AE62" s="113"/>
      <c r="AF62" s="113"/>
      <c r="AG62" s="360"/>
      <c r="AH62" s="113"/>
      <c r="AI62" s="113"/>
      <c r="AJ62" s="113"/>
      <c r="AK62" s="113"/>
      <c r="AL62" s="113"/>
      <c r="AM62" s="115"/>
      <c r="AN62" s="113"/>
      <c r="AO62" s="113"/>
      <c r="AP62" s="113"/>
      <c r="AQ62" s="113"/>
    </row>
    <row r="63" spans="1:50" ht="14.25" customHeight="1">
      <c r="B63" s="64"/>
      <c r="C63" s="115"/>
      <c r="D63" s="113"/>
      <c r="E63" s="113"/>
      <c r="F63" s="113"/>
      <c r="G63" s="113"/>
      <c r="H63" s="113"/>
      <c r="I63" s="115"/>
      <c r="J63" s="113"/>
      <c r="K63" s="113"/>
      <c r="L63" s="113"/>
      <c r="M63" s="113"/>
      <c r="N63" s="113"/>
      <c r="O63" s="115"/>
      <c r="P63" s="113"/>
      <c r="Q63" s="113"/>
      <c r="R63" s="113"/>
      <c r="S63" s="113"/>
      <c r="T63" s="113"/>
      <c r="U63" s="115"/>
      <c r="V63" s="113"/>
      <c r="W63" s="113"/>
      <c r="X63" s="113"/>
      <c r="Y63" s="113"/>
      <c r="Z63" s="113"/>
      <c r="AA63" s="115"/>
      <c r="AB63" s="113"/>
      <c r="AC63" s="113"/>
      <c r="AD63" s="113"/>
      <c r="AE63" s="113"/>
      <c r="AF63" s="113"/>
      <c r="AG63" s="360"/>
      <c r="AH63" s="113"/>
      <c r="AI63" s="113"/>
      <c r="AJ63" s="113"/>
      <c r="AK63" s="113"/>
      <c r="AL63" s="113"/>
      <c r="AM63" s="115"/>
      <c r="AN63" s="113"/>
      <c r="AO63" s="113"/>
      <c r="AP63" s="113"/>
      <c r="AQ63" s="113"/>
    </row>
    <row r="64" spans="1:50" ht="14.25" customHeight="1">
      <c r="B64" s="114" t="s">
        <v>670</v>
      </c>
      <c r="C64" s="17"/>
      <c r="D64" s="60"/>
      <c r="E64" s="60"/>
      <c r="F64" s="60"/>
      <c r="G64" s="60"/>
      <c r="H64" s="66"/>
      <c r="I64" s="20"/>
      <c r="J64" s="60"/>
      <c r="K64" s="60"/>
      <c r="L64" s="60"/>
      <c r="M64" s="60"/>
      <c r="N64" s="66"/>
      <c r="O64" s="20"/>
      <c r="P64" s="60"/>
      <c r="Q64" s="60"/>
      <c r="R64" s="60"/>
      <c r="S64" s="60"/>
      <c r="T64" s="66"/>
      <c r="U64" s="20"/>
      <c r="V64" s="60"/>
      <c r="W64" s="60"/>
      <c r="X64" s="60"/>
      <c r="Y64" s="60"/>
      <c r="Z64" s="66"/>
      <c r="AA64" s="20"/>
      <c r="AB64" s="60"/>
      <c r="AC64" s="60"/>
      <c r="AD64" s="60"/>
      <c r="AE64" s="60"/>
      <c r="AF64" s="66"/>
      <c r="AG64" s="150"/>
      <c r="AH64" s="60"/>
      <c r="AI64" s="60"/>
      <c r="AJ64" s="46"/>
      <c r="AK64" s="46"/>
      <c r="AL64" s="66"/>
      <c r="AM64" s="20"/>
      <c r="AN64" s="46"/>
      <c r="AO64" s="46"/>
      <c r="AP64" s="46"/>
      <c r="AQ64" s="46"/>
    </row>
    <row r="65" spans="2:2" ht="14.25" customHeight="1">
      <c r="B65" s="114" t="s">
        <v>671</v>
      </c>
    </row>
  </sheetData>
  <mergeCells count="7">
    <mergeCell ref="AN8:AR8"/>
    <mergeCell ref="D8:H8"/>
    <mergeCell ref="J8:N8"/>
    <mergeCell ref="P8:T8"/>
    <mergeCell ref="V8:Z8"/>
    <mergeCell ref="AB8:AF8"/>
    <mergeCell ref="AH8:AL8"/>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5">
    <tabColor theme="4" tint="-0.249977111117893"/>
  </sheetPr>
  <dimension ref="A1:AX58"/>
  <sheetViews>
    <sheetView showGridLines="0" topLeftCell="A33" zoomScale="70" zoomScaleNormal="70" workbookViewId="0">
      <selection activeCell="B45" sqref="B45"/>
    </sheetView>
  </sheetViews>
  <sheetFormatPr defaultColWidth="9" defaultRowHeight="15" customHeight="1" outlineLevelCol="1"/>
  <cols>
    <col min="1" max="1" width="2.125" style="41" customWidth="1"/>
    <col min="2" max="2" width="50.625" style="41" customWidth="1"/>
    <col min="3" max="3" width="3.125" style="17" customWidth="1"/>
    <col min="4" max="7" width="9.625" style="41" customWidth="1" outlineLevel="1"/>
    <col min="8" max="8" width="11.625" style="41" customWidth="1"/>
    <col min="9" max="9" width="1.625" style="17" customWidth="1"/>
    <col min="10" max="13" width="9.625" style="41" customWidth="1" outlineLevel="1"/>
    <col min="14" max="14" width="11.625" style="41" customWidth="1"/>
    <col min="15" max="15" width="1.625" style="17" customWidth="1"/>
    <col min="16" max="19" width="9.625" style="41" customWidth="1" outlineLevel="1"/>
    <col min="20" max="20" width="11.625" style="41" customWidth="1"/>
    <col min="21" max="21" width="1.625" style="17" customWidth="1"/>
    <col min="22" max="25" width="9.625" style="41" customWidth="1" outlineLevel="1"/>
    <col min="26" max="26" width="11.625" style="41" customWidth="1"/>
    <col min="27" max="27" width="1.625" style="17" customWidth="1"/>
    <col min="28" max="31" width="9.625" style="41" customWidth="1" outlineLevel="1"/>
    <col min="32" max="32" width="11.625" style="41" customWidth="1"/>
    <col min="33" max="33" width="1.625" style="17" customWidth="1"/>
    <col min="34" max="37" width="9.625" style="41" customWidth="1" outlineLevel="1"/>
    <col min="38" max="38" width="11.625" style="41" customWidth="1"/>
    <col min="39" max="39" width="1.625" style="17" customWidth="1"/>
    <col min="40" max="43" width="9.625" style="41" customWidth="1" outlineLevel="1"/>
    <col min="44" max="44" width="11.625" style="41" customWidth="1"/>
    <col min="45" max="45" width="1.625" style="17" customWidth="1"/>
    <col min="46" max="46" width="11.625" style="41" customWidth="1"/>
    <col min="47" max="47" width="1.625" style="17" customWidth="1"/>
    <col min="48" max="48" width="11.625" style="42" customWidth="1"/>
    <col min="49" max="49" width="1.625" style="41" customWidth="1"/>
    <col min="50" max="50" width="11.625" style="41" customWidth="1"/>
    <col min="51" max="16384" width="9" style="41"/>
  </cols>
  <sheetData>
    <row r="1" spans="1:50" s="468" customFormat="1" ht="15" customHeight="1">
      <c r="AH1" s="468">
        <v>0</v>
      </c>
    </row>
    <row r="2" spans="1:50" s="468" customFormat="1" ht="15" customHeight="1"/>
    <row r="3" spans="1:50" s="468" customFormat="1" ht="15" customHeight="1"/>
    <row r="4" spans="1:50" s="468" customFormat="1" ht="15" customHeight="1"/>
    <row r="5" spans="1:50" s="464" customFormat="1" ht="4.3499999999999996" customHeight="1">
      <c r="C5" s="465"/>
      <c r="I5" s="465"/>
      <c r="O5" s="465"/>
      <c r="U5" s="465"/>
      <c r="AA5" s="465"/>
      <c r="AG5" s="465"/>
      <c r="AM5" s="465"/>
      <c r="AS5" s="465"/>
      <c r="AU5" s="465"/>
      <c r="AV5" s="466"/>
    </row>
    <row r="7" spans="1:50" ht="15" customHeight="1">
      <c r="B7" s="161" t="s">
        <v>490</v>
      </c>
      <c r="C7" s="18"/>
      <c r="D7" s="202">
        <v>2020</v>
      </c>
      <c r="E7" s="202">
        <v>2020</v>
      </c>
      <c r="F7" s="168">
        <v>2020</v>
      </c>
      <c r="G7" s="202">
        <v>2020</v>
      </c>
      <c r="H7" s="202">
        <v>2020</v>
      </c>
      <c r="I7" s="18"/>
      <c r="J7" s="202">
        <v>2021</v>
      </c>
      <c r="K7" s="202">
        <v>2021</v>
      </c>
      <c r="L7" s="202">
        <v>2021</v>
      </c>
      <c r="M7" s="202">
        <v>2021</v>
      </c>
      <c r="N7" s="202">
        <v>2021</v>
      </c>
      <c r="O7" s="169"/>
      <c r="P7" s="202">
        <v>2022</v>
      </c>
      <c r="Q7" s="202">
        <v>2022</v>
      </c>
      <c r="R7" s="202">
        <v>2022</v>
      </c>
      <c r="S7" s="202">
        <v>2022</v>
      </c>
      <c r="T7" s="202">
        <v>2022</v>
      </c>
      <c r="U7" s="169"/>
      <c r="V7" s="202">
        <v>2023</v>
      </c>
      <c r="W7" s="202">
        <v>2023</v>
      </c>
      <c r="X7" s="202">
        <v>2023</v>
      </c>
      <c r="Y7" s="202">
        <v>2023</v>
      </c>
      <c r="Z7" s="202">
        <v>2023</v>
      </c>
      <c r="AA7" s="170"/>
      <c r="AB7" s="202">
        <v>2024</v>
      </c>
      <c r="AC7" s="202">
        <v>2024</v>
      </c>
      <c r="AD7" s="202">
        <v>2024</v>
      </c>
      <c r="AE7" s="202">
        <v>2024</v>
      </c>
      <c r="AF7" s="202">
        <v>2024</v>
      </c>
      <c r="AG7" s="170"/>
      <c r="AH7" s="202">
        <v>2025</v>
      </c>
      <c r="AI7" s="202">
        <v>2025</v>
      </c>
      <c r="AJ7" s="203">
        <v>2025</v>
      </c>
      <c r="AK7" s="202">
        <v>2025</v>
      </c>
      <c r="AL7" s="202">
        <v>2025</v>
      </c>
      <c r="AM7" s="171"/>
      <c r="AN7" s="202">
        <v>2025</v>
      </c>
      <c r="AO7" s="202">
        <v>2025</v>
      </c>
      <c r="AP7" s="203">
        <v>2025</v>
      </c>
      <c r="AQ7" s="202">
        <v>2025</v>
      </c>
      <c r="AR7" s="202">
        <v>2025</v>
      </c>
      <c r="AS7" s="18"/>
      <c r="AT7" s="162"/>
      <c r="AU7" s="18"/>
      <c r="AV7" s="163"/>
      <c r="AW7" s="18"/>
      <c r="AX7" s="163"/>
    </row>
    <row r="8" spans="1:50" ht="15" customHeight="1">
      <c r="B8" s="164"/>
      <c r="C8" s="18"/>
      <c r="D8" s="779">
        <v>2020</v>
      </c>
      <c r="E8" s="779"/>
      <c r="F8" s="779"/>
      <c r="G8" s="779"/>
      <c r="H8" s="779"/>
      <c r="I8" s="169"/>
      <c r="J8" s="779">
        <v>2021</v>
      </c>
      <c r="K8" s="779"/>
      <c r="L8" s="779"/>
      <c r="M8" s="779"/>
      <c r="N8" s="779"/>
      <c r="O8" s="169"/>
      <c r="P8" s="779">
        <v>2022</v>
      </c>
      <c r="Q8" s="779"/>
      <c r="R8" s="779"/>
      <c r="S8" s="779"/>
      <c r="T8" s="779"/>
      <c r="U8" s="169"/>
      <c r="V8" s="779">
        <v>2023</v>
      </c>
      <c r="W8" s="779"/>
      <c r="X8" s="779"/>
      <c r="Y8" s="779"/>
      <c r="Z8" s="779"/>
      <c r="AA8" s="169"/>
      <c r="AB8" s="779">
        <v>2024</v>
      </c>
      <c r="AC8" s="779"/>
      <c r="AD8" s="779"/>
      <c r="AE8" s="779"/>
      <c r="AF8" s="779"/>
      <c r="AG8" s="169"/>
      <c r="AH8" s="777">
        <v>2025</v>
      </c>
      <c r="AI8" s="777"/>
      <c r="AJ8" s="777"/>
      <c r="AK8" s="777"/>
      <c r="AL8" s="777"/>
      <c r="AM8" s="169"/>
      <c r="AN8" s="777">
        <v>2026</v>
      </c>
      <c r="AO8" s="777"/>
      <c r="AP8" s="777"/>
      <c r="AQ8" s="777"/>
      <c r="AR8" s="777"/>
      <c r="AS8" s="171"/>
      <c r="AT8" s="166">
        <v>2027</v>
      </c>
      <c r="AU8" s="167"/>
      <c r="AV8" s="166">
        <v>2028</v>
      </c>
      <c r="AW8" s="167"/>
      <c r="AX8" s="166">
        <v>2029</v>
      </c>
    </row>
    <row r="9" spans="1:50" ht="15" customHeight="1">
      <c r="B9" s="164"/>
      <c r="C9" s="18"/>
      <c r="D9" s="168" t="s">
        <v>243</v>
      </c>
      <c r="E9" s="168" t="s">
        <v>244</v>
      </c>
      <c r="F9" s="168" t="s">
        <v>245</v>
      </c>
      <c r="G9" s="168" t="s">
        <v>246</v>
      </c>
      <c r="H9" s="168" t="s">
        <v>247</v>
      </c>
      <c r="I9" s="18"/>
      <c r="J9" s="168" t="s">
        <v>243</v>
      </c>
      <c r="K9" s="168" t="s">
        <v>244</v>
      </c>
      <c r="L9" s="168" t="s">
        <v>245</v>
      </c>
      <c r="M9" s="168" t="s">
        <v>246</v>
      </c>
      <c r="N9" s="168" t="s">
        <v>247</v>
      </c>
      <c r="O9" s="165"/>
      <c r="P9" s="168" t="s">
        <v>243</v>
      </c>
      <c r="Q9" s="168" t="s">
        <v>244</v>
      </c>
      <c r="R9" s="168" t="s">
        <v>245</v>
      </c>
      <c r="S9" s="168" t="s">
        <v>246</v>
      </c>
      <c r="T9" s="168" t="s">
        <v>247</v>
      </c>
      <c r="U9" s="165"/>
      <c r="V9" s="168" t="s">
        <v>243</v>
      </c>
      <c r="W9" s="168" t="s">
        <v>244</v>
      </c>
      <c r="X9" s="168" t="s">
        <v>245</v>
      </c>
      <c r="Y9" s="168" t="s">
        <v>246</v>
      </c>
      <c r="Z9" s="168" t="s">
        <v>247</v>
      </c>
      <c r="AA9" s="165"/>
      <c r="AB9" s="168" t="s">
        <v>243</v>
      </c>
      <c r="AC9" s="168" t="s">
        <v>244</v>
      </c>
      <c r="AD9" s="168" t="s">
        <v>245</v>
      </c>
      <c r="AE9" s="168" t="s">
        <v>246</v>
      </c>
      <c r="AF9" s="168" t="s">
        <v>247</v>
      </c>
      <c r="AG9" s="165"/>
      <c r="AH9" s="168" t="s">
        <v>243</v>
      </c>
      <c r="AI9" s="168" t="s">
        <v>244</v>
      </c>
      <c r="AJ9" s="168" t="s">
        <v>245</v>
      </c>
      <c r="AK9" s="168" t="s">
        <v>246</v>
      </c>
      <c r="AL9" s="168" t="s">
        <v>247</v>
      </c>
      <c r="AM9" s="165"/>
      <c r="AN9" s="168" t="s">
        <v>243</v>
      </c>
      <c r="AO9" s="168" t="s">
        <v>244</v>
      </c>
      <c r="AP9" s="168" t="s">
        <v>245</v>
      </c>
      <c r="AQ9" s="168" t="s">
        <v>246</v>
      </c>
      <c r="AR9" s="168" t="s">
        <v>247</v>
      </c>
      <c r="AS9" s="165"/>
      <c r="AT9" s="168" t="s">
        <v>247</v>
      </c>
      <c r="AU9" s="165"/>
      <c r="AV9" s="168" t="s">
        <v>247</v>
      </c>
      <c r="AW9" s="165"/>
      <c r="AX9" s="168" t="s">
        <v>247</v>
      </c>
    </row>
    <row r="10" spans="1:50" ht="4.3499999999999996" customHeight="1">
      <c r="A10" s="43"/>
      <c r="B10" s="176"/>
      <c r="C10" s="35"/>
      <c r="D10" s="177"/>
      <c r="E10" s="177"/>
      <c r="F10" s="177"/>
      <c r="G10" s="177"/>
      <c r="H10" s="177"/>
      <c r="I10" s="35"/>
      <c r="J10" s="177"/>
      <c r="K10" s="177"/>
      <c r="L10" s="177"/>
      <c r="M10" s="177"/>
      <c r="N10" s="177"/>
      <c r="O10" s="178"/>
      <c r="P10" s="177"/>
      <c r="Q10" s="177"/>
      <c r="R10" s="177"/>
      <c r="S10" s="177"/>
      <c r="T10" s="177"/>
      <c r="U10" s="178"/>
      <c r="V10" s="177"/>
      <c r="W10" s="177"/>
      <c r="X10" s="177"/>
      <c r="Y10" s="177"/>
      <c r="Z10" s="177"/>
      <c r="AA10" s="178"/>
      <c r="AB10" s="177"/>
      <c r="AC10" s="177"/>
      <c r="AD10" s="177"/>
      <c r="AE10" s="177"/>
      <c r="AF10" s="177"/>
      <c r="AG10" s="178"/>
      <c r="AH10" s="177"/>
      <c r="AI10" s="177"/>
      <c r="AJ10" s="177"/>
      <c r="AK10" s="177"/>
      <c r="AL10" s="179"/>
      <c r="AM10" s="180"/>
      <c r="AN10" s="179"/>
      <c r="AO10" s="179"/>
      <c r="AP10" s="179"/>
      <c r="AQ10" s="179"/>
      <c r="AR10" s="179"/>
      <c r="AS10" s="180"/>
      <c r="AT10" s="179"/>
      <c r="AU10" s="180"/>
      <c r="AV10" s="179"/>
      <c r="AW10" s="180"/>
      <c r="AX10" s="179"/>
    </row>
    <row r="11" spans="1:50" ht="4.3499999999999996" customHeight="1">
      <c r="A11" s="43"/>
      <c r="B11" s="172"/>
      <c r="C11" s="19"/>
      <c r="D11" s="173"/>
      <c r="E11" s="173"/>
      <c r="F11" s="173"/>
      <c r="G11" s="173"/>
      <c r="H11" s="173"/>
      <c r="I11" s="19"/>
      <c r="J11" s="173"/>
      <c r="K11" s="173"/>
      <c r="L11" s="173"/>
      <c r="M11" s="173"/>
      <c r="N11" s="173"/>
      <c r="O11" s="174"/>
      <c r="P11" s="173"/>
      <c r="Q11" s="173"/>
      <c r="R11" s="173"/>
      <c r="S11" s="173"/>
      <c r="T11" s="173"/>
      <c r="U11" s="174"/>
      <c r="V11" s="173"/>
      <c r="W11" s="173"/>
      <c r="X11" s="173"/>
      <c r="Y11" s="173"/>
      <c r="Z11" s="173"/>
      <c r="AA11" s="174"/>
      <c r="AB11" s="173"/>
      <c r="AC11" s="173"/>
      <c r="AD11" s="173"/>
      <c r="AE11" s="173"/>
      <c r="AF11" s="173"/>
      <c r="AG11" s="204"/>
      <c r="AH11" s="173"/>
      <c r="AI11" s="173"/>
      <c r="AJ11" s="173"/>
      <c r="AK11" s="173"/>
      <c r="AL11" s="175"/>
      <c r="AM11" s="34"/>
      <c r="AN11" s="175"/>
      <c r="AO11" s="175"/>
      <c r="AP11" s="175"/>
      <c r="AQ11" s="175"/>
      <c r="AR11" s="175"/>
      <c r="AS11" s="34"/>
      <c r="AT11" s="175"/>
      <c r="AU11" s="34"/>
      <c r="AV11" s="175"/>
      <c r="AW11" s="34"/>
      <c r="AX11" s="175"/>
    </row>
    <row r="12" spans="1:50" ht="15" customHeight="1">
      <c r="A12" s="44"/>
      <c r="B12" s="106" t="s">
        <v>672</v>
      </c>
      <c r="D12" s="46"/>
      <c r="E12" s="46"/>
      <c r="F12" s="46"/>
      <c r="G12" s="46"/>
      <c r="H12" s="57"/>
      <c r="I12" s="20"/>
      <c r="J12" s="107"/>
      <c r="K12" s="107"/>
      <c r="L12" s="107"/>
      <c r="M12" s="107"/>
      <c r="N12" s="108"/>
      <c r="O12" s="108"/>
      <c r="P12" s="107"/>
      <c r="Q12" s="107"/>
      <c r="R12" s="107"/>
      <c r="S12" s="107"/>
      <c r="T12" s="108"/>
      <c r="U12" s="108"/>
      <c r="V12" s="107"/>
      <c r="W12" s="107"/>
      <c r="X12" s="107"/>
      <c r="Y12" s="107"/>
      <c r="Z12" s="108"/>
      <c r="AA12" s="108"/>
      <c r="AB12" s="109"/>
      <c r="AC12" s="109"/>
      <c r="AD12" s="109"/>
      <c r="AE12" s="109"/>
      <c r="AF12" s="108"/>
      <c r="AG12" s="110"/>
      <c r="AH12" s="111"/>
      <c r="AI12" s="111"/>
      <c r="AJ12" s="111"/>
      <c r="AK12" s="111"/>
      <c r="AL12" s="108"/>
      <c r="AM12" s="112"/>
      <c r="AN12" s="111"/>
      <c r="AO12" s="111"/>
      <c r="AP12" s="111"/>
      <c r="AQ12" s="111"/>
      <c r="AR12" s="108"/>
      <c r="AS12" s="112"/>
      <c r="AT12" s="108"/>
      <c r="AU12" s="112"/>
      <c r="AV12" s="108"/>
    </row>
    <row r="13" spans="1:50" s="113" customFormat="1" ht="15" customHeight="1">
      <c r="B13" s="114"/>
      <c r="C13" s="115"/>
      <c r="D13" s="46"/>
      <c r="E13" s="46"/>
      <c r="F13" s="46"/>
      <c r="G13" s="46"/>
      <c r="H13" s="57"/>
      <c r="I13" s="116"/>
      <c r="J13" s="107"/>
      <c r="K13" s="107"/>
      <c r="L13" s="107"/>
      <c r="M13" s="107"/>
      <c r="N13" s="108"/>
      <c r="O13" s="116"/>
      <c r="P13" s="107"/>
      <c r="Q13" s="107"/>
      <c r="R13" s="107"/>
      <c r="S13" s="107"/>
      <c r="T13" s="108"/>
      <c r="U13" s="116"/>
      <c r="V13" s="107"/>
      <c r="W13" s="107"/>
      <c r="X13" s="107"/>
      <c r="Y13" s="107"/>
      <c r="Z13" s="108"/>
      <c r="AA13" s="117"/>
      <c r="AB13" s="109"/>
      <c r="AC13" s="109"/>
      <c r="AD13" s="109"/>
      <c r="AE13" s="109"/>
      <c r="AF13" s="108"/>
      <c r="AG13" s="118"/>
      <c r="AH13" s="119"/>
      <c r="AI13" s="119"/>
      <c r="AJ13" s="119"/>
      <c r="AK13" s="119"/>
      <c r="AL13" s="108"/>
      <c r="AM13" s="120"/>
      <c r="AN13" s="119"/>
      <c r="AO13" s="119"/>
      <c r="AP13" s="119"/>
      <c r="AQ13" s="119"/>
      <c r="AR13" s="108"/>
      <c r="AS13" s="120"/>
      <c r="AT13" s="108"/>
      <c r="AU13" s="120"/>
      <c r="AV13" s="108"/>
    </row>
    <row r="14" spans="1:50" ht="15" customHeight="1">
      <c r="A14" s="44" t="s">
        <v>37</v>
      </c>
      <c r="B14" s="114" t="s">
        <v>673</v>
      </c>
      <c r="D14" s="46"/>
      <c r="E14" s="46"/>
      <c r="F14" s="46"/>
      <c r="G14" s="46"/>
      <c r="H14" s="66"/>
      <c r="I14" s="20"/>
      <c r="J14" s="121"/>
      <c r="K14" s="121"/>
      <c r="L14" s="121"/>
      <c r="M14" s="121"/>
      <c r="N14" s="108"/>
      <c r="O14" s="20"/>
      <c r="P14" s="121"/>
      <c r="Q14" s="121"/>
      <c r="R14" s="121"/>
      <c r="S14" s="121"/>
      <c r="T14" s="108"/>
      <c r="U14" s="20"/>
      <c r="V14" s="121"/>
      <c r="W14" s="121"/>
      <c r="X14" s="121"/>
      <c r="Y14" s="121"/>
      <c r="Z14" s="108"/>
      <c r="AA14" s="122"/>
      <c r="AB14" s="123"/>
      <c r="AC14" s="123"/>
      <c r="AD14" s="123"/>
      <c r="AE14" s="123"/>
      <c r="AF14" s="108"/>
      <c r="AG14" s="124"/>
      <c r="AH14" s="125"/>
      <c r="AI14" s="125"/>
      <c r="AJ14" s="125"/>
      <c r="AK14" s="125"/>
      <c r="AL14" s="108"/>
      <c r="AM14" s="126"/>
      <c r="AN14" s="125"/>
      <c r="AO14" s="125"/>
      <c r="AP14" s="125"/>
      <c r="AQ14" s="125"/>
      <c r="AR14" s="108"/>
      <c r="AS14" s="126"/>
      <c r="AT14" s="108"/>
      <c r="AU14" s="126"/>
      <c r="AV14" s="108"/>
    </row>
    <row r="15" spans="1:50" ht="15" customHeight="1">
      <c r="A15" s="44"/>
      <c r="B15" s="127" t="s">
        <v>674</v>
      </c>
      <c r="D15" s="60">
        <v>2389</v>
      </c>
      <c r="E15" s="60">
        <v>2031</v>
      </c>
      <c r="F15" s="60">
        <v>1766</v>
      </c>
      <c r="G15" s="60">
        <v>4881</v>
      </c>
      <c r="H15" s="57">
        <v>4881</v>
      </c>
      <c r="I15" s="116"/>
      <c r="J15" s="60">
        <v>6954</v>
      </c>
      <c r="K15" s="60">
        <v>8339</v>
      </c>
      <c r="L15" s="60">
        <v>8856</v>
      </c>
      <c r="M15" s="60">
        <v>7087</v>
      </c>
      <c r="N15" s="57">
        <v>7087</v>
      </c>
      <c r="O15" s="116"/>
      <c r="P15" s="60">
        <v>6853</v>
      </c>
      <c r="Q15" s="60">
        <v>6833</v>
      </c>
      <c r="R15" s="60">
        <v>6065</v>
      </c>
      <c r="S15" s="60">
        <v>6897</v>
      </c>
      <c r="T15" s="57">
        <v>6897</v>
      </c>
      <c r="U15" s="116"/>
      <c r="V15" s="60">
        <v>6850</v>
      </c>
      <c r="W15" s="60">
        <v>4646</v>
      </c>
      <c r="X15" s="60">
        <v>5373</v>
      </c>
      <c r="Y15" s="60">
        <v>6856</v>
      </c>
      <c r="Z15" s="57">
        <v>6856</v>
      </c>
      <c r="AA15" s="117"/>
      <c r="AB15" s="60">
        <v>7055</v>
      </c>
      <c r="AC15" s="60">
        <v>6729</v>
      </c>
      <c r="AD15" s="60">
        <v>5644</v>
      </c>
      <c r="AE15" s="60">
        <v>6501</v>
      </c>
      <c r="AF15" s="57">
        <v>6501</v>
      </c>
      <c r="AG15" s="118"/>
      <c r="AH15" s="60">
        <v>5943</v>
      </c>
      <c r="AI15" s="60">
        <v>5029</v>
      </c>
      <c r="AJ15" s="125"/>
      <c r="AK15" s="125"/>
      <c r="AL15" s="108"/>
      <c r="AM15" s="126"/>
      <c r="AN15" s="125"/>
      <c r="AO15" s="125"/>
      <c r="AP15" s="125"/>
      <c r="AQ15" s="125"/>
      <c r="AR15" s="108"/>
      <c r="AS15" s="126"/>
      <c r="AT15" s="108"/>
      <c r="AU15" s="126"/>
      <c r="AV15" s="108"/>
    </row>
    <row r="16" spans="1:50" ht="15" customHeight="1">
      <c r="A16" s="44"/>
      <c r="B16" s="138" t="s">
        <v>675</v>
      </c>
      <c r="D16" s="60">
        <v>0</v>
      </c>
      <c r="E16" s="60">
        <v>0</v>
      </c>
      <c r="F16" s="60">
        <v>0</v>
      </c>
      <c r="G16" s="60">
        <v>0</v>
      </c>
      <c r="H16" s="57">
        <v>0</v>
      </c>
      <c r="I16" s="20"/>
      <c r="J16" s="60">
        <v>0</v>
      </c>
      <c r="K16" s="60">
        <v>0</v>
      </c>
      <c r="L16" s="60">
        <v>0</v>
      </c>
      <c r="M16" s="60">
        <v>0</v>
      </c>
      <c r="N16" s="57">
        <v>0</v>
      </c>
      <c r="O16" s="20"/>
      <c r="P16" s="60">
        <v>0</v>
      </c>
      <c r="Q16" s="60">
        <v>0</v>
      </c>
      <c r="R16" s="60">
        <v>0</v>
      </c>
      <c r="S16" s="60">
        <v>0</v>
      </c>
      <c r="T16" s="57">
        <v>0</v>
      </c>
      <c r="U16" s="20"/>
      <c r="V16" s="60">
        <v>0</v>
      </c>
      <c r="W16" s="60">
        <v>0</v>
      </c>
      <c r="X16" s="60">
        <v>0</v>
      </c>
      <c r="Y16" s="60">
        <v>0</v>
      </c>
      <c r="Z16" s="57">
        <v>0</v>
      </c>
      <c r="AA16" s="122"/>
      <c r="AB16" s="60">
        <v>0</v>
      </c>
      <c r="AC16" s="60">
        <v>0</v>
      </c>
      <c r="AD16" s="60">
        <v>0</v>
      </c>
      <c r="AE16" s="60">
        <v>0</v>
      </c>
      <c r="AF16" s="57">
        <v>0</v>
      </c>
      <c r="AG16" s="124"/>
      <c r="AH16" s="60">
        <v>0</v>
      </c>
      <c r="AI16" s="60">
        <v>0</v>
      </c>
      <c r="AJ16" s="125"/>
      <c r="AK16" s="125"/>
      <c r="AL16" s="108"/>
      <c r="AM16" s="126"/>
      <c r="AN16" s="125"/>
      <c r="AO16" s="125"/>
      <c r="AP16" s="125"/>
      <c r="AQ16" s="125"/>
      <c r="AR16" s="108"/>
      <c r="AS16" s="126"/>
      <c r="AT16" s="108"/>
      <c r="AU16" s="126"/>
      <c r="AV16" s="108"/>
    </row>
    <row r="17" spans="1:48" s="113" customFormat="1" ht="15" customHeight="1">
      <c r="B17" s="138" t="s">
        <v>676</v>
      </c>
      <c r="C17" s="115"/>
      <c r="D17" s="60">
        <v>2389</v>
      </c>
      <c r="E17" s="60">
        <v>2031</v>
      </c>
      <c r="F17" s="60">
        <v>1766</v>
      </c>
      <c r="G17" s="60">
        <v>4881</v>
      </c>
      <c r="H17" s="57">
        <v>4881</v>
      </c>
      <c r="I17" s="20"/>
      <c r="J17" s="60">
        <v>6954</v>
      </c>
      <c r="K17" s="60">
        <v>8339</v>
      </c>
      <c r="L17" s="60">
        <v>8856</v>
      </c>
      <c r="M17" s="60">
        <v>7087</v>
      </c>
      <c r="N17" s="57">
        <v>7087</v>
      </c>
      <c r="O17" s="20"/>
      <c r="P17" s="60">
        <v>6853</v>
      </c>
      <c r="Q17" s="60">
        <v>6833</v>
      </c>
      <c r="R17" s="60">
        <v>6065</v>
      </c>
      <c r="S17" s="60">
        <v>6897</v>
      </c>
      <c r="T17" s="57">
        <v>6897</v>
      </c>
      <c r="U17" s="20"/>
      <c r="V17" s="60">
        <v>6850</v>
      </c>
      <c r="W17" s="60">
        <v>4646</v>
      </c>
      <c r="X17" s="60">
        <v>5373</v>
      </c>
      <c r="Y17" s="60">
        <v>6856</v>
      </c>
      <c r="Z17" s="57">
        <v>6856</v>
      </c>
      <c r="AA17" s="122"/>
      <c r="AB17" s="60">
        <v>7055</v>
      </c>
      <c r="AC17" s="60">
        <v>6729</v>
      </c>
      <c r="AD17" s="60">
        <v>5644</v>
      </c>
      <c r="AE17" s="60">
        <v>6501</v>
      </c>
      <c r="AF17" s="57">
        <v>6501</v>
      </c>
      <c r="AG17" s="124"/>
      <c r="AH17" s="60">
        <v>5943</v>
      </c>
      <c r="AI17" s="60">
        <v>5029</v>
      </c>
      <c r="AJ17" s="125"/>
      <c r="AK17" s="125"/>
      <c r="AL17" s="57"/>
      <c r="AM17" s="128"/>
      <c r="AN17" s="46"/>
      <c r="AO17" s="46"/>
      <c r="AP17" s="46"/>
      <c r="AQ17" s="46"/>
      <c r="AR17" s="57"/>
      <c r="AS17" s="128"/>
      <c r="AT17" s="57"/>
      <c r="AU17" s="128"/>
      <c r="AV17" s="57"/>
    </row>
    <row r="18" spans="1:48" s="113" customFormat="1" ht="15" customHeight="1">
      <c r="B18" s="127" t="s">
        <v>677</v>
      </c>
      <c r="C18" s="115"/>
      <c r="D18" s="60">
        <v>9312</v>
      </c>
      <c r="E18" s="60">
        <v>9709</v>
      </c>
      <c r="F18" s="60">
        <v>9323</v>
      </c>
      <c r="G18" s="60">
        <v>10102</v>
      </c>
      <c r="H18" s="57">
        <v>10102</v>
      </c>
      <c r="I18" s="116"/>
      <c r="J18" s="60">
        <v>10508</v>
      </c>
      <c r="K18" s="60">
        <v>11417</v>
      </c>
      <c r="L18" s="60">
        <v>11481</v>
      </c>
      <c r="M18" s="60">
        <v>12069</v>
      </c>
      <c r="N18" s="57">
        <v>12069</v>
      </c>
      <c r="O18" s="116"/>
      <c r="P18" s="60">
        <v>11125</v>
      </c>
      <c r="Q18" s="60">
        <v>12197</v>
      </c>
      <c r="R18" s="60">
        <v>11668</v>
      </c>
      <c r="S18" s="60">
        <v>11863</v>
      </c>
      <c r="T18" s="57">
        <v>11863</v>
      </c>
      <c r="U18" s="116"/>
      <c r="V18" s="60">
        <v>11055</v>
      </c>
      <c r="W18" s="60">
        <v>11644</v>
      </c>
      <c r="X18" s="60">
        <v>10721</v>
      </c>
      <c r="Y18" s="60">
        <v>10188</v>
      </c>
      <c r="Z18" s="57">
        <v>10188</v>
      </c>
      <c r="AA18" s="117"/>
      <c r="AB18" s="60">
        <v>10207</v>
      </c>
      <c r="AC18" s="60">
        <v>10665</v>
      </c>
      <c r="AD18" s="60">
        <v>9904</v>
      </c>
      <c r="AE18" s="60">
        <v>10087</v>
      </c>
      <c r="AF18" s="57">
        <v>10087</v>
      </c>
      <c r="AG18" s="118"/>
      <c r="AH18" s="60">
        <v>10312</v>
      </c>
      <c r="AI18" s="60">
        <v>10737</v>
      </c>
      <c r="AJ18" s="50"/>
      <c r="AK18" s="50"/>
      <c r="AL18" s="58"/>
      <c r="AM18" s="128"/>
      <c r="AN18" s="50"/>
      <c r="AO18" s="50"/>
      <c r="AP18" s="50"/>
      <c r="AQ18" s="50"/>
      <c r="AR18" s="58"/>
      <c r="AS18" s="128"/>
      <c r="AT18" s="58"/>
      <c r="AU18" s="128"/>
      <c r="AV18" s="58"/>
    </row>
    <row r="19" spans="1:48" ht="15" customHeight="1">
      <c r="A19" s="43"/>
      <c r="B19" s="127" t="s">
        <v>521</v>
      </c>
      <c r="D19" s="60">
        <v>574</v>
      </c>
      <c r="E19" s="60">
        <v>576</v>
      </c>
      <c r="F19" s="60">
        <v>568</v>
      </c>
      <c r="G19" s="60">
        <v>572</v>
      </c>
      <c r="H19" s="57">
        <v>572</v>
      </c>
      <c r="I19" s="20"/>
      <c r="J19" s="60">
        <v>593</v>
      </c>
      <c r="K19" s="60">
        <v>587</v>
      </c>
      <c r="L19" s="60">
        <v>583</v>
      </c>
      <c r="M19" s="60">
        <v>587</v>
      </c>
      <c r="N19" s="57">
        <v>587</v>
      </c>
      <c r="O19" s="20"/>
      <c r="P19" s="60">
        <v>577</v>
      </c>
      <c r="Q19" s="60">
        <v>594</v>
      </c>
      <c r="R19" s="60">
        <v>611</v>
      </c>
      <c r="S19" s="60">
        <v>637</v>
      </c>
      <c r="T19" s="57">
        <v>637</v>
      </c>
      <c r="U19" s="20"/>
      <c r="V19" s="60">
        <v>647</v>
      </c>
      <c r="W19" s="60">
        <v>655</v>
      </c>
      <c r="X19" s="60">
        <v>631</v>
      </c>
      <c r="Y19" s="60">
        <v>604</v>
      </c>
      <c r="Z19" s="57">
        <v>604</v>
      </c>
      <c r="AA19" s="122"/>
      <c r="AB19" s="60">
        <v>631</v>
      </c>
      <c r="AC19" s="60">
        <v>632</v>
      </c>
      <c r="AD19" s="60">
        <v>640</v>
      </c>
      <c r="AE19" s="60">
        <v>614</v>
      </c>
      <c r="AF19" s="57">
        <v>614</v>
      </c>
      <c r="AG19" s="124"/>
      <c r="AH19" s="60">
        <v>611</v>
      </c>
      <c r="AI19" s="60">
        <v>620</v>
      </c>
      <c r="AJ19" s="50"/>
      <c r="AK19" s="50"/>
      <c r="AL19" s="58"/>
      <c r="AM19" s="126"/>
      <c r="AN19" s="50"/>
      <c r="AO19" s="50"/>
      <c r="AP19" s="50"/>
      <c r="AQ19" s="50"/>
      <c r="AR19" s="58"/>
      <c r="AS19" s="126"/>
      <c r="AT19" s="58"/>
      <c r="AU19" s="126"/>
      <c r="AV19" s="58"/>
    </row>
    <row r="20" spans="1:48" s="113" customFormat="1" ht="15" customHeight="1">
      <c r="B20" s="127" t="s">
        <v>678</v>
      </c>
      <c r="C20" s="115"/>
      <c r="D20" s="46">
        <v>742</v>
      </c>
      <c r="E20" s="46">
        <v>882</v>
      </c>
      <c r="F20" s="46">
        <v>884</v>
      </c>
      <c r="G20" s="46">
        <v>828</v>
      </c>
      <c r="H20" s="74">
        <v>828</v>
      </c>
      <c r="I20" s="116"/>
      <c r="J20" s="46">
        <v>848</v>
      </c>
      <c r="K20" s="46">
        <v>922</v>
      </c>
      <c r="L20" s="46">
        <v>790</v>
      </c>
      <c r="M20" s="46">
        <v>837</v>
      </c>
      <c r="N20" s="74">
        <v>837</v>
      </c>
      <c r="O20" s="116"/>
      <c r="P20" s="46">
        <v>991</v>
      </c>
      <c r="Q20" s="46">
        <v>1123</v>
      </c>
      <c r="R20" s="46">
        <v>1122</v>
      </c>
      <c r="S20" s="46">
        <v>968</v>
      </c>
      <c r="T20" s="74">
        <v>968</v>
      </c>
      <c r="U20" s="116"/>
      <c r="V20" s="46">
        <v>1054</v>
      </c>
      <c r="W20" s="46">
        <v>1272</v>
      </c>
      <c r="X20" s="46">
        <v>1219</v>
      </c>
      <c r="Y20" s="46">
        <v>962</v>
      </c>
      <c r="Z20" s="74">
        <v>962</v>
      </c>
      <c r="AA20" s="129"/>
      <c r="AB20" s="46">
        <v>994</v>
      </c>
      <c r="AC20" s="46">
        <v>1091</v>
      </c>
      <c r="AD20" s="46">
        <v>1236</v>
      </c>
      <c r="AE20" s="46">
        <v>1005</v>
      </c>
      <c r="AF20" s="74">
        <v>1005</v>
      </c>
      <c r="AG20" s="130"/>
      <c r="AH20" s="46">
        <v>1228</v>
      </c>
      <c r="AI20" s="46">
        <v>1335</v>
      </c>
      <c r="AJ20" s="50"/>
      <c r="AK20" s="50"/>
      <c r="AL20" s="75"/>
      <c r="AM20" s="129"/>
      <c r="AN20" s="50"/>
      <c r="AO20" s="50"/>
      <c r="AP20" s="50"/>
      <c r="AQ20" s="50"/>
      <c r="AR20" s="75"/>
      <c r="AS20" s="129"/>
      <c r="AT20" s="75"/>
      <c r="AU20" s="129"/>
      <c r="AV20" s="75"/>
    </row>
    <row r="21" spans="1:48" s="135" customFormat="1" ht="15" customHeight="1">
      <c r="A21" s="84"/>
      <c r="B21" s="59" t="s">
        <v>679</v>
      </c>
      <c r="C21" s="26"/>
      <c r="D21" s="60">
        <v>13017</v>
      </c>
      <c r="E21" s="60">
        <v>13198</v>
      </c>
      <c r="F21" s="60">
        <v>12541</v>
      </c>
      <c r="G21" s="60">
        <v>16383</v>
      </c>
      <c r="H21" s="77">
        <v>16383</v>
      </c>
      <c r="I21" s="131"/>
      <c r="J21" s="60">
        <v>18903</v>
      </c>
      <c r="K21" s="60">
        <v>21265</v>
      </c>
      <c r="L21" s="60">
        <v>21710</v>
      </c>
      <c r="M21" s="60">
        <v>20580</v>
      </c>
      <c r="N21" s="77">
        <v>20580</v>
      </c>
      <c r="O21" s="131"/>
      <c r="P21" s="60">
        <v>19546</v>
      </c>
      <c r="Q21" s="60">
        <v>20747</v>
      </c>
      <c r="R21" s="60">
        <v>19466</v>
      </c>
      <c r="S21" s="60">
        <v>20365</v>
      </c>
      <c r="T21" s="77">
        <v>20365</v>
      </c>
      <c r="U21" s="131"/>
      <c r="V21" s="60">
        <v>19606</v>
      </c>
      <c r="W21" s="60">
        <v>18217</v>
      </c>
      <c r="X21" s="60">
        <v>17944</v>
      </c>
      <c r="Y21" s="60">
        <v>18610</v>
      </c>
      <c r="Z21" s="77">
        <v>18610</v>
      </c>
      <c r="AA21" s="132"/>
      <c r="AB21" s="60">
        <v>18887</v>
      </c>
      <c r="AC21" s="60">
        <v>19117</v>
      </c>
      <c r="AD21" s="60">
        <v>17424</v>
      </c>
      <c r="AE21" s="60">
        <v>18207</v>
      </c>
      <c r="AF21" s="77">
        <v>18207</v>
      </c>
      <c r="AG21" s="133"/>
      <c r="AH21" s="60">
        <v>18094</v>
      </c>
      <c r="AI21" s="60">
        <v>17721</v>
      </c>
      <c r="AJ21" s="50"/>
      <c r="AK21" s="50"/>
      <c r="AL21" s="78"/>
      <c r="AM21" s="134"/>
      <c r="AN21" s="50"/>
      <c r="AO21" s="50"/>
      <c r="AP21" s="50"/>
      <c r="AQ21" s="50"/>
      <c r="AR21" s="78"/>
      <c r="AS21" s="134"/>
      <c r="AT21" s="78"/>
      <c r="AU21" s="134"/>
      <c r="AV21" s="78"/>
    </row>
    <row r="22" spans="1:48" ht="15" customHeight="1">
      <c r="A22" s="43"/>
      <c r="B22" s="136"/>
      <c r="D22" s="46"/>
      <c r="E22" s="46"/>
      <c r="F22" s="46"/>
      <c r="G22" s="46"/>
      <c r="H22" s="66"/>
      <c r="I22" s="20"/>
      <c r="J22" s="46"/>
      <c r="K22" s="46"/>
      <c r="L22" s="46"/>
      <c r="M22" s="46"/>
      <c r="N22" s="66"/>
      <c r="O22" s="20"/>
      <c r="P22" s="46"/>
      <c r="Q22" s="46"/>
      <c r="R22" s="46"/>
      <c r="S22" s="46"/>
      <c r="T22" s="66"/>
      <c r="U22" s="20"/>
      <c r="V22" s="46"/>
      <c r="W22" s="46"/>
      <c r="X22" s="46"/>
      <c r="Y22" s="46"/>
      <c r="Z22" s="66"/>
      <c r="AA22" s="122"/>
      <c r="AB22" s="46"/>
      <c r="AC22" s="46"/>
      <c r="AD22" s="46"/>
      <c r="AE22" s="46"/>
      <c r="AF22" s="66"/>
      <c r="AG22" s="124"/>
      <c r="AH22" s="46"/>
      <c r="AI22" s="46"/>
      <c r="AJ22" s="50"/>
      <c r="AK22" s="50"/>
      <c r="AL22" s="68"/>
      <c r="AM22" s="126"/>
      <c r="AN22" s="50"/>
      <c r="AO22" s="50"/>
      <c r="AP22" s="50"/>
      <c r="AQ22" s="50"/>
      <c r="AR22" s="68"/>
      <c r="AS22" s="126"/>
      <c r="AT22" s="68"/>
      <c r="AU22" s="126"/>
      <c r="AV22" s="68"/>
    </row>
    <row r="23" spans="1:48" s="113" customFormat="1" ht="15" customHeight="1">
      <c r="A23" s="44" t="s">
        <v>37</v>
      </c>
      <c r="B23" s="45" t="s">
        <v>680</v>
      </c>
      <c r="C23" s="115"/>
      <c r="D23" s="46"/>
      <c r="E23" s="46"/>
      <c r="F23" s="46"/>
      <c r="G23" s="46"/>
      <c r="H23" s="66"/>
      <c r="I23" s="116"/>
      <c r="J23" s="46"/>
      <c r="K23" s="46"/>
      <c r="L23" s="46"/>
      <c r="M23" s="46"/>
      <c r="N23" s="66"/>
      <c r="O23" s="116"/>
      <c r="P23" s="46"/>
      <c r="Q23" s="46"/>
      <c r="R23" s="46"/>
      <c r="S23" s="46"/>
      <c r="T23" s="66"/>
      <c r="U23" s="116"/>
      <c r="V23" s="46"/>
      <c r="W23" s="46"/>
      <c r="X23" s="46"/>
      <c r="Y23" s="46"/>
      <c r="Z23" s="66"/>
      <c r="AA23" s="129"/>
      <c r="AB23" s="46"/>
      <c r="AC23" s="46"/>
      <c r="AD23" s="46"/>
      <c r="AE23" s="46"/>
      <c r="AF23" s="66"/>
      <c r="AG23" s="130"/>
      <c r="AH23" s="46"/>
      <c r="AI23" s="46"/>
      <c r="AJ23" s="50"/>
      <c r="AK23" s="50"/>
      <c r="AL23" s="68"/>
      <c r="AM23" s="129"/>
      <c r="AN23" s="50"/>
      <c r="AO23" s="50"/>
      <c r="AP23" s="50"/>
      <c r="AQ23" s="50"/>
      <c r="AR23" s="68"/>
      <c r="AS23" s="129"/>
      <c r="AT23" s="68"/>
      <c r="AU23" s="129"/>
      <c r="AV23" s="68"/>
    </row>
    <row r="24" spans="1:48" ht="15" customHeight="1">
      <c r="A24" s="43"/>
      <c r="B24" s="127" t="s">
        <v>524</v>
      </c>
      <c r="D24" s="60">
        <v>45429</v>
      </c>
      <c r="E24" s="60">
        <v>46505</v>
      </c>
      <c r="F24" s="60">
        <v>47287</v>
      </c>
      <c r="G24" s="60">
        <v>47525</v>
      </c>
      <c r="H24" s="57">
        <v>47525</v>
      </c>
      <c r="I24" s="20"/>
      <c r="J24" s="60">
        <v>48758</v>
      </c>
      <c r="K24" s="60">
        <v>49455</v>
      </c>
      <c r="L24" s="60">
        <v>49954</v>
      </c>
      <c r="M24" s="60">
        <v>51135</v>
      </c>
      <c r="N24" s="57">
        <v>51135</v>
      </c>
      <c r="O24" s="20"/>
      <c r="P24" s="60">
        <v>51895</v>
      </c>
      <c r="Q24" s="60">
        <v>53171</v>
      </c>
      <c r="R24" s="60">
        <v>53981</v>
      </c>
      <c r="S24" s="60">
        <v>54704</v>
      </c>
      <c r="T24" s="57">
        <v>54704</v>
      </c>
      <c r="U24" s="20"/>
      <c r="V24" s="60">
        <v>56025</v>
      </c>
      <c r="W24" s="60">
        <v>57094</v>
      </c>
      <c r="X24" s="60">
        <v>57259</v>
      </c>
      <c r="Y24" s="60">
        <v>58045</v>
      </c>
      <c r="Z24" s="57">
        <v>58045</v>
      </c>
      <c r="AA24" s="122"/>
      <c r="AB24" s="60">
        <v>58501</v>
      </c>
      <c r="AC24" s="60">
        <v>58775</v>
      </c>
      <c r="AD24" s="60">
        <v>58464</v>
      </c>
      <c r="AE24" s="60">
        <v>58606</v>
      </c>
      <c r="AF24" s="57">
        <v>58606</v>
      </c>
      <c r="AG24" s="124"/>
      <c r="AH24" s="60">
        <v>58349</v>
      </c>
      <c r="AI24" s="60">
        <v>57827</v>
      </c>
      <c r="AJ24" s="50"/>
      <c r="AK24" s="50"/>
      <c r="AL24" s="58"/>
      <c r="AM24" s="126"/>
      <c r="AN24" s="50"/>
      <c r="AO24" s="50"/>
      <c r="AP24" s="50"/>
      <c r="AQ24" s="50"/>
      <c r="AR24" s="58"/>
      <c r="AS24" s="126"/>
      <c r="AT24" s="58"/>
      <c r="AU24" s="126"/>
      <c r="AV24" s="58"/>
    </row>
    <row r="25" spans="1:48" s="113" customFormat="1" ht="15" customHeight="1">
      <c r="B25" s="138" t="s">
        <v>681</v>
      </c>
      <c r="C25" s="115"/>
      <c r="D25" s="60">
        <v>75255</v>
      </c>
      <c r="E25" s="60">
        <v>76812</v>
      </c>
      <c r="F25" s="60">
        <v>78286</v>
      </c>
      <c r="G25" s="60">
        <v>78941</v>
      </c>
      <c r="H25" s="57">
        <v>78941</v>
      </c>
      <c r="I25" s="116"/>
      <c r="J25" s="60">
        <v>80942</v>
      </c>
      <c r="K25" s="60">
        <v>82359</v>
      </c>
      <c r="L25" s="60">
        <v>83667</v>
      </c>
      <c r="M25" s="60">
        <v>85460</v>
      </c>
      <c r="N25" s="57">
        <v>85460</v>
      </c>
      <c r="O25" s="116"/>
      <c r="P25" s="60">
        <v>86956</v>
      </c>
      <c r="Q25" s="60">
        <v>88992</v>
      </c>
      <c r="R25" s="60">
        <v>90751</v>
      </c>
      <c r="S25" s="60">
        <v>91888</v>
      </c>
      <c r="T25" s="57">
        <v>91888</v>
      </c>
      <c r="U25" s="116"/>
      <c r="V25" s="60">
        <v>93931</v>
      </c>
      <c r="W25" s="60">
        <v>95905</v>
      </c>
      <c r="X25" s="60">
        <v>96745</v>
      </c>
      <c r="Y25" s="60">
        <v>97971</v>
      </c>
      <c r="Z25" s="57">
        <v>97971</v>
      </c>
      <c r="AA25" s="129"/>
      <c r="AB25" s="60">
        <v>99319</v>
      </c>
      <c r="AC25" s="60">
        <v>100524</v>
      </c>
      <c r="AD25" s="60">
        <v>101080</v>
      </c>
      <c r="AE25" s="60">
        <v>101506</v>
      </c>
      <c r="AF25" s="57">
        <v>101506</v>
      </c>
      <c r="AG25" s="130"/>
      <c r="AH25" s="60">
        <v>102252</v>
      </c>
      <c r="AI25" s="60">
        <v>102479</v>
      </c>
      <c r="AJ25" s="50"/>
      <c r="AK25" s="50"/>
      <c r="AL25" s="58"/>
      <c r="AM25" s="129"/>
      <c r="AN25" s="50"/>
      <c r="AO25" s="50"/>
      <c r="AP25" s="50"/>
      <c r="AQ25" s="50"/>
      <c r="AR25" s="58"/>
      <c r="AS25" s="129"/>
      <c r="AT25" s="58"/>
      <c r="AU25" s="129"/>
      <c r="AV25" s="58"/>
    </row>
    <row r="26" spans="1:48" ht="15" customHeight="1">
      <c r="A26" s="43"/>
      <c r="B26" s="138" t="s">
        <v>682</v>
      </c>
      <c r="D26" s="60">
        <v>29826</v>
      </c>
      <c r="E26" s="60">
        <v>30307</v>
      </c>
      <c r="F26" s="60">
        <v>30999</v>
      </c>
      <c r="G26" s="60">
        <v>31416</v>
      </c>
      <c r="H26" s="57">
        <v>31416</v>
      </c>
      <c r="I26" s="20"/>
      <c r="J26" s="60">
        <v>32184</v>
      </c>
      <c r="K26" s="60">
        <v>32904</v>
      </c>
      <c r="L26" s="60">
        <v>33713</v>
      </c>
      <c r="M26" s="60">
        <v>34325</v>
      </c>
      <c r="N26" s="57">
        <v>34325</v>
      </c>
      <c r="O26" s="20"/>
      <c r="P26" s="60">
        <v>35061</v>
      </c>
      <c r="Q26" s="60">
        <v>35821</v>
      </c>
      <c r="R26" s="60">
        <v>36770</v>
      </c>
      <c r="S26" s="60">
        <v>37184</v>
      </c>
      <c r="T26" s="57">
        <v>37184</v>
      </c>
      <c r="U26" s="20"/>
      <c r="V26" s="60">
        <v>37906</v>
      </c>
      <c r="W26" s="60">
        <v>38811</v>
      </c>
      <c r="X26" s="60">
        <v>39486</v>
      </c>
      <c r="Y26" s="60">
        <v>39926</v>
      </c>
      <c r="Z26" s="57">
        <v>39926</v>
      </c>
      <c r="AA26" s="122"/>
      <c r="AB26" s="60">
        <v>40818</v>
      </c>
      <c r="AC26" s="60">
        <v>41749</v>
      </c>
      <c r="AD26" s="60">
        <v>42616</v>
      </c>
      <c r="AE26" s="60">
        <v>42900</v>
      </c>
      <c r="AF26" s="57">
        <v>42900</v>
      </c>
      <c r="AG26" s="124"/>
      <c r="AH26" s="60">
        <v>43903</v>
      </c>
      <c r="AI26" s="60">
        <v>44652</v>
      </c>
      <c r="AJ26" s="50"/>
      <c r="AK26" s="50"/>
      <c r="AL26" s="58"/>
      <c r="AM26" s="126"/>
      <c r="AN26" s="50"/>
      <c r="AO26" s="50"/>
      <c r="AP26" s="50"/>
      <c r="AQ26" s="50"/>
      <c r="AR26" s="58"/>
      <c r="AS26" s="126"/>
      <c r="AT26" s="58"/>
      <c r="AU26" s="126"/>
      <c r="AV26" s="58"/>
    </row>
    <row r="27" spans="1:48" ht="15" customHeight="1">
      <c r="A27" s="43"/>
      <c r="B27" s="127" t="s">
        <v>526</v>
      </c>
      <c r="D27" s="60">
        <v>6821</v>
      </c>
      <c r="E27" s="60">
        <v>6861</v>
      </c>
      <c r="F27" s="60">
        <v>6814</v>
      </c>
      <c r="G27" s="60">
        <v>6694</v>
      </c>
      <c r="H27" s="57">
        <v>6694</v>
      </c>
      <c r="I27" s="20"/>
      <c r="J27" s="60">
        <v>6633</v>
      </c>
      <c r="K27" s="60">
        <v>6702</v>
      </c>
      <c r="L27" s="60">
        <v>6977</v>
      </c>
      <c r="M27" s="60">
        <v>7314</v>
      </c>
      <c r="N27" s="57">
        <v>7314</v>
      </c>
      <c r="O27" s="20"/>
      <c r="P27" s="60">
        <v>6843</v>
      </c>
      <c r="Q27" s="60">
        <v>6702</v>
      </c>
      <c r="R27" s="60">
        <v>6755</v>
      </c>
      <c r="S27" s="60">
        <v>6845</v>
      </c>
      <c r="T27" s="57">
        <v>6845</v>
      </c>
      <c r="U27" s="20"/>
      <c r="V27" s="60">
        <v>6316</v>
      </c>
      <c r="W27" s="60">
        <v>6377</v>
      </c>
      <c r="X27" s="60">
        <v>6455</v>
      </c>
      <c r="Y27" s="60">
        <v>6669</v>
      </c>
      <c r="Z27" s="57">
        <v>6669</v>
      </c>
      <c r="AA27" s="122"/>
      <c r="AB27" s="60">
        <v>6422</v>
      </c>
      <c r="AC27" s="60">
        <v>6468</v>
      </c>
      <c r="AD27" s="60">
        <v>6425</v>
      </c>
      <c r="AE27" s="60">
        <v>6604</v>
      </c>
      <c r="AF27" s="57">
        <v>6604</v>
      </c>
      <c r="AG27" s="124"/>
      <c r="AH27" s="60">
        <v>6512</v>
      </c>
      <c r="AI27" s="60">
        <v>6290</v>
      </c>
      <c r="AJ27" s="50"/>
      <c r="AK27" s="50"/>
      <c r="AL27" s="58"/>
      <c r="AM27" s="126"/>
      <c r="AN27" s="50"/>
      <c r="AO27" s="50"/>
      <c r="AP27" s="50"/>
      <c r="AQ27" s="50"/>
      <c r="AR27" s="58"/>
      <c r="AS27" s="126"/>
      <c r="AT27" s="58"/>
      <c r="AU27" s="126"/>
      <c r="AV27" s="58"/>
    </row>
    <row r="28" spans="1:48" ht="15" customHeight="1">
      <c r="A28" s="43"/>
      <c r="B28" s="127" t="s">
        <v>683</v>
      </c>
      <c r="D28" s="60">
        <v>6821</v>
      </c>
      <c r="E28" s="60">
        <v>6861</v>
      </c>
      <c r="F28" s="60">
        <v>6814</v>
      </c>
      <c r="G28" s="60">
        <v>6372</v>
      </c>
      <c r="H28" s="57">
        <v>6372</v>
      </c>
      <c r="I28" s="20"/>
      <c r="J28" s="60">
        <v>6633</v>
      </c>
      <c r="K28" s="60">
        <v>6702</v>
      </c>
      <c r="L28" s="60">
        <v>6977</v>
      </c>
      <c r="M28" s="60">
        <v>6992</v>
      </c>
      <c r="N28" s="57">
        <v>6992</v>
      </c>
      <c r="O28" s="20"/>
      <c r="P28" s="60">
        <v>6843</v>
      </c>
      <c r="Q28" s="60">
        <v>6702</v>
      </c>
      <c r="R28" s="60">
        <v>6755</v>
      </c>
      <c r="S28" s="60">
        <v>6544</v>
      </c>
      <c r="T28" s="57">
        <v>6544</v>
      </c>
      <c r="U28" s="20"/>
      <c r="V28" s="60">
        <v>6316</v>
      </c>
      <c r="W28" s="60">
        <v>6377</v>
      </c>
      <c r="X28" s="60">
        <v>6455</v>
      </c>
      <c r="Y28" s="60">
        <v>6435</v>
      </c>
      <c r="Z28" s="57">
        <v>6435</v>
      </c>
      <c r="AA28" s="122"/>
      <c r="AB28" s="60">
        <v>6422</v>
      </c>
      <c r="AC28" s="60">
        <v>6468</v>
      </c>
      <c r="AD28" s="60">
        <v>6425</v>
      </c>
      <c r="AE28" s="60">
        <v>6423</v>
      </c>
      <c r="AF28" s="57">
        <v>6423</v>
      </c>
      <c r="AG28" s="124"/>
      <c r="AH28" s="60">
        <v>6512</v>
      </c>
      <c r="AI28" s="60">
        <v>6290</v>
      </c>
      <c r="AJ28" s="50"/>
      <c r="AK28" s="50"/>
      <c r="AL28" s="58"/>
      <c r="AM28" s="137"/>
      <c r="AN28" s="50"/>
      <c r="AO28" s="50"/>
      <c r="AP28" s="50"/>
      <c r="AQ28" s="50"/>
      <c r="AR28" s="58"/>
      <c r="AS28" s="137"/>
      <c r="AT28" s="58"/>
      <c r="AU28" s="137"/>
      <c r="AV28" s="58"/>
    </row>
    <row r="29" spans="1:48" ht="15" customHeight="1">
      <c r="A29" s="43"/>
      <c r="B29" s="127" t="s">
        <v>684</v>
      </c>
      <c r="D29" s="60">
        <v>0</v>
      </c>
      <c r="E29" s="60">
        <v>0</v>
      </c>
      <c r="F29" s="60">
        <v>0</v>
      </c>
      <c r="G29" s="60">
        <v>0</v>
      </c>
      <c r="H29" s="57">
        <v>0</v>
      </c>
      <c r="I29" s="20"/>
      <c r="J29" s="60">
        <v>0</v>
      </c>
      <c r="K29" s="60">
        <v>0</v>
      </c>
      <c r="L29" s="60">
        <v>0</v>
      </c>
      <c r="M29" s="60">
        <v>0</v>
      </c>
      <c r="N29" s="57">
        <v>0</v>
      </c>
      <c r="O29" s="20"/>
      <c r="P29" s="60">
        <v>0</v>
      </c>
      <c r="Q29" s="60">
        <v>0</v>
      </c>
      <c r="R29" s="60">
        <v>0</v>
      </c>
      <c r="S29" s="60">
        <v>0</v>
      </c>
      <c r="T29" s="57">
        <v>0</v>
      </c>
      <c r="U29" s="20"/>
      <c r="V29" s="60">
        <v>0</v>
      </c>
      <c r="W29" s="60">
        <v>0</v>
      </c>
      <c r="X29" s="60">
        <v>0</v>
      </c>
      <c r="Y29" s="60">
        <v>0</v>
      </c>
      <c r="Z29" s="57">
        <v>0</v>
      </c>
      <c r="AA29" s="122"/>
      <c r="AB29" s="60">
        <v>0</v>
      </c>
      <c r="AC29" s="60">
        <v>0</v>
      </c>
      <c r="AD29" s="60">
        <v>0</v>
      </c>
      <c r="AE29" s="60">
        <v>0</v>
      </c>
      <c r="AF29" s="57">
        <v>0</v>
      </c>
      <c r="AG29" s="124"/>
      <c r="AH29" s="60">
        <v>0</v>
      </c>
      <c r="AI29" s="60">
        <v>0</v>
      </c>
      <c r="AJ29" s="50"/>
      <c r="AK29" s="50"/>
      <c r="AL29" s="58"/>
      <c r="AM29" s="126"/>
      <c r="AN29" s="50"/>
      <c r="AO29" s="50"/>
      <c r="AP29" s="50"/>
      <c r="AQ29" s="50"/>
      <c r="AR29" s="58"/>
      <c r="AS29" s="126"/>
      <c r="AT29" s="58"/>
      <c r="AU29" s="126"/>
      <c r="AV29" s="58"/>
    </row>
    <row r="30" spans="1:48" s="113" customFormat="1" ht="15" customHeight="1">
      <c r="B30" s="127" t="s">
        <v>685</v>
      </c>
      <c r="C30" s="115"/>
      <c r="D30" s="60">
        <v>3185</v>
      </c>
      <c r="E30" s="60">
        <v>3390</v>
      </c>
      <c r="F30" s="60">
        <v>3372</v>
      </c>
      <c r="G30" s="60">
        <v>2935</v>
      </c>
      <c r="H30" s="74">
        <v>2935</v>
      </c>
      <c r="I30" s="116"/>
      <c r="J30" s="60">
        <v>3354</v>
      </c>
      <c r="K30" s="60">
        <v>3734</v>
      </c>
      <c r="L30" s="60">
        <v>4152</v>
      </c>
      <c r="M30" s="60">
        <v>3748</v>
      </c>
      <c r="N30" s="74">
        <v>3748</v>
      </c>
      <c r="O30" s="116"/>
      <c r="P30" s="60">
        <v>3764</v>
      </c>
      <c r="Q30" s="60">
        <v>3627</v>
      </c>
      <c r="R30" s="60">
        <v>3906</v>
      </c>
      <c r="S30" s="60">
        <v>4080</v>
      </c>
      <c r="T30" s="74">
        <v>4080</v>
      </c>
      <c r="U30" s="116"/>
      <c r="V30" s="60">
        <v>3879</v>
      </c>
      <c r="W30" s="60">
        <v>3903</v>
      </c>
      <c r="X30" s="60">
        <v>4117</v>
      </c>
      <c r="Y30" s="60">
        <v>3819</v>
      </c>
      <c r="Z30" s="74">
        <v>3819</v>
      </c>
      <c r="AA30" s="129"/>
      <c r="AB30" s="60">
        <v>3766</v>
      </c>
      <c r="AC30" s="60">
        <v>3691</v>
      </c>
      <c r="AD30" s="60">
        <v>3801</v>
      </c>
      <c r="AE30" s="60">
        <v>3590</v>
      </c>
      <c r="AF30" s="74">
        <v>3590</v>
      </c>
      <c r="AG30" s="130"/>
      <c r="AH30" s="60">
        <v>3756</v>
      </c>
      <c r="AI30" s="60">
        <v>3643</v>
      </c>
      <c r="AJ30" s="50"/>
      <c r="AK30" s="50"/>
      <c r="AL30" s="75"/>
      <c r="AM30" s="129"/>
      <c r="AN30" s="50"/>
      <c r="AO30" s="50"/>
      <c r="AP30" s="50"/>
      <c r="AQ30" s="50"/>
      <c r="AR30" s="75"/>
      <c r="AS30" s="129"/>
      <c r="AT30" s="75"/>
      <c r="AU30" s="129"/>
      <c r="AV30" s="75"/>
    </row>
    <row r="31" spans="1:48" ht="15" customHeight="1">
      <c r="A31" s="43"/>
      <c r="B31" s="138" t="s">
        <v>686</v>
      </c>
      <c r="D31" s="60">
        <v>55435</v>
      </c>
      <c r="E31" s="60">
        <v>56756</v>
      </c>
      <c r="F31" s="60">
        <v>57473</v>
      </c>
      <c r="G31" s="60">
        <v>57154</v>
      </c>
      <c r="H31" s="74">
        <v>57154</v>
      </c>
      <c r="I31" s="20"/>
      <c r="J31" s="60">
        <v>58745</v>
      </c>
      <c r="K31" s="60">
        <v>59891</v>
      </c>
      <c r="L31" s="60">
        <v>61083</v>
      </c>
      <c r="M31" s="60">
        <v>62197</v>
      </c>
      <c r="N31" s="74">
        <v>62197</v>
      </c>
      <c r="O31" s="20"/>
      <c r="P31" s="60">
        <v>62502</v>
      </c>
      <c r="Q31" s="60">
        <v>63500</v>
      </c>
      <c r="R31" s="60">
        <v>64642</v>
      </c>
      <c r="S31" s="60">
        <v>65629</v>
      </c>
      <c r="T31" s="74">
        <v>65629</v>
      </c>
      <c r="U31" s="20"/>
      <c r="V31" s="60">
        <v>66220</v>
      </c>
      <c r="W31" s="60">
        <v>67374</v>
      </c>
      <c r="X31" s="60">
        <v>67831</v>
      </c>
      <c r="Y31" s="60">
        <v>68533</v>
      </c>
      <c r="Z31" s="74">
        <v>68533</v>
      </c>
      <c r="AA31" s="122"/>
      <c r="AB31" s="60">
        <v>68689</v>
      </c>
      <c r="AC31" s="60">
        <v>68934</v>
      </c>
      <c r="AD31" s="60">
        <v>68690</v>
      </c>
      <c r="AE31" s="60">
        <v>68800</v>
      </c>
      <c r="AF31" s="74">
        <v>68800</v>
      </c>
      <c r="AG31" s="124"/>
      <c r="AH31" s="60">
        <v>68617</v>
      </c>
      <c r="AI31" s="60">
        <v>67760</v>
      </c>
      <c r="AJ31" s="50"/>
      <c r="AK31" s="50"/>
      <c r="AL31" s="75"/>
      <c r="AM31" s="139"/>
      <c r="AN31" s="50"/>
      <c r="AO31" s="50"/>
      <c r="AP31" s="50"/>
      <c r="AQ31" s="50"/>
      <c r="AR31" s="75"/>
      <c r="AS31" s="139"/>
      <c r="AT31" s="75"/>
      <c r="AU31" s="139"/>
      <c r="AV31" s="75"/>
    </row>
    <row r="32" spans="1:48" s="113" customFormat="1" ht="15" customHeight="1" thickBot="1">
      <c r="B32" s="140" t="s">
        <v>687</v>
      </c>
      <c r="C32" s="115"/>
      <c r="D32" s="60">
        <v>68452</v>
      </c>
      <c r="E32" s="60">
        <v>69954</v>
      </c>
      <c r="F32" s="60">
        <v>70014</v>
      </c>
      <c r="G32" s="60">
        <v>73537</v>
      </c>
      <c r="H32" s="93">
        <v>73537</v>
      </c>
      <c r="I32" s="116"/>
      <c r="J32" s="60">
        <v>77648</v>
      </c>
      <c r="K32" s="60">
        <v>81156</v>
      </c>
      <c r="L32" s="60">
        <v>82793</v>
      </c>
      <c r="M32" s="60">
        <v>82777</v>
      </c>
      <c r="N32" s="93">
        <v>82777</v>
      </c>
      <c r="O32" s="116"/>
      <c r="P32" s="60">
        <v>82048</v>
      </c>
      <c r="Q32" s="60">
        <v>84247</v>
      </c>
      <c r="R32" s="60">
        <v>84108</v>
      </c>
      <c r="S32" s="60">
        <v>85994</v>
      </c>
      <c r="T32" s="93">
        <v>85994</v>
      </c>
      <c r="U32" s="116"/>
      <c r="V32" s="60">
        <v>85826</v>
      </c>
      <c r="W32" s="60">
        <v>85591</v>
      </c>
      <c r="X32" s="60">
        <v>85775</v>
      </c>
      <c r="Y32" s="60">
        <v>87143</v>
      </c>
      <c r="Z32" s="93">
        <v>87143</v>
      </c>
      <c r="AA32" s="141"/>
      <c r="AB32" s="60">
        <v>87576</v>
      </c>
      <c r="AC32" s="60">
        <v>88051</v>
      </c>
      <c r="AD32" s="60">
        <v>86114</v>
      </c>
      <c r="AE32" s="60">
        <v>87007</v>
      </c>
      <c r="AF32" s="93">
        <v>87007</v>
      </c>
      <c r="AG32" s="130"/>
      <c r="AH32" s="60">
        <v>86711</v>
      </c>
      <c r="AI32" s="60">
        <v>85481</v>
      </c>
      <c r="AJ32" s="50"/>
      <c r="AK32" s="50"/>
      <c r="AL32" s="94"/>
      <c r="AM32" s="129"/>
      <c r="AN32" s="50"/>
      <c r="AO32" s="50"/>
      <c r="AP32" s="50"/>
      <c r="AQ32" s="50"/>
      <c r="AR32" s="94"/>
      <c r="AS32" s="129"/>
      <c r="AT32" s="94"/>
      <c r="AU32" s="129"/>
      <c r="AV32" s="94"/>
    </row>
    <row r="34" spans="1:48" s="113" customFormat="1" ht="15" customHeight="1">
      <c r="A34" s="44"/>
      <c r="B34" s="64" t="s">
        <v>688</v>
      </c>
      <c r="C34" s="115"/>
      <c r="D34" s="46"/>
      <c r="E34" s="46"/>
      <c r="F34" s="46"/>
      <c r="G34" s="46"/>
      <c r="H34" s="66"/>
      <c r="I34" s="116"/>
      <c r="J34" s="46"/>
      <c r="K34" s="46"/>
      <c r="L34" s="46"/>
      <c r="M34" s="46"/>
      <c r="N34" s="66"/>
      <c r="O34" s="116"/>
      <c r="P34" s="46"/>
      <c r="Q34" s="46"/>
      <c r="R34" s="46"/>
      <c r="S34" s="46"/>
      <c r="T34" s="66"/>
      <c r="U34" s="116"/>
      <c r="V34" s="46"/>
      <c r="W34" s="46"/>
      <c r="X34" s="46"/>
      <c r="Y34" s="46"/>
      <c r="Z34" s="66"/>
      <c r="AA34" s="117"/>
      <c r="AB34" s="46"/>
      <c r="AC34" s="46"/>
      <c r="AD34" s="46"/>
      <c r="AE34" s="46"/>
      <c r="AF34" s="66"/>
      <c r="AG34" s="118"/>
      <c r="AH34" s="46"/>
      <c r="AI34" s="46"/>
      <c r="AJ34" s="50"/>
      <c r="AK34" s="50"/>
      <c r="AL34" s="68"/>
      <c r="AM34" s="117"/>
      <c r="AN34" s="50"/>
      <c r="AO34" s="50"/>
      <c r="AP34" s="50"/>
      <c r="AQ34" s="50"/>
      <c r="AR34" s="68"/>
      <c r="AS34" s="117"/>
      <c r="AT34" s="68"/>
      <c r="AU34" s="117"/>
      <c r="AV34" s="68"/>
    </row>
    <row r="35" spans="1:48" s="147" customFormat="1" ht="15" customHeight="1">
      <c r="A35" s="142"/>
      <c r="B35" s="143"/>
      <c r="C35" s="27"/>
      <c r="D35" s="46"/>
      <c r="E35" s="46"/>
      <c r="F35" s="46"/>
      <c r="G35" s="46"/>
      <c r="H35" s="66"/>
      <c r="I35" s="144"/>
      <c r="J35" s="46"/>
      <c r="K35" s="46"/>
      <c r="L35" s="46"/>
      <c r="M35" s="46"/>
      <c r="N35" s="66"/>
      <c r="O35" s="144"/>
      <c r="P35" s="46"/>
      <c r="Q35" s="46"/>
      <c r="R35" s="46"/>
      <c r="S35" s="46"/>
      <c r="T35" s="66"/>
      <c r="U35" s="144"/>
      <c r="V35" s="46"/>
      <c r="W35" s="46"/>
      <c r="X35" s="46"/>
      <c r="Y35" s="46"/>
      <c r="Z35" s="66"/>
      <c r="AA35" s="145"/>
      <c r="AB35" s="46"/>
      <c r="AC35" s="46"/>
      <c r="AD35" s="46"/>
      <c r="AE35" s="46"/>
      <c r="AF35" s="66"/>
      <c r="AG35" s="146"/>
      <c r="AH35" s="46"/>
      <c r="AI35" s="46"/>
      <c r="AJ35" s="50"/>
      <c r="AK35" s="50"/>
      <c r="AL35" s="68"/>
      <c r="AM35" s="148"/>
      <c r="AN35" s="50"/>
      <c r="AO35" s="50"/>
      <c r="AP35" s="50"/>
      <c r="AQ35" s="50"/>
      <c r="AR35" s="68"/>
      <c r="AS35" s="139"/>
      <c r="AT35" s="68"/>
      <c r="AU35" s="139"/>
      <c r="AV35" s="68"/>
    </row>
    <row r="36" spans="1:48" s="113" customFormat="1" ht="15" customHeight="1">
      <c r="A36" s="44" t="s">
        <v>37</v>
      </c>
      <c r="B36" s="114" t="s">
        <v>689</v>
      </c>
      <c r="C36" s="115"/>
      <c r="D36" s="46"/>
      <c r="E36" s="46"/>
      <c r="F36" s="46"/>
      <c r="G36" s="46"/>
      <c r="H36" s="66"/>
      <c r="I36" s="116"/>
      <c r="J36" s="46"/>
      <c r="K36" s="46"/>
      <c r="L36" s="46"/>
      <c r="M36" s="46"/>
      <c r="N36" s="66"/>
      <c r="O36" s="116"/>
      <c r="P36" s="46"/>
      <c r="Q36" s="46"/>
      <c r="R36" s="46"/>
      <c r="S36" s="46"/>
      <c r="T36" s="66"/>
      <c r="U36" s="116"/>
      <c r="V36" s="46"/>
      <c r="W36" s="46"/>
      <c r="X36" s="46"/>
      <c r="Y36" s="46"/>
      <c r="Z36" s="66"/>
      <c r="AA36" s="117"/>
      <c r="AB36" s="46"/>
      <c r="AC36" s="46"/>
      <c r="AD36" s="46"/>
      <c r="AE36" s="46"/>
      <c r="AF36" s="66"/>
      <c r="AG36" s="118"/>
      <c r="AH36" s="46"/>
      <c r="AI36" s="46"/>
      <c r="AJ36" s="50"/>
      <c r="AK36" s="50"/>
      <c r="AL36" s="68"/>
      <c r="AM36" s="149"/>
      <c r="AN36" s="50"/>
      <c r="AO36" s="50"/>
      <c r="AP36" s="50"/>
      <c r="AQ36" s="50"/>
      <c r="AR36" s="68"/>
      <c r="AS36" s="117"/>
      <c r="AT36" s="68"/>
      <c r="AU36" s="117"/>
      <c r="AV36" s="68"/>
    </row>
    <row r="37" spans="1:48" ht="15" customHeight="1">
      <c r="A37" s="43"/>
      <c r="B37" s="127" t="s">
        <v>690</v>
      </c>
      <c r="D37" s="60">
        <v>8004</v>
      </c>
      <c r="E37" s="60">
        <v>8453</v>
      </c>
      <c r="F37" s="60">
        <v>8088</v>
      </c>
      <c r="G37" s="60">
        <v>8370</v>
      </c>
      <c r="H37" s="57">
        <v>8370</v>
      </c>
      <c r="I37" s="20"/>
      <c r="J37" s="60">
        <v>9084</v>
      </c>
      <c r="K37" s="60">
        <v>9895</v>
      </c>
      <c r="L37" s="60">
        <v>10787</v>
      </c>
      <c r="M37" s="60">
        <v>11306</v>
      </c>
      <c r="N37" s="57">
        <v>11306</v>
      </c>
      <c r="O37" s="20"/>
      <c r="P37" s="60">
        <v>10522</v>
      </c>
      <c r="Q37" s="60">
        <v>11396</v>
      </c>
      <c r="R37" s="60">
        <v>11479</v>
      </c>
      <c r="S37" s="60">
        <v>11749</v>
      </c>
      <c r="T37" s="57">
        <v>11749</v>
      </c>
      <c r="U37" s="20"/>
      <c r="V37" s="60">
        <v>11156</v>
      </c>
      <c r="W37" s="60">
        <v>11369</v>
      </c>
      <c r="X37" s="60">
        <v>10987</v>
      </c>
      <c r="Y37" s="60">
        <v>11070</v>
      </c>
      <c r="Z37" s="57">
        <v>11070</v>
      </c>
      <c r="AA37" s="20"/>
      <c r="AB37" s="60">
        <v>11078</v>
      </c>
      <c r="AC37" s="60">
        <v>11481</v>
      </c>
      <c r="AD37" s="60">
        <v>10794</v>
      </c>
      <c r="AE37" s="60">
        <v>10824</v>
      </c>
      <c r="AF37" s="57">
        <v>10824</v>
      </c>
      <c r="AG37" s="150"/>
      <c r="AH37" s="60">
        <v>10979</v>
      </c>
      <c r="AI37" s="60">
        <v>11264</v>
      </c>
      <c r="AJ37" s="50"/>
      <c r="AK37" s="50"/>
      <c r="AL37" s="58"/>
      <c r="AM37" s="20"/>
      <c r="AN37" s="50"/>
      <c r="AO37" s="50"/>
      <c r="AP37" s="50"/>
      <c r="AQ37" s="50"/>
      <c r="AR37" s="58"/>
      <c r="AS37" s="20"/>
      <c r="AT37" s="58"/>
      <c r="AU37" s="20"/>
      <c r="AV37" s="58"/>
    </row>
    <row r="38" spans="1:48" ht="15" customHeight="1">
      <c r="A38" s="43"/>
      <c r="B38" s="127" t="s">
        <v>691</v>
      </c>
      <c r="D38" s="60">
        <v>35</v>
      </c>
      <c r="E38" s="60">
        <v>150</v>
      </c>
      <c r="F38" s="60">
        <v>300</v>
      </c>
      <c r="G38" s="60">
        <v>51</v>
      </c>
      <c r="H38" s="57">
        <v>51</v>
      </c>
      <c r="I38" s="20"/>
      <c r="J38" s="60">
        <v>87</v>
      </c>
      <c r="K38" s="60">
        <v>97</v>
      </c>
      <c r="L38" s="60">
        <v>636</v>
      </c>
      <c r="M38" s="60">
        <v>146</v>
      </c>
      <c r="N38" s="57">
        <v>146</v>
      </c>
      <c r="O38" s="20"/>
      <c r="P38" s="60">
        <v>125</v>
      </c>
      <c r="Q38" s="60">
        <v>117</v>
      </c>
      <c r="R38" s="60">
        <v>116</v>
      </c>
      <c r="S38" s="60">
        <v>82</v>
      </c>
      <c r="T38" s="57">
        <v>82</v>
      </c>
      <c r="U38" s="20"/>
      <c r="V38" s="60">
        <v>139</v>
      </c>
      <c r="W38" s="60">
        <v>172</v>
      </c>
      <c r="X38" s="60">
        <v>147</v>
      </c>
      <c r="Y38" s="60">
        <v>126</v>
      </c>
      <c r="Z38" s="57">
        <v>126</v>
      </c>
      <c r="AA38" s="122"/>
      <c r="AB38" s="60">
        <v>351</v>
      </c>
      <c r="AC38" s="60">
        <v>334</v>
      </c>
      <c r="AD38" s="60">
        <v>67</v>
      </c>
      <c r="AE38" s="60">
        <v>68</v>
      </c>
      <c r="AF38" s="57">
        <v>68</v>
      </c>
      <c r="AG38" s="124"/>
      <c r="AH38" s="60">
        <v>622</v>
      </c>
      <c r="AI38" s="60">
        <v>592</v>
      </c>
      <c r="AJ38" s="50"/>
      <c r="AK38" s="50"/>
      <c r="AL38" s="58"/>
      <c r="AM38" s="151"/>
      <c r="AN38" s="50"/>
      <c r="AO38" s="50"/>
      <c r="AP38" s="50"/>
      <c r="AQ38" s="50"/>
      <c r="AR38" s="58"/>
      <c r="AS38" s="151"/>
      <c r="AT38" s="58"/>
      <c r="AU38" s="151"/>
      <c r="AV38" s="58"/>
    </row>
    <row r="39" spans="1:48" s="113" customFormat="1" ht="15" customHeight="1">
      <c r="B39" s="127" t="s">
        <v>692</v>
      </c>
      <c r="C39" s="115"/>
      <c r="D39" s="60">
        <v>1896</v>
      </c>
      <c r="E39" s="60">
        <v>1944</v>
      </c>
      <c r="F39" s="60">
        <v>1937</v>
      </c>
      <c r="G39" s="60">
        <v>1923</v>
      </c>
      <c r="H39" s="57">
        <v>1923</v>
      </c>
      <c r="I39" s="116"/>
      <c r="J39" s="60">
        <v>2024</v>
      </c>
      <c r="K39" s="60">
        <v>2123</v>
      </c>
      <c r="L39" s="60">
        <v>2143</v>
      </c>
      <c r="M39" s="60">
        <v>2208</v>
      </c>
      <c r="N39" s="57">
        <v>2208</v>
      </c>
      <c r="O39" s="116"/>
      <c r="P39" s="60">
        <v>2263</v>
      </c>
      <c r="Q39" s="60">
        <v>2371</v>
      </c>
      <c r="R39" s="60">
        <v>2395</v>
      </c>
      <c r="S39" s="60">
        <v>2443</v>
      </c>
      <c r="T39" s="57">
        <v>2443</v>
      </c>
      <c r="U39" s="116"/>
      <c r="V39" s="60">
        <v>2470</v>
      </c>
      <c r="W39" s="60">
        <v>2498</v>
      </c>
      <c r="X39" s="60">
        <v>2446</v>
      </c>
      <c r="Y39" s="60">
        <v>2390</v>
      </c>
      <c r="Z39" s="57">
        <v>2390</v>
      </c>
      <c r="AA39" s="129"/>
      <c r="AB39" s="60">
        <v>2382</v>
      </c>
      <c r="AC39" s="60">
        <v>2433</v>
      </c>
      <c r="AD39" s="60">
        <v>2447</v>
      </c>
      <c r="AE39" s="60">
        <v>2463</v>
      </c>
      <c r="AF39" s="57">
        <v>2463</v>
      </c>
      <c r="AG39" s="130"/>
      <c r="AH39" s="60">
        <v>2510</v>
      </c>
      <c r="AI39" s="60">
        <v>2536</v>
      </c>
      <c r="AJ39" s="50"/>
      <c r="AK39" s="50"/>
      <c r="AL39" s="58"/>
      <c r="AM39" s="129"/>
      <c r="AN39" s="50"/>
      <c r="AO39" s="50"/>
      <c r="AP39" s="50"/>
      <c r="AQ39" s="50"/>
      <c r="AR39" s="58"/>
      <c r="AS39" s="129"/>
      <c r="AT39" s="58"/>
      <c r="AU39" s="129"/>
      <c r="AV39" s="58"/>
    </row>
    <row r="40" spans="1:48" ht="15" customHeight="1">
      <c r="A40" s="43"/>
      <c r="B40" s="127" t="s">
        <v>693</v>
      </c>
      <c r="D40" s="60">
        <v>0</v>
      </c>
      <c r="E40" s="60">
        <v>0</v>
      </c>
      <c r="F40" s="60">
        <v>0</v>
      </c>
      <c r="G40" s="60">
        <v>0</v>
      </c>
      <c r="H40" s="57">
        <v>0</v>
      </c>
      <c r="I40" s="20"/>
      <c r="J40" s="60">
        <v>0</v>
      </c>
      <c r="K40" s="60">
        <v>0</v>
      </c>
      <c r="L40" s="60">
        <v>0</v>
      </c>
      <c r="M40" s="60">
        <v>0</v>
      </c>
      <c r="N40" s="57">
        <v>0</v>
      </c>
      <c r="O40" s="20"/>
      <c r="P40" s="60">
        <v>0</v>
      </c>
      <c r="Q40" s="60">
        <v>0</v>
      </c>
      <c r="R40" s="60">
        <v>0</v>
      </c>
      <c r="S40" s="60">
        <v>0</v>
      </c>
      <c r="T40" s="57">
        <v>0</v>
      </c>
      <c r="U40" s="20"/>
      <c r="V40" s="60">
        <v>0</v>
      </c>
      <c r="W40" s="60">
        <v>0</v>
      </c>
      <c r="X40" s="60">
        <v>0</v>
      </c>
      <c r="Y40" s="60">
        <v>0</v>
      </c>
      <c r="Z40" s="57">
        <v>0</v>
      </c>
      <c r="AA40" s="20"/>
      <c r="AB40" s="60">
        <v>0</v>
      </c>
      <c r="AC40" s="60">
        <v>0</v>
      </c>
      <c r="AD40" s="60">
        <v>0</v>
      </c>
      <c r="AE40" s="60">
        <v>0</v>
      </c>
      <c r="AF40" s="57">
        <v>0</v>
      </c>
      <c r="AG40" s="150"/>
      <c r="AH40" s="60">
        <v>0</v>
      </c>
      <c r="AI40" s="60">
        <v>0</v>
      </c>
      <c r="AJ40" s="50"/>
      <c r="AK40" s="50"/>
      <c r="AL40" s="58"/>
      <c r="AM40" s="20"/>
      <c r="AN40" s="50"/>
      <c r="AO40" s="50"/>
      <c r="AP40" s="50"/>
      <c r="AQ40" s="50"/>
      <c r="AR40" s="58"/>
      <c r="AS40" s="20"/>
      <c r="AT40" s="58"/>
      <c r="AU40" s="20"/>
      <c r="AV40" s="58"/>
    </row>
    <row r="41" spans="1:48" s="113" customFormat="1" ht="15" customHeight="1">
      <c r="B41" s="138" t="s">
        <v>694</v>
      </c>
      <c r="C41" s="115"/>
      <c r="D41" s="60">
        <v>9935</v>
      </c>
      <c r="E41" s="60">
        <v>10547</v>
      </c>
      <c r="F41" s="60">
        <v>10325</v>
      </c>
      <c r="G41" s="60">
        <v>10344</v>
      </c>
      <c r="H41" s="77">
        <v>10344</v>
      </c>
      <c r="I41" s="116"/>
      <c r="J41" s="60">
        <v>11195</v>
      </c>
      <c r="K41" s="60">
        <v>12115</v>
      </c>
      <c r="L41" s="60">
        <v>13566</v>
      </c>
      <c r="M41" s="60">
        <v>13660</v>
      </c>
      <c r="N41" s="77">
        <v>13660</v>
      </c>
      <c r="O41" s="116"/>
      <c r="P41" s="60">
        <v>12910</v>
      </c>
      <c r="Q41" s="60">
        <v>13884</v>
      </c>
      <c r="R41" s="60">
        <v>13990</v>
      </c>
      <c r="S41" s="60">
        <v>14274</v>
      </c>
      <c r="T41" s="77">
        <v>14274</v>
      </c>
      <c r="U41" s="116"/>
      <c r="V41" s="60">
        <v>13765</v>
      </c>
      <c r="W41" s="60">
        <v>14039</v>
      </c>
      <c r="X41" s="60">
        <v>13580</v>
      </c>
      <c r="Y41" s="60">
        <v>13586</v>
      </c>
      <c r="Z41" s="77">
        <v>13586</v>
      </c>
      <c r="AA41" s="129"/>
      <c r="AB41" s="60">
        <v>13811</v>
      </c>
      <c r="AC41" s="60">
        <v>14248</v>
      </c>
      <c r="AD41" s="60">
        <v>13308</v>
      </c>
      <c r="AE41" s="60">
        <v>13355</v>
      </c>
      <c r="AF41" s="77">
        <v>13355</v>
      </c>
      <c r="AG41" s="130"/>
      <c r="AH41" s="60">
        <v>14111</v>
      </c>
      <c r="AI41" s="60">
        <v>14392</v>
      </c>
      <c r="AJ41" s="46"/>
      <c r="AK41" s="46"/>
      <c r="AL41" s="77"/>
      <c r="AM41" s="129"/>
      <c r="AN41" s="46"/>
      <c r="AO41" s="46"/>
      <c r="AP41" s="46"/>
      <c r="AQ41" s="46"/>
      <c r="AR41" s="77"/>
      <c r="AS41" s="129"/>
      <c r="AT41" s="77"/>
      <c r="AU41" s="129"/>
      <c r="AV41" s="77"/>
    </row>
    <row r="42" spans="1:48" ht="15" customHeight="1">
      <c r="A42" s="43"/>
      <c r="B42" s="152"/>
      <c r="D42" s="46"/>
      <c r="E42" s="46"/>
      <c r="F42" s="46"/>
      <c r="G42" s="46"/>
      <c r="H42" s="66"/>
      <c r="I42" s="20"/>
      <c r="J42" s="46"/>
      <c r="K42" s="46"/>
      <c r="L42" s="46"/>
      <c r="M42" s="46"/>
      <c r="N42" s="66"/>
      <c r="O42" s="20"/>
      <c r="P42" s="46"/>
      <c r="Q42" s="46"/>
      <c r="R42" s="46"/>
      <c r="S42" s="46"/>
      <c r="T42" s="66"/>
      <c r="U42" s="20"/>
      <c r="V42" s="46"/>
      <c r="W42" s="46"/>
      <c r="X42" s="46"/>
      <c r="Y42" s="46"/>
      <c r="Z42" s="66"/>
      <c r="AA42" s="20"/>
      <c r="AB42" s="46"/>
      <c r="AC42" s="46"/>
      <c r="AD42" s="46"/>
      <c r="AE42" s="46"/>
      <c r="AF42" s="66"/>
      <c r="AG42" s="150"/>
      <c r="AH42" s="46"/>
      <c r="AI42" s="46"/>
      <c r="AJ42" s="46"/>
      <c r="AK42" s="46"/>
      <c r="AL42" s="66"/>
      <c r="AM42" s="20"/>
      <c r="AN42" s="46"/>
      <c r="AO42" s="46"/>
      <c r="AP42" s="46"/>
      <c r="AQ42" s="46"/>
      <c r="AR42" s="66"/>
      <c r="AS42" s="20"/>
      <c r="AT42" s="66"/>
      <c r="AU42" s="20"/>
      <c r="AV42" s="66"/>
    </row>
    <row r="43" spans="1:48" s="113" customFormat="1" ht="15" customHeight="1">
      <c r="A43" s="44" t="s">
        <v>37</v>
      </c>
      <c r="B43" s="114" t="s">
        <v>695</v>
      </c>
      <c r="C43" s="115"/>
      <c r="D43" s="46"/>
      <c r="E43" s="46"/>
      <c r="F43" s="46"/>
      <c r="G43" s="46"/>
      <c r="H43" s="66"/>
      <c r="I43" s="116"/>
      <c r="J43" s="46"/>
      <c r="K43" s="46"/>
      <c r="L43" s="46"/>
      <c r="M43" s="46"/>
      <c r="N43" s="66"/>
      <c r="O43" s="116"/>
      <c r="P43" s="46"/>
      <c r="Q43" s="46"/>
      <c r="R43" s="46"/>
      <c r="S43" s="46"/>
      <c r="T43" s="66"/>
      <c r="U43" s="116"/>
      <c r="V43" s="46"/>
      <c r="W43" s="46"/>
      <c r="X43" s="46"/>
      <c r="Y43" s="46"/>
      <c r="Z43" s="66"/>
      <c r="AA43" s="116"/>
      <c r="AB43" s="46"/>
      <c r="AC43" s="46"/>
      <c r="AD43" s="46"/>
      <c r="AE43" s="46"/>
      <c r="AF43" s="66"/>
      <c r="AG43" s="153"/>
      <c r="AH43" s="46"/>
      <c r="AI43" s="46"/>
      <c r="AJ43" s="46"/>
      <c r="AK43" s="46"/>
      <c r="AL43" s="66"/>
      <c r="AM43" s="116"/>
      <c r="AN43" s="46"/>
      <c r="AO43" s="46"/>
      <c r="AP43" s="46"/>
      <c r="AQ43" s="46"/>
      <c r="AR43" s="66"/>
      <c r="AS43" s="116"/>
      <c r="AT43" s="66"/>
      <c r="AU43" s="116"/>
      <c r="AV43" s="66"/>
    </row>
    <row r="44" spans="1:48" ht="15" customHeight="1">
      <c r="A44" s="43"/>
      <c r="B44" s="127" t="s">
        <v>696</v>
      </c>
      <c r="D44" s="60">
        <v>18726</v>
      </c>
      <c r="E44" s="60">
        <v>18599</v>
      </c>
      <c r="F44" s="60">
        <v>18536</v>
      </c>
      <c r="G44" s="60">
        <v>21467</v>
      </c>
      <c r="H44" s="66">
        <v>21467</v>
      </c>
      <c r="I44" s="20"/>
      <c r="J44" s="60">
        <v>22731</v>
      </c>
      <c r="K44" s="60">
        <v>22741</v>
      </c>
      <c r="L44" s="60">
        <v>22281</v>
      </c>
      <c r="M44" s="60">
        <v>20208</v>
      </c>
      <c r="N44" s="66">
        <v>20208</v>
      </c>
      <c r="O44" s="20"/>
      <c r="P44" s="60">
        <v>20050</v>
      </c>
      <c r="Q44" s="60">
        <v>19876</v>
      </c>
      <c r="R44" s="60">
        <v>19892</v>
      </c>
      <c r="S44" s="60">
        <v>19714</v>
      </c>
      <c r="T44" s="66">
        <v>19714</v>
      </c>
      <c r="U44" s="20"/>
      <c r="V44" s="60">
        <v>19374</v>
      </c>
      <c r="W44" s="60">
        <v>19496</v>
      </c>
      <c r="X44" s="60">
        <v>19583</v>
      </c>
      <c r="Y44" s="60">
        <v>19653</v>
      </c>
      <c r="Z44" s="66">
        <v>19653</v>
      </c>
      <c r="AA44" s="20"/>
      <c r="AB44" s="60">
        <v>19415</v>
      </c>
      <c r="AC44" s="60">
        <v>19487</v>
      </c>
      <c r="AD44" s="60">
        <v>19690</v>
      </c>
      <c r="AE44" s="60">
        <v>19704</v>
      </c>
      <c r="AF44" s="66">
        <v>19704</v>
      </c>
      <c r="AG44" s="150"/>
      <c r="AH44" s="60">
        <v>19240</v>
      </c>
      <c r="AI44" s="60">
        <v>19013</v>
      </c>
      <c r="AJ44" s="46"/>
      <c r="AK44" s="46"/>
      <c r="AL44" s="66"/>
      <c r="AM44" s="20"/>
      <c r="AN44" s="46"/>
      <c r="AO44" s="46"/>
      <c r="AP44" s="46"/>
      <c r="AQ44" s="46"/>
      <c r="AR44" s="66"/>
      <c r="AS44" s="20"/>
      <c r="AT44" s="66"/>
      <c r="AU44" s="20"/>
      <c r="AV44" s="66"/>
    </row>
    <row r="45" spans="1:48" s="113" customFormat="1" ht="15" customHeight="1">
      <c r="B45" s="127" t="s">
        <v>697</v>
      </c>
      <c r="C45" s="115"/>
      <c r="D45" s="60">
        <v>12137</v>
      </c>
      <c r="E45" s="60">
        <v>12524</v>
      </c>
      <c r="F45" s="60">
        <v>12669</v>
      </c>
      <c r="G45" s="60">
        <v>12680</v>
      </c>
      <c r="H45" s="66">
        <v>12680</v>
      </c>
      <c r="I45" s="116"/>
      <c r="J45" s="60">
        <v>13187</v>
      </c>
      <c r="K45" s="60">
        <v>13489</v>
      </c>
      <c r="L45" s="60">
        <v>13506</v>
      </c>
      <c r="M45" s="60">
        <v>13900</v>
      </c>
      <c r="N45" s="66">
        <v>13900</v>
      </c>
      <c r="O45" s="116"/>
      <c r="P45" s="60">
        <v>13886</v>
      </c>
      <c r="Q45" s="60">
        <v>14465</v>
      </c>
      <c r="R45" s="60">
        <v>14951</v>
      </c>
      <c r="S45" s="60">
        <v>14955</v>
      </c>
      <c r="T45" s="66">
        <v>14955</v>
      </c>
      <c r="U45" s="116"/>
      <c r="V45" s="60">
        <v>15662</v>
      </c>
      <c r="W45" s="60">
        <v>15870</v>
      </c>
      <c r="X45" s="60">
        <v>15912</v>
      </c>
      <c r="Y45" s="60">
        <v>16163</v>
      </c>
      <c r="Z45" s="66">
        <v>16163</v>
      </c>
      <c r="AA45" s="116"/>
      <c r="AB45" s="60">
        <v>16068</v>
      </c>
      <c r="AC45" s="60">
        <v>15928</v>
      </c>
      <c r="AD45" s="60">
        <v>15310</v>
      </c>
      <c r="AE45" s="60">
        <v>15484</v>
      </c>
      <c r="AF45" s="66">
        <v>15484</v>
      </c>
      <c r="AG45" s="153"/>
      <c r="AH45" s="60">
        <v>15393</v>
      </c>
      <c r="AI45" s="60">
        <v>15133</v>
      </c>
      <c r="AJ45" s="46"/>
      <c r="AK45" s="46"/>
      <c r="AL45" s="66"/>
      <c r="AM45" s="116"/>
      <c r="AN45" s="46"/>
      <c r="AO45" s="46"/>
      <c r="AP45" s="46"/>
      <c r="AQ45" s="46"/>
      <c r="AR45" s="66"/>
      <c r="AS45" s="116"/>
      <c r="AT45" s="66"/>
      <c r="AU45" s="116"/>
      <c r="AV45" s="66"/>
    </row>
    <row r="46" spans="1:48" ht="15" customHeight="1">
      <c r="A46" s="43"/>
      <c r="B46" s="127" t="s">
        <v>698</v>
      </c>
      <c r="D46" s="60">
        <v>9488</v>
      </c>
      <c r="E46" s="60">
        <v>9625</v>
      </c>
      <c r="F46" s="60">
        <v>9653</v>
      </c>
      <c r="G46" s="60">
        <v>10751</v>
      </c>
      <c r="H46" s="66">
        <v>10751</v>
      </c>
      <c r="I46" s="20"/>
      <c r="J46" s="60">
        <v>11073</v>
      </c>
      <c r="K46" s="60">
        <v>11772</v>
      </c>
      <c r="L46" s="60">
        <v>11459</v>
      </c>
      <c r="M46" s="60">
        <v>10841</v>
      </c>
      <c r="N46" s="66">
        <v>10841</v>
      </c>
      <c r="O46" s="20"/>
      <c r="P46" s="60">
        <v>10881</v>
      </c>
      <c r="Q46" s="60">
        <v>11082</v>
      </c>
      <c r="R46" s="60">
        <v>10749</v>
      </c>
      <c r="S46" s="60">
        <v>12112</v>
      </c>
      <c r="T46" s="66">
        <v>12112</v>
      </c>
      <c r="U46" s="20"/>
      <c r="V46" s="60">
        <v>11885</v>
      </c>
      <c r="W46" s="60">
        <v>12071</v>
      </c>
      <c r="X46" s="60">
        <v>11967</v>
      </c>
      <c r="Y46" s="60">
        <v>11653</v>
      </c>
      <c r="Z46" s="66">
        <v>11653</v>
      </c>
      <c r="AA46" s="20"/>
      <c r="AB46" s="60">
        <v>11748</v>
      </c>
      <c r="AC46" s="60">
        <v>11622</v>
      </c>
      <c r="AD46" s="60">
        <v>11431</v>
      </c>
      <c r="AE46" s="60">
        <v>10882</v>
      </c>
      <c r="AF46" s="66">
        <v>10882</v>
      </c>
      <c r="AG46" s="150"/>
      <c r="AH46" s="60">
        <v>10791</v>
      </c>
      <c r="AI46" s="60">
        <v>10483</v>
      </c>
      <c r="AJ46" s="46"/>
      <c r="AK46" s="46"/>
      <c r="AL46" s="66"/>
      <c r="AM46" s="20"/>
      <c r="AN46" s="46"/>
      <c r="AO46" s="46"/>
      <c r="AP46" s="46"/>
      <c r="AQ46" s="46"/>
      <c r="AR46" s="66"/>
      <c r="AS46" s="20"/>
      <c r="AT46" s="66"/>
      <c r="AU46" s="20"/>
      <c r="AV46" s="66"/>
    </row>
    <row r="47" spans="1:48" s="113" customFormat="1" ht="15" customHeight="1">
      <c r="B47" s="138" t="s">
        <v>699</v>
      </c>
      <c r="C47" s="115"/>
      <c r="D47" s="60">
        <v>40351</v>
      </c>
      <c r="E47" s="60">
        <v>40748</v>
      </c>
      <c r="F47" s="60">
        <v>40858</v>
      </c>
      <c r="G47" s="60">
        <v>44898</v>
      </c>
      <c r="H47" s="66">
        <v>44898</v>
      </c>
      <c r="I47" s="116"/>
      <c r="J47" s="60">
        <v>46991</v>
      </c>
      <c r="K47" s="60">
        <v>48002</v>
      </c>
      <c r="L47" s="60">
        <v>47246</v>
      </c>
      <c r="M47" s="60">
        <v>44949</v>
      </c>
      <c r="N47" s="66">
        <v>44949</v>
      </c>
      <c r="O47" s="116"/>
      <c r="P47" s="60">
        <v>44817</v>
      </c>
      <c r="Q47" s="60">
        <v>45423</v>
      </c>
      <c r="R47" s="60">
        <v>45592</v>
      </c>
      <c r="S47" s="60">
        <v>46781</v>
      </c>
      <c r="T47" s="66">
        <v>46781</v>
      </c>
      <c r="U47" s="116"/>
      <c r="V47" s="60">
        <v>46921</v>
      </c>
      <c r="W47" s="60">
        <v>47437</v>
      </c>
      <c r="X47" s="60">
        <v>47462</v>
      </c>
      <c r="Y47" s="60">
        <v>47469</v>
      </c>
      <c r="Z47" s="66">
        <v>47469</v>
      </c>
      <c r="AA47" s="116"/>
      <c r="AB47" s="60">
        <v>47231</v>
      </c>
      <c r="AC47" s="60">
        <v>47037</v>
      </c>
      <c r="AD47" s="60">
        <v>46431</v>
      </c>
      <c r="AE47" s="60">
        <v>46070</v>
      </c>
      <c r="AF47" s="66">
        <v>46070</v>
      </c>
      <c r="AG47" s="153"/>
      <c r="AH47" s="60">
        <v>45424</v>
      </c>
      <c r="AI47" s="60">
        <v>44629</v>
      </c>
      <c r="AJ47" s="46"/>
      <c r="AK47" s="46"/>
      <c r="AL47" s="66"/>
      <c r="AM47" s="116"/>
      <c r="AN47" s="46"/>
      <c r="AO47" s="46"/>
      <c r="AP47" s="46"/>
      <c r="AQ47" s="46"/>
      <c r="AR47" s="66"/>
      <c r="AS47" s="116"/>
      <c r="AT47" s="66"/>
      <c r="AU47" s="116"/>
      <c r="AV47" s="66"/>
    </row>
    <row r="48" spans="1:48" ht="15" customHeight="1">
      <c r="A48" s="43"/>
      <c r="B48" s="140" t="s">
        <v>700</v>
      </c>
      <c r="D48" s="60">
        <v>50286</v>
      </c>
      <c r="E48" s="60">
        <v>51295</v>
      </c>
      <c r="F48" s="60">
        <v>51183</v>
      </c>
      <c r="G48" s="60">
        <v>55242</v>
      </c>
      <c r="H48" s="77">
        <v>55242</v>
      </c>
      <c r="I48" s="20"/>
      <c r="J48" s="60">
        <v>58186</v>
      </c>
      <c r="K48" s="60">
        <v>60117</v>
      </c>
      <c r="L48" s="60">
        <v>60812</v>
      </c>
      <c r="M48" s="60">
        <v>58609</v>
      </c>
      <c r="N48" s="77">
        <v>58609</v>
      </c>
      <c r="O48" s="20"/>
      <c r="P48" s="60">
        <v>57727</v>
      </c>
      <c r="Q48" s="60">
        <v>59307</v>
      </c>
      <c r="R48" s="60">
        <v>59582</v>
      </c>
      <c r="S48" s="60">
        <v>61055</v>
      </c>
      <c r="T48" s="77">
        <v>61055</v>
      </c>
      <c r="U48" s="20"/>
      <c r="V48" s="60">
        <v>60686</v>
      </c>
      <c r="W48" s="60">
        <v>61476</v>
      </c>
      <c r="X48" s="60">
        <v>61042</v>
      </c>
      <c r="Y48" s="60">
        <v>61055</v>
      </c>
      <c r="Z48" s="77">
        <v>61055</v>
      </c>
      <c r="AA48" s="20"/>
      <c r="AB48" s="60">
        <v>61042</v>
      </c>
      <c r="AC48" s="60">
        <v>61285</v>
      </c>
      <c r="AD48" s="60">
        <v>59739</v>
      </c>
      <c r="AE48" s="60">
        <v>59425</v>
      </c>
      <c r="AF48" s="77">
        <v>59425</v>
      </c>
      <c r="AG48" s="150"/>
      <c r="AH48" s="60">
        <v>59535</v>
      </c>
      <c r="AI48" s="60">
        <v>59021</v>
      </c>
      <c r="AJ48" s="46"/>
      <c r="AK48" s="46"/>
      <c r="AL48" s="77"/>
      <c r="AM48" s="20"/>
      <c r="AN48" s="46"/>
      <c r="AO48" s="46"/>
      <c r="AP48" s="46"/>
      <c r="AQ48" s="46"/>
      <c r="AR48" s="77"/>
      <c r="AS48" s="20"/>
      <c r="AT48" s="77"/>
      <c r="AU48" s="20"/>
      <c r="AV48" s="77"/>
    </row>
    <row r="50" spans="1:35" ht="15" customHeight="1">
      <c r="A50" s="44" t="s">
        <v>37</v>
      </c>
      <c r="B50" s="114" t="s">
        <v>701</v>
      </c>
      <c r="D50" s="46"/>
      <c r="E50" s="46"/>
      <c r="F50" s="46"/>
      <c r="G50" s="46"/>
      <c r="H50" s="66"/>
      <c r="I50" s="20"/>
      <c r="J50" s="46"/>
      <c r="K50" s="46"/>
      <c r="L50" s="46"/>
      <c r="M50" s="46"/>
      <c r="N50" s="66"/>
      <c r="O50" s="20"/>
      <c r="P50" s="46"/>
      <c r="Q50" s="46"/>
      <c r="R50" s="46"/>
      <c r="S50" s="46"/>
      <c r="T50" s="66"/>
      <c r="U50" s="20"/>
      <c r="V50" s="46"/>
      <c r="W50" s="46"/>
      <c r="X50" s="46"/>
      <c r="Y50" s="46"/>
      <c r="Z50" s="66"/>
      <c r="AA50" s="20"/>
      <c r="AB50" s="46"/>
      <c r="AC50" s="46"/>
      <c r="AD50" s="46"/>
      <c r="AE50" s="46"/>
      <c r="AF50" s="66"/>
      <c r="AG50" s="150"/>
      <c r="AH50" s="46"/>
      <c r="AI50" s="46"/>
    </row>
    <row r="51" spans="1:35" ht="15" customHeight="1">
      <c r="A51" s="43"/>
      <c r="B51" s="127" t="s">
        <v>702</v>
      </c>
      <c r="D51" s="60">
        <v>18166</v>
      </c>
      <c r="E51" s="60">
        <v>18659</v>
      </c>
      <c r="F51" s="60">
        <v>18831</v>
      </c>
      <c r="G51" s="60">
        <v>18295</v>
      </c>
      <c r="H51" s="66">
        <v>18295</v>
      </c>
      <c r="I51" s="20"/>
      <c r="J51" s="60">
        <v>19462</v>
      </c>
      <c r="K51" s="60">
        <v>21039</v>
      </c>
      <c r="L51" s="60">
        <v>21981</v>
      </c>
      <c r="M51" s="60">
        <v>24168</v>
      </c>
      <c r="N51" s="66">
        <v>24168</v>
      </c>
      <c r="O51" s="20"/>
      <c r="P51" s="60">
        <v>24321</v>
      </c>
      <c r="Q51" s="60">
        <v>24940</v>
      </c>
      <c r="R51" s="60">
        <v>24526</v>
      </c>
      <c r="S51" s="60">
        <v>24939</v>
      </c>
      <c r="T51" s="66">
        <v>24939</v>
      </c>
      <c r="U51" s="20"/>
      <c r="V51" s="60">
        <v>25140</v>
      </c>
      <c r="W51" s="60">
        <v>24115</v>
      </c>
      <c r="X51" s="60">
        <v>24733</v>
      </c>
      <c r="Y51" s="60">
        <v>26088</v>
      </c>
      <c r="Z51" s="66">
        <v>26088</v>
      </c>
      <c r="AA51" s="20"/>
      <c r="AB51" s="60">
        <v>26534</v>
      </c>
      <c r="AC51" s="60">
        <v>26766</v>
      </c>
      <c r="AD51" s="60">
        <v>26375</v>
      </c>
      <c r="AE51" s="60">
        <v>27582</v>
      </c>
      <c r="AF51" s="66">
        <v>27582</v>
      </c>
      <c r="AG51" s="150"/>
      <c r="AH51" s="60">
        <v>27176</v>
      </c>
      <c r="AI51" s="60">
        <v>26460</v>
      </c>
    </row>
    <row r="52" spans="1:35" s="113" customFormat="1" ht="15" customHeight="1">
      <c r="B52" s="127" t="s">
        <v>703</v>
      </c>
      <c r="C52" s="115"/>
      <c r="D52" s="60">
        <v>0</v>
      </c>
      <c r="E52" s="60">
        <v>0</v>
      </c>
      <c r="F52" s="60">
        <v>0</v>
      </c>
      <c r="G52" s="60">
        <v>0</v>
      </c>
      <c r="H52" s="66">
        <v>0</v>
      </c>
      <c r="I52" s="116"/>
      <c r="J52" s="60">
        <v>0</v>
      </c>
      <c r="K52" s="60">
        <v>0</v>
      </c>
      <c r="L52" s="60">
        <v>0</v>
      </c>
      <c r="M52" s="60">
        <v>0</v>
      </c>
      <c r="N52" s="66">
        <v>0</v>
      </c>
      <c r="O52" s="116"/>
      <c r="P52" s="60">
        <v>0</v>
      </c>
      <c r="Q52" s="60">
        <v>0</v>
      </c>
      <c r="R52" s="60">
        <v>0</v>
      </c>
      <c r="S52" s="60">
        <v>0</v>
      </c>
      <c r="T52" s="66">
        <v>0</v>
      </c>
      <c r="U52" s="116"/>
      <c r="V52" s="60">
        <v>0</v>
      </c>
      <c r="W52" s="60">
        <v>0</v>
      </c>
      <c r="X52" s="60">
        <v>0</v>
      </c>
      <c r="Y52" s="60">
        <v>0</v>
      </c>
      <c r="Z52" s="66">
        <v>0</v>
      </c>
      <c r="AA52" s="116"/>
      <c r="AB52" s="60">
        <v>0</v>
      </c>
      <c r="AC52" s="60">
        <v>0</v>
      </c>
      <c r="AD52" s="60">
        <v>0</v>
      </c>
      <c r="AE52" s="60">
        <v>0</v>
      </c>
      <c r="AF52" s="66">
        <v>0</v>
      </c>
      <c r="AG52" s="153"/>
      <c r="AH52" s="60">
        <v>0</v>
      </c>
      <c r="AI52" s="60">
        <v>0</v>
      </c>
    </row>
    <row r="53" spans="1:35" ht="15" customHeight="1">
      <c r="A53" s="43"/>
      <c r="B53" s="127" t="s">
        <v>704</v>
      </c>
      <c r="D53" s="60">
        <v>0</v>
      </c>
      <c r="E53" s="60">
        <v>0</v>
      </c>
      <c r="F53" s="60">
        <v>0</v>
      </c>
      <c r="G53" s="60">
        <v>0</v>
      </c>
      <c r="H53" s="66">
        <v>0</v>
      </c>
      <c r="I53" s="20"/>
      <c r="J53" s="60">
        <v>0</v>
      </c>
      <c r="K53" s="60">
        <v>0</v>
      </c>
      <c r="L53" s="60">
        <v>0</v>
      </c>
      <c r="M53" s="60">
        <v>0</v>
      </c>
      <c r="N53" s="66">
        <v>0</v>
      </c>
      <c r="O53" s="20"/>
      <c r="P53" s="60">
        <v>0</v>
      </c>
      <c r="Q53" s="60">
        <v>0</v>
      </c>
      <c r="R53" s="60">
        <v>0</v>
      </c>
      <c r="S53" s="60">
        <v>0</v>
      </c>
      <c r="T53" s="66">
        <v>0</v>
      </c>
      <c r="U53" s="20"/>
      <c r="V53" s="60">
        <v>0</v>
      </c>
      <c r="W53" s="60">
        <v>0</v>
      </c>
      <c r="X53" s="60">
        <v>0</v>
      </c>
      <c r="Y53" s="60">
        <v>0</v>
      </c>
      <c r="Z53" s="66">
        <v>0</v>
      </c>
      <c r="AA53" s="20"/>
      <c r="AB53" s="60">
        <v>0</v>
      </c>
      <c r="AC53" s="60">
        <v>0</v>
      </c>
      <c r="AD53" s="60">
        <v>0</v>
      </c>
      <c r="AE53" s="60">
        <v>0</v>
      </c>
      <c r="AF53" s="66">
        <v>0</v>
      </c>
      <c r="AG53" s="150"/>
      <c r="AH53" s="60">
        <v>0</v>
      </c>
      <c r="AI53" s="60">
        <v>0</v>
      </c>
    </row>
    <row r="54" spans="1:35" s="113" customFormat="1" ht="15" customHeight="1">
      <c r="B54" s="138" t="s">
        <v>705</v>
      </c>
      <c r="C54" s="115"/>
      <c r="D54" s="60">
        <v>18166</v>
      </c>
      <c r="E54" s="60">
        <v>18659</v>
      </c>
      <c r="F54" s="60">
        <v>18831</v>
      </c>
      <c r="G54" s="60">
        <v>18295</v>
      </c>
      <c r="H54" s="77">
        <v>18295</v>
      </c>
      <c r="I54" s="116"/>
      <c r="J54" s="60">
        <v>19462</v>
      </c>
      <c r="K54" s="60">
        <v>21039</v>
      </c>
      <c r="L54" s="60">
        <v>21981</v>
      </c>
      <c r="M54" s="60">
        <v>24168</v>
      </c>
      <c r="N54" s="77">
        <v>24168</v>
      </c>
      <c r="O54" s="116"/>
      <c r="P54" s="60">
        <v>24321</v>
      </c>
      <c r="Q54" s="60">
        <v>24940</v>
      </c>
      <c r="R54" s="60">
        <v>24526</v>
      </c>
      <c r="S54" s="60">
        <v>24939</v>
      </c>
      <c r="T54" s="77">
        <v>24939</v>
      </c>
      <c r="U54" s="116"/>
      <c r="V54" s="60">
        <v>25140</v>
      </c>
      <c r="W54" s="60">
        <v>24115</v>
      </c>
      <c r="X54" s="60">
        <v>24733</v>
      </c>
      <c r="Y54" s="60">
        <v>26088</v>
      </c>
      <c r="Z54" s="77">
        <v>26088</v>
      </c>
      <c r="AA54" s="116"/>
      <c r="AB54" s="60">
        <v>26534</v>
      </c>
      <c r="AC54" s="60">
        <v>26766</v>
      </c>
      <c r="AD54" s="60">
        <v>26375</v>
      </c>
      <c r="AE54" s="60">
        <v>27582</v>
      </c>
      <c r="AF54" s="77">
        <v>27582</v>
      </c>
      <c r="AG54" s="153"/>
      <c r="AH54" s="60">
        <v>27176</v>
      </c>
      <c r="AI54" s="60">
        <v>26460</v>
      </c>
    </row>
    <row r="55" spans="1:35" ht="15" customHeight="1" thickBot="1">
      <c r="A55" s="43"/>
      <c r="B55" s="140" t="s">
        <v>706</v>
      </c>
      <c r="D55" s="60">
        <v>68452</v>
      </c>
      <c r="E55" s="60">
        <v>69954</v>
      </c>
      <c r="F55" s="60">
        <v>70014</v>
      </c>
      <c r="G55" s="60">
        <v>73537</v>
      </c>
      <c r="H55" s="93">
        <v>73537</v>
      </c>
      <c r="I55" s="20"/>
      <c r="J55" s="60">
        <v>77648</v>
      </c>
      <c r="K55" s="60">
        <v>81156</v>
      </c>
      <c r="L55" s="60">
        <v>82793</v>
      </c>
      <c r="M55" s="60">
        <v>82777</v>
      </c>
      <c r="N55" s="93">
        <v>82777</v>
      </c>
      <c r="O55" s="20"/>
      <c r="P55" s="60">
        <v>82048</v>
      </c>
      <c r="Q55" s="60">
        <v>84247</v>
      </c>
      <c r="R55" s="60">
        <v>84108</v>
      </c>
      <c r="S55" s="60">
        <v>85994</v>
      </c>
      <c r="T55" s="93">
        <v>85994</v>
      </c>
      <c r="U55" s="20"/>
      <c r="V55" s="60">
        <v>85826</v>
      </c>
      <c r="W55" s="60">
        <v>85591</v>
      </c>
      <c r="X55" s="60">
        <v>85775</v>
      </c>
      <c r="Y55" s="60">
        <v>87143</v>
      </c>
      <c r="Z55" s="93">
        <v>87143</v>
      </c>
      <c r="AA55" s="20"/>
      <c r="AB55" s="60">
        <v>87576</v>
      </c>
      <c r="AC55" s="60">
        <v>88051</v>
      </c>
      <c r="AD55" s="60">
        <v>86114</v>
      </c>
      <c r="AE55" s="60">
        <v>87007</v>
      </c>
      <c r="AF55" s="93">
        <v>87007</v>
      </c>
      <c r="AG55" s="150"/>
      <c r="AH55" s="60">
        <v>86711</v>
      </c>
      <c r="AI55" s="60">
        <v>85481</v>
      </c>
    </row>
    <row r="56" spans="1:35" ht="15" customHeight="1" thickTop="1"/>
    <row r="57" spans="1:35" ht="15" customHeight="1" thickBot="1">
      <c r="B57" s="114" t="s">
        <v>707</v>
      </c>
      <c r="D57" s="60">
        <v>0</v>
      </c>
      <c r="E57" s="60">
        <v>0</v>
      </c>
      <c r="F57" s="60">
        <v>0</v>
      </c>
      <c r="G57" s="60">
        <v>0</v>
      </c>
      <c r="H57" s="93">
        <v>0</v>
      </c>
      <c r="I57" s="20"/>
      <c r="J57" s="60">
        <v>0</v>
      </c>
      <c r="K57" s="60">
        <v>0</v>
      </c>
      <c r="L57" s="60">
        <v>0</v>
      </c>
      <c r="M57" s="60">
        <v>0</v>
      </c>
      <c r="N57" s="93">
        <v>0</v>
      </c>
      <c r="O57" s="20"/>
      <c r="P57" s="60">
        <v>0</v>
      </c>
      <c r="Q57" s="60">
        <v>0</v>
      </c>
      <c r="R57" s="60">
        <v>0</v>
      </c>
      <c r="S57" s="60">
        <v>0</v>
      </c>
      <c r="T57" s="93">
        <v>0</v>
      </c>
      <c r="U57" s="20"/>
      <c r="V57" s="60">
        <v>0</v>
      </c>
      <c r="W57" s="60">
        <v>0</v>
      </c>
      <c r="X57" s="60">
        <v>0</v>
      </c>
      <c r="Y57" s="60">
        <v>0</v>
      </c>
      <c r="Z57" s="93">
        <v>0</v>
      </c>
      <c r="AA57" s="20"/>
      <c r="AB57" s="60">
        <v>0</v>
      </c>
      <c r="AC57" s="60">
        <v>0</v>
      </c>
      <c r="AD57" s="60">
        <v>0</v>
      </c>
      <c r="AE57" s="60">
        <v>0</v>
      </c>
      <c r="AF57" s="93">
        <v>0</v>
      </c>
      <c r="AG57" s="150"/>
      <c r="AH57" s="60">
        <v>0</v>
      </c>
      <c r="AI57" s="60">
        <v>0</v>
      </c>
    </row>
    <row r="58" spans="1:35" ht="15" customHeight="1" thickTop="1"/>
  </sheetData>
  <mergeCells count="7">
    <mergeCell ref="AN8:AR8"/>
    <mergeCell ref="AH8:AL8"/>
    <mergeCell ref="D8:H8"/>
    <mergeCell ref="J8:N8"/>
    <mergeCell ref="P8:T8"/>
    <mergeCell ref="V8:Z8"/>
    <mergeCell ref="AB8:AF8"/>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6">
    <tabColor theme="4" tint="-0.249977111117893"/>
    <pageSetUpPr autoPageBreaks="0"/>
  </sheetPr>
  <dimension ref="A1:AX50"/>
  <sheetViews>
    <sheetView showGridLines="0" zoomScale="70" zoomScaleNormal="70" workbookViewId="0">
      <selection activeCell="AI74" sqref="AI74"/>
    </sheetView>
  </sheetViews>
  <sheetFormatPr defaultColWidth="9" defaultRowHeight="15" customHeight="1" outlineLevelCol="1"/>
  <cols>
    <col min="1" max="1" width="2.125" style="41" customWidth="1"/>
    <col min="2" max="2" width="50.625" style="41" customWidth="1"/>
    <col min="3" max="3" width="3.125" style="17" customWidth="1"/>
    <col min="4" max="7" width="9.625" style="41" customWidth="1" outlineLevel="1"/>
    <col min="8" max="8" width="11.625" style="41" customWidth="1"/>
    <col min="9" max="9" width="1.625" style="17" customWidth="1"/>
    <col min="10" max="13" width="9.625" style="41" customWidth="1" outlineLevel="1"/>
    <col min="14" max="14" width="11.625" style="41" customWidth="1"/>
    <col min="15" max="15" width="1.625" style="17" customWidth="1"/>
    <col min="16" max="19" width="9.625" style="41" customWidth="1" outlineLevel="1"/>
    <col min="20" max="20" width="11.625" style="41" customWidth="1"/>
    <col min="21" max="21" width="1.625" style="17" customWidth="1"/>
    <col min="22" max="25" width="9.625" style="41" customWidth="1" outlineLevel="1"/>
    <col min="26" max="26" width="11.625" style="41" customWidth="1"/>
    <col min="27" max="27" width="1.625" style="17" customWidth="1"/>
    <col min="28" max="31" width="9.625" style="41" customWidth="1" outlineLevel="1"/>
    <col min="32" max="32" width="11.625" style="41" customWidth="1"/>
    <col min="33" max="33" width="1.625" style="17" customWidth="1"/>
    <col min="34" max="37" width="9.625" style="41" customWidth="1" outlineLevel="1"/>
    <col min="38" max="38" width="11.625" style="41" customWidth="1"/>
    <col min="39" max="39" width="1.625" style="17" customWidth="1"/>
    <col min="40" max="43" width="9.625" style="41" customWidth="1" outlineLevel="1"/>
    <col min="44" max="44" width="11.625" style="41" customWidth="1"/>
    <col min="45" max="45" width="1.625" style="17" customWidth="1"/>
    <col min="46" max="46" width="11.625" style="41" customWidth="1"/>
    <col min="47" max="47" width="1.625" style="17" customWidth="1"/>
    <col min="48" max="48" width="11.625" style="42" customWidth="1"/>
    <col min="49" max="49" width="1.625" style="41" customWidth="1"/>
    <col min="50" max="50" width="11.625" style="41" customWidth="1"/>
    <col min="51" max="51" width="1.625" style="41" customWidth="1"/>
    <col min="52" max="16384" width="9" style="41"/>
  </cols>
  <sheetData>
    <row r="1" spans="1:50" s="468" customFormat="1" ht="15" customHeight="1"/>
    <row r="2" spans="1:50" s="468" customFormat="1" ht="15" customHeight="1"/>
    <row r="3" spans="1:50" s="468" customFormat="1" ht="15" customHeight="1"/>
    <row r="4" spans="1:50" s="468" customFormat="1" ht="15" customHeight="1"/>
    <row r="5" spans="1:50" s="464" customFormat="1" ht="4.3499999999999996" customHeight="1">
      <c r="C5" s="465"/>
      <c r="I5" s="465"/>
      <c r="O5" s="465"/>
      <c r="U5" s="465"/>
      <c r="AA5" s="465"/>
      <c r="AG5" s="465"/>
      <c r="AM5" s="465"/>
      <c r="AS5" s="465"/>
      <c r="AU5" s="465"/>
      <c r="AV5" s="466"/>
    </row>
    <row r="7" spans="1:50" ht="15" customHeight="1">
      <c r="A7" s="44" t="s">
        <v>37</v>
      </c>
      <c r="B7" s="161" t="s">
        <v>532</v>
      </c>
      <c r="C7" s="18"/>
      <c r="D7" s="202">
        <v>2020</v>
      </c>
      <c r="E7" s="202">
        <v>2020</v>
      </c>
      <c r="F7" s="202">
        <v>2020</v>
      </c>
      <c r="G7" s="202">
        <v>2020</v>
      </c>
      <c r="H7" s="202">
        <v>2020</v>
      </c>
      <c r="I7" s="18"/>
      <c r="J7" s="202">
        <v>2021</v>
      </c>
      <c r="K7" s="202">
        <v>2021</v>
      </c>
      <c r="L7" s="202">
        <v>2021</v>
      </c>
      <c r="M7" s="202">
        <v>2021</v>
      </c>
      <c r="N7" s="202">
        <v>2021</v>
      </c>
      <c r="O7" s="169"/>
      <c r="P7" s="202">
        <v>2022</v>
      </c>
      <c r="Q7" s="202">
        <v>2022</v>
      </c>
      <c r="R7" s="202">
        <v>2022</v>
      </c>
      <c r="S7" s="202">
        <v>2022</v>
      </c>
      <c r="T7" s="202">
        <v>2022</v>
      </c>
      <c r="U7" s="169"/>
      <c r="V7" s="202">
        <v>2023</v>
      </c>
      <c r="W7" s="202">
        <v>2023</v>
      </c>
      <c r="X7" s="202">
        <v>2023</v>
      </c>
      <c r="Y7" s="202">
        <v>2023</v>
      </c>
      <c r="Z7" s="202">
        <v>2023</v>
      </c>
      <c r="AA7" s="170"/>
      <c r="AB7" s="202">
        <v>2024</v>
      </c>
      <c r="AC7" s="202">
        <v>2024</v>
      </c>
      <c r="AD7" s="202">
        <v>2024</v>
      </c>
      <c r="AE7" s="202">
        <v>2024</v>
      </c>
      <c r="AF7" s="202">
        <v>2024</v>
      </c>
      <c r="AG7" s="170"/>
      <c r="AH7" s="202">
        <v>2025</v>
      </c>
      <c r="AI7" s="202">
        <v>2025</v>
      </c>
      <c r="AJ7" s="203">
        <v>2025</v>
      </c>
      <c r="AK7" s="202">
        <v>2025</v>
      </c>
      <c r="AL7" s="202">
        <v>2025</v>
      </c>
      <c r="AM7" s="171"/>
      <c r="AN7" s="202">
        <v>2025</v>
      </c>
      <c r="AO7" s="202">
        <v>2025</v>
      </c>
      <c r="AP7" s="203">
        <v>2025</v>
      </c>
      <c r="AQ7" s="202">
        <v>2025</v>
      </c>
      <c r="AR7" s="202">
        <v>2025</v>
      </c>
      <c r="AS7" s="18"/>
      <c r="AT7" s="162"/>
      <c r="AU7" s="18"/>
      <c r="AV7" s="163"/>
      <c r="AW7" s="18"/>
      <c r="AX7" s="163"/>
    </row>
    <row r="8" spans="1:50" ht="15" customHeight="1">
      <c r="B8" s="164"/>
      <c r="C8" s="18"/>
      <c r="D8" s="779">
        <v>2020</v>
      </c>
      <c r="E8" s="779"/>
      <c r="F8" s="779"/>
      <c r="G8" s="779"/>
      <c r="H8" s="779"/>
      <c r="I8" s="169"/>
      <c r="J8" s="779">
        <v>2021</v>
      </c>
      <c r="K8" s="779"/>
      <c r="L8" s="779"/>
      <c r="M8" s="779"/>
      <c r="N8" s="779"/>
      <c r="O8" s="169"/>
      <c r="P8" s="779">
        <v>2022</v>
      </c>
      <c r="Q8" s="779"/>
      <c r="R8" s="779"/>
      <c r="S8" s="779"/>
      <c r="T8" s="779"/>
      <c r="U8" s="169"/>
      <c r="V8" s="779">
        <v>2023</v>
      </c>
      <c r="W8" s="779"/>
      <c r="X8" s="779"/>
      <c r="Y8" s="779"/>
      <c r="Z8" s="779"/>
      <c r="AA8" s="169"/>
      <c r="AB8" s="779">
        <v>2024</v>
      </c>
      <c r="AC8" s="779"/>
      <c r="AD8" s="779"/>
      <c r="AE8" s="779"/>
      <c r="AF8" s="779"/>
      <c r="AG8" s="169"/>
      <c r="AH8" s="777">
        <v>2025</v>
      </c>
      <c r="AI8" s="777"/>
      <c r="AJ8" s="777"/>
      <c r="AK8" s="777"/>
      <c r="AL8" s="777"/>
      <c r="AM8" s="169"/>
      <c r="AN8" s="777">
        <v>2026</v>
      </c>
      <c r="AO8" s="777"/>
      <c r="AP8" s="777"/>
      <c r="AQ8" s="777"/>
      <c r="AR8" s="777"/>
      <c r="AS8" s="171"/>
      <c r="AT8" s="166">
        <v>2027</v>
      </c>
      <c r="AU8" s="167"/>
      <c r="AV8" s="166">
        <v>2028</v>
      </c>
      <c r="AW8" s="167"/>
      <c r="AX8" s="166">
        <v>2029</v>
      </c>
    </row>
    <row r="9" spans="1:50" ht="15" customHeight="1">
      <c r="B9" s="164"/>
      <c r="C9" s="18"/>
      <c r="D9" s="168" t="s">
        <v>243</v>
      </c>
      <c r="E9" s="168" t="s">
        <v>244</v>
      </c>
      <c r="F9" s="168" t="s">
        <v>245</v>
      </c>
      <c r="G9" s="168" t="s">
        <v>246</v>
      </c>
      <c r="H9" s="168" t="s">
        <v>247</v>
      </c>
      <c r="I9" s="18"/>
      <c r="J9" s="168" t="s">
        <v>243</v>
      </c>
      <c r="K9" s="168" t="s">
        <v>244</v>
      </c>
      <c r="L9" s="168" t="s">
        <v>245</v>
      </c>
      <c r="M9" s="168" t="s">
        <v>246</v>
      </c>
      <c r="N9" s="168" t="s">
        <v>247</v>
      </c>
      <c r="O9" s="165"/>
      <c r="P9" s="168" t="s">
        <v>243</v>
      </c>
      <c r="Q9" s="168" t="s">
        <v>244</v>
      </c>
      <c r="R9" s="168" t="s">
        <v>245</v>
      </c>
      <c r="S9" s="168" t="s">
        <v>246</v>
      </c>
      <c r="T9" s="168" t="s">
        <v>247</v>
      </c>
      <c r="U9" s="165"/>
      <c r="V9" s="168" t="s">
        <v>243</v>
      </c>
      <c r="W9" s="168" t="s">
        <v>244</v>
      </c>
      <c r="X9" s="168" t="s">
        <v>245</v>
      </c>
      <c r="Y9" s="168" t="s">
        <v>246</v>
      </c>
      <c r="Z9" s="168" t="s">
        <v>247</v>
      </c>
      <c r="AA9" s="165"/>
      <c r="AB9" s="168" t="s">
        <v>243</v>
      </c>
      <c r="AC9" s="168" t="s">
        <v>244</v>
      </c>
      <c r="AD9" s="168" t="s">
        <v>245</v>
      </c>
      <c r="AE9" s="168" t="s">
        <v>246</v>
      </c>
      <c r="AF9" s="168" t="s">
        <v>247</v>
      </c>
      <c r="AG9" s="165"/>
      <c r="AH9" s="168" t="s">
        <v>243</v>
      </c>
      <c r="AI9" s="168" t="s">
        <v>244</v>
      </c>
      <c r="AJ9" s="168" t="s">
        <v>245</v>
      </c>
      <c r="AK9" s="168" t="s">
        <v>246</v>
      </c>
      <c r="AL9" s="168" t="s">
        <v>247</v>
      </c>
      <c r="AM9" s="165"/>
      <c r="AN9" s="168" t="s">
        <v>243</v>
      </c>
      <c r="AO9" s="168" t="s">
        <v>244</v>
      </c>
      <c r="AP9" s="168" t="s">
        <v>245</v>
      </c>
      <c r="AQ9" s="168" t="s">
        <v>246</v>
      </c>
      <c r="AR9" s="168" t="s">
        <v>247</v>
      </c>
      <c r="AS9" s="165"/>
      <c r="AT9" s="168" t="s">
        <v>247</v>
      </c>
      <c r="AU9" s="165"/>
      <c r="AV9" s="168" t="s">
        <v>247</v>
      </c>
      <c r="AW9" s="165"/>
      <c r="AX9" s="168" t="s">
        <v>247</v>
      </c>
    </row>
    <row r="10" spans="1:50" ht="4.3499999999999996" customHeight="1">
      <c r="A10" s="43"/>
      <c r="B10" s="176"/>
      <c r="C10" s="35"/>
      <c r="D10" s="177"/>
      <c r="E10" s="177"/>
      <c r="F10" s="177"/>
      <c r="G10" s="177"/>
      <c r="H10" s="177"/>
      <c r="I10" s="35"/>
      <c r="J10" s="177"/>
      <c r="K10" s="177"/>
      <c r="L10" s="177"/>
      <c r="M10" s="177"/>
      <c r="N10" s="177"/>
      <c r="O10" s="178"/>
      <c r="P10" s="177"/>
      <c r="Q10" s="177"/>
      <c r="R10" s="177"/>
      <c r="S10" s="177"/>
      <c r="T10" s="177"/>
      <c r="U10" s="178"/>
      <c r="V10" s="177"/>
      <c r="W10" s="177"/>
      <c r="X10" s="177"/>
      <c r="Y10" s="177"/>
      <c r="Z10" s="177"/>
      <c r="AA10" s="178"/>
      <c r="AB10" s="177"/>
      <c r="AC10" s="177"/>
      <c r="AD10" s="177"/>
      <c r="AE10" s="177"/>
      <c r="AF10" s="177"/>
      <c r="AG10" s="178"/>
      <c r="AH10" s="177"/>
      <c r="AI10" s="177"/>
      <c r="AJ10" s="177"/>
      <c r="AK10" s="177"/>
      <c r="AL10" s="179"/>
      <c r="AM10" s="180"/>
      <c r="AN10" s="179"/>
      <c r="AO10" s="179"/>
      <c r="AP10" s="179"/>
      <c r="AQ10" s="179"/>
      <c r="AR10" s="179"/>
      <c r="AS10" s="180"/>
      <c r="AT10" s="179"/>
      <c r="AU10" s="180"/>
      <c r="AV10" s="179"/>
      <c r="AW10" s="180"/>
      <c r="AX10" s="179"/>
    </row>
    <row r="11" spans="1:50" ht="4.3499999999999996" customHeight="1">
      <c r="A11" s="43"/>
      <c r="B11" s="172"/>
      <c r="C11" s="19"/>
      <c r="D11" s="173"/>
      <c r="E11" s="173"/>
      <c r="F11" s="173"/>
      <c r="G11" s="173"/>
      <c r="H11" s="173"/>
      <c r="I11" s="19"/>
      <c r="J11" s="173"/>
      <c r="K11" s="173"/>
      <c r="L11" s="173"/>
      <c r="M11" s="173"/>
      <c r="N11" s="173"/>
      <c r="O11" s="174"/>
      <c r="P11" s="173"/>
      <c r="Q11" s="173"/>
      <c r="R11" s="173"/>
      <c r="S11" s="173"/>
      <c r="T11" s="173"/>
      <c r="U11" s="174"/>
      <c r="V11" s="173"/>
      <c r="W11" s="173"/>
      <c r="X11" s="173"/>
      <c r="Y11" s="173"/>
      <c r="Z11" s="173"/>
      <c r="AA11" s="174"/>
      <c r="AB11" s="173"/>
      <c r="AC11" s="173"/>
      <c r="AD11" s="173"/>
      <c r="AE11" s="173"/>
      <c r="AF11" s="173"/>
      <c r="AG11" s="204"/>
      <c r="AH11" s="173"/>
      <c r="AI11" s="173"/>
      <c r="AJ11" s="173"/>
      <c r="AK11" s="173"/>
      <c r="AL11" s="175"/>
      <c r="AM11" s="34"/>
      <c r="AN11" s="175"/>
      <c r="AO11" s="175"/>
      <c r="AP11" s="175"/>
      <c r="AQ11" s="175"/>
      <c r="AR11" s="175"/>
      <c r="AS11" s="34"/>
      <c r="AT11" s="175"/>
      <c r="AU11" s="34"/>
      <c r="AV11" s="175"/>
      <c r="AW11" s="34"/>
      <c r="AX11" s="175"/>
    </row>
    <row r="12" spans="1:50" s="54" customFormat="1" ht="15" customHeight="1">
      <c r="B12" s="154" t="s">
        <v>708</v>
      </c>
      <c r="C12" s="17"/>
      <c r="D12" s="60">
        <v>2319</v>
      </c>
      <c r="E12" s="46">
        <v>2389</v>
      </c>
      <c r="F12" s="46">
        <v>2031</v>
      </c>
      <c r="G12" s="46">
        <v>1766</v>
      </c>
      <c r="H12" s="57">
        <v>4881</v>
      </c>
      <c r="I12" s="48"/>
      <c r="J12" s="46">
        <v>4881</v>
      </c>
      <c r="K12" s="46">
        <v>6954</v>
      </c>
      <c r="L12" s="46">
        <v>8339</v>
      </c>
      <c r="M12" s="46">
        <v>8856</v>
      </c>
      <c r="N12" s="57">
        <v>7087</v>
      </c>
      <c r="O12" s="47"/>
      <c r="P12" s="46">
        <v>7087</v>
      </c>
      <c r="Q12" s="46">
        <v>6853</v>
      </c>
      <c r="R12" s="46">
        <v>6833</v>
      </c>
      <c r="S12" s="46">
        <v>6065</v>
      </c>
      <c r="T12" s="57">
        <v>6897</v>
      </c>
      <c r="U12" s="47"/>
      <c r="V12" s="46">
        <v>6897</v>
      </c>
      <c r="W12" s="46">
        <v>6850</v>
      </c>
      <c r="X12" s="46">
        <v>4646</v>
      </c>
      <c r="Y12" s="46">
        <v>5373</v>
      </c>
      <c r="Z12" s="57">
        <v>6856</v>
      </c>
      <c r="AA12" s="47"/>
      <c r="AB12" s="46">
        <v>6856</v>
      </c>
      <c r="AC12" s="46">
        <v>7055</v>
      </c>
      <c r="AD12" s="46">
        <v>6729</v>
      </c>
      <c r="AE12" s="46">
        <v>5644</v>
      </c>
      <c r="AF12" s="57">
        <v>6501</v>
      </c>
      <c r="AG12" s="49"/>
      <c r="AH12" s="46">
        <v>6501</v>
      </c>
      <c r="AI12" s="46">
        <v>5943</v>
      </c>
      <c r="AJ12" s="46"/>
      <c r="AK12" s="46"/>
      <c r="AL12" s="58"/>
      <c r="AM12" s="53"/>
      <c r="AN12" s="50"/>
      <c r="AO12" s="50"/>
      <c r="AP12" s="50"/>
      <c r="AQ12" s="50"/>
      <c r="AR12" s="58"/>
      <c r="AS12" s="53"/>
      <c r="AT12" s="58"/>
      <c r="AU12" s="53"/>
      <c r="AV12" s="58"/>
      <c r="AX12" s="58"/>
    </row>
    <row r="13" spans="1:50" s="54" customFormat="1" ht="15" customHeight="1">
      <c r="A13" s="43"/>
      <c r="B13" s="154"/>
      <c r="C13" s="17"/>
      <c r="D13" s="46"/>
      <c r="E13" s="46"/>
      <c r="F13" s="46"/>
      <c r="G13" s="46"/>
      <c r="H13" s="57"/>
      <c r="I13" s="48"/>
      <c r="J13" s="46"/>
      <c r="K13" s="46"/>
      <c r="L13" s="46"/>
      <c r="M13" s="46"/>
      <c r="N13" s="57"/>
      <c r="O13" s="47"/>
      <c r="P13" s="46"/>
      <c r="Q13" s="46"/>
      <c r="R13" s="46"/>
      <c r="S13" s="46"/>
      <c r="T13" s="57"/>
      <c r="U13" s="47"/>
      <c r="V13" s="46"/>
      <c r="W13" s="46"/>
      <c r="X13" s="46"/>
      <c r="Y13" s="46"/>
      <c r="Z13" s="57"/>
      <c r="AA13" s="47"/>
      <c r="AB13" s="46"/>
      <c r="AC13" s="46"/>
      <c r="AD13" s="46"/>
      <c r="AE13" s="46"/>
      <c r="AF13" s="57"/>
      <c r="AG13" s="49"/>
      <c r="AH13" s="46"/>
      <c r="AI13" s="46"/>
      <c r="AJ13" s="50"/>
      <c r="AK13" s="50"/>
      <c r="AL13" s="58"/>
      <c r="AM13" s="53"/>
      <c r="AN13" s="50"/>
      <c r="AO13" s="50"/>
      <c r="AP13" s="50"/>
      <c r="AQ13" s="50"/>
      <c r="AR13" s="58"/>
      <c r="AS13" s="53"/>
      <c r="AT13" s="58"/>
      <c r="AU13" s="53"/>
      <c r="AV13" s="58"/>
      <c r="AX13" s="58"/>
    </row>
    <row r="14" spans="1:50" s="54" customFormat="1" ht="15" customHeight="1">
      <c r="A14" s="44" t="s">
        <v>37</v>
      </c>
      <c r="B14" s="154" t="s">
        <v>709</v>
      </c>
      <c r="C14" s="17"/>
      <c r="D14" s="46"/>
      <c r="E14" s="46"/>
      <c r="F14" s="46"/>
      <c r="G14" s="46"/>
      <c r="H14" s="66"/>
      <c r="I14" s="48"/>
      <c r="J14" s="46"/>
      <c r="K14" s="46"/>
      <c r="L14" s="46"/>
      <c r="M14" s="46"/>
      <c r="N14" s="66"/>
      <c r="O14" s="47"/>
      <c r="P14" s="46"/>
      <c r="Q14" s="46"/>
      <c r="R14" s="46"/>
      <c r="S14" s="46"/>
      <c r="T14" s="66"/>
      <c r="U14" s="47"/>
      <c r="V14" s="46"/>
      <c r="W14" s="46"/>
      <c r="X14" s="46"/>
      <c r="Y14" s="46"/>
      <c r="Z14" s="66"/>
      <c r="AA14" s="47"/>
      <c r="AB14" s="46"/>
      <c r="AC14" s="46"/>
      <c r="AD14" s="46"/>
      <c r="AE14" s="46"/>
      <c r="AF14" s="66"/>
      <c r="AG14" s="49"/>
      <c r="AH14" s="46"/>
      <c r="AI14" s="46"/>
      <c r="AJ14" s="50"/>
      <c r="AK14" s="50"/>
      <c r="AL14" s="68"/>
      <c r="AM14" s="53"/>
      <c r="AN14" s="50"/>
      <c r="AO14" s="50"/>
      <c r="AP14" s="50"/>
      <c r="AQ14" s="50"/>
      <c r="AR14" s="68"/>
      <c r="AS14" s="53"/>
      <c r="AT14" s="68"/>
      <c r="AU14" s="53"/>
      <c r="AV14" s="68"/>
      <c r="AX14" s="68"/>
    </row>
    <row r="15" spans="1:50" s="54" customFormat="1" ht="15" customHeight="1">
      <c r="A15" s="43"/>
      <c r="B15" s="155" t="s">
        <v>710</v>
      </c>
      <c r="C15" s="17"/>
      <c r="D15" s="60">
        <v>745</v>
      </c>
      <c r="E15" s="60">
        <v>560</v>
      </c>
      <c r="F15" s="60">
        <v>315</v>
      </c>
      <c r="G15" s="60">
        <v>-334</v>
      </c>
      <c r="H15" s="57">
        <v>1286</v>
      </c>
      <c r="I15" s="48"/>
      <c r="J15" s="60">
        <v>1245</v>
      </c>
      <c r="K15" s="60">
        <v>1226</v>
      </c>
      <c r="L15" s="60">
        <v>892</v>
      </c>
      <c r="M15" s="60">
        <v>1868</v>
      </c>
      <c r="N15" s="57">
        <v>5231</v>
      </c>
      <c r="O15" s="47"/>
      <c r="P15" s="60">
        <v>1112</v>
      </c>
      <c r="Q15" s="60">
        <v>1044</v>
      </c>
      <c r="R15" s="60">
        <v>1112</v>
      </c>
      <c r="S15" s="60">
        <v>558</v>
      </c>
      <c r="T15" s="57">
        <v>3826</v>
      </c>
      <c r="U15" s="47"/>
      <c r="V15" s="60">
        <v>875</v>
      </c>
      <c r="W15" s="60">
        <v>788</v>
      </c>
      <c r="X15" s="60">
        <v>771</v>
      </c>
      <c r="Y15" s="60">
        <v>1538</v>
      </c>
      <c r="Z15" s="57">
        <v>3972</v>
      </c>
      <c r="AA15" s="47"/>
      <c r="AB15" s="60">
        <v>1078</v>
      </c>
      <c r="AC15" s="60">
        <v>900</v>
      </c>
      <c r="AD15" s="60">
        <v>879</v>
      </c>
      <c r="AE15" s="60">
        <v>1474</v>
      </c>
      <c r="AF15" s="57">
        <v>4331</v>
      </c>
      <c r="AG15" s="49"/>
      <c r="AH15" s="60">
        <v>794</v>
      </c>
      <c r="AI15" s="60">
        <v>741</v>
      </c>
      <c r="AJ15" s="50"/>
      <c r="AK15" s="50"/>
      <c r="AL15" s="58"/>
      <c r="AM15" s="53"/>
      <c r="AN15" s="50"/>
      <c r="AO15" s="50"/>
      <c r="AP15" s="50"/>
      <c r="AQ15" s="50"/>
      <c r="AR15" s="58"/>
      <c r="AS15" s="53"/>
      <c r="AT15" s="58"/>
      <c r="AU15" s="53"/>
      <c r="AV15" s="58"/>
      <c r="AX15" s="58"/>
    </row>
    <row r="16" spans="1:50" s="54" customFormat="1" ht="15" customHeight="1">
      <c r="A16" s="43"/>
      <c r="B16" s="155" t="s">
        <v>711</v>
      </c>
      <c r="C16" s="17"/>
      <c r="D16" s="46"/>
      <c r="E16" s="46"/>
      <c r="F16" s="46"/>
      <c r="G16" s="46"/>
      <c r="H16" s="57"/>
      <c r="I16" s="48"/>
      <c r="J16" s="46"/>
      <c r="K16" s="46"/>
      <c r="L16" s="46"/>
      <c r="M16" s="46"/>
      <c r="N16" s="57"/>
      <c r="O16" s="57"/>
      <c r="P16" s="46"/>
      <c r="Q16" s="46"/>
      <c r="R16" s="46"/>
      <c r="S16" s="46"/>
      <c r="T16" s="57"/>
      <c r="U16" s="57"/>
      <c r="V16" s="46"/>
      <c r="W16" s="46"/>
      <c r="X16" s="46"/>
      <c r="Y16" s="46"/>
      <c r="Z16" s="57"/>
      <c r="AA16" s="57"/>
      <c r="AB16" s="46"/>
      <c r="AC16" s="46"/>
      <c r="AD16" s="46"/>
      <c r="AE16" s="46"/>
      <c r="AF16" s="57"/>
      <c r="AG16" s="49"/>
      <c r="AH16" s="46"/>
      <c r="AI16" s="46"/>
      <c r="AJ16" s="50"/>
      <c r="AK16" s="50"/>
      <c r="AL16" s="58"/>
      <c r="AM16" s="53"/>
      <c r="AN16" s="50"/>
      <c r="AO16" s="50"/>
      <c r="AP16" s="50"/>
      <c r="AQ16" s="50"/>
      <c r="AR16" s="58"/>
      <c r="AS16" s="53"/>
      <c r="AT16" s="58"/>
      <c r="AU16" s="53"/>
      <c r="AV16" s="58"/>
      <c r="AX16" s="58"/>
    </row>
    <row r="17" spans="1:50" s="54" customFormat="1" ht="15" customHeight="1">
      <c r="A17" s="43"/>
      <c r="B17" s="156" t="s">
        <v>641</v>
      </c>
      <c r="C17" s="17"/>
      <c r="D17" s="60">
        <v>879</v>
      </c>
      <c r="E17" s="60">
        <v>901</v>
      </c>
      <c r="F17" s="60">
        <v>908</v>
      </c>
      <c r="G17" s="60">
        <v>927</v>
      </c>
      <c r="H17" s="57">
        <v>3615</v>
      </c>
      <c r="I17" s="48"/>
      <c r="J17" s="60">
        <v>926</v>
      </c>
      <c r="K17" s="60">
        <v>936</v>
      </c>
      <c r="L17" s="60">
        <v>956</v>
      </c>
      <c r="M17" s="60">
        <v>975</v>
      </c>
      <c r="N17" s="57">
        <v>3793</v>
      </c>
      <c r="O17" s="47"/>
      <c r="P17" s="60">
        <v>971</v>
      </c>
      <c r="Q17" s="60">
        <v>995</v>
      </c>
      <c r="R17" s="60">
        <v>986</v>
      </c>
      <c r="S17" s="60">
        <v>1018</v>
      </c>
      <c r="T17" s="57">
        <v>3970</v>
      </c>
      <c r="U17" s="47"/>
      <c r="V17" s="60">
        <v>1024</v>
      </c>
      <c r="W17" s="60">
        <v>1046</v>
      </c>
      <c r="X17" s="60">
        <v>1031</v>
      </c>
      <c r="Y17" s="60">
        <v>1075</v>
      </c>
      <c r="Z17" s="57">
        <v>4176</v>
      </c>
      <c r="AA17" s="47"/>
      <c r="AB17" s="60">
        <v>1071</v>
      </c>
      <c r="AC17" s="60">
        <v>1040</v>
      </c>
      <c r="AD17" s="60">
        <v>1072</v>
      </c>
      <c r="AE17" s="60">
        <v>1104</v>
      </c>
      <c r="AF17" s="57">
        <v>4287</v>
      </c>
      <c r="AG17" s="49"/>
      <c r="AH17" s="60">
        <v>1078</v>
      </c>
      <c r="AI17" s="60">
        <v>1063</v>
      </c>
      <c r="AJ17" s="50"/>
      <c r="AK17" s="50"/>
      <c r="AL17" s="57"/>
      <c r="AM17" s="53"/>
      <c r="AN17" s="50"/>
      <c r="AO17" s="50"/>
      <c r="AP17" s="50"/>
      <c r="AQ17" s="50"/>
      <c r="AR17" s="57"/>
      <c r="AS17" s="53"/>
      <c r="AT17" s="58"/>
      <c r="AU17" s="53"/>
      <c r="AV17" s="58"/>
      <c r="AX17" s="58"/>
    </row>
    <row r="18" spans="1:50" s="54" customFormat="1" ht="15" customHeight="1">
      <c r="A18" s="43"/>
      <c r="B18" s="156" t="s">
        <v>712</v>
      </c>
      <c r="C18" s="17"/>
      <c r="D18" s="60">
        <v>67</v>
      </c>
      <c r="E18" s="60">
        <v>37</v>
      </c>
      <c r="F18" s="60">
        <v>33</v>
      </c>
      <c r="G18" s="60">
        <v>31</v>
      </c>
      <c r="H18" s="57">
        <v>168</v>
      </c>
      <c r="I18" s="48"/>
      <c r="J18" s="60">
        <v>75</v>
      </c>
      <c r="K18" s="60">
        <v>46</v>
      </c>
      <c r="L18" s="60">
        <v>40</v>
      </c>
      <c r="M18" s="60">
        <v>39</v>
      </c>
      <c r="N18" s="57">
        <v>200</v>
      </c>
      <c r="O18" s="47"/>
      <c r="P18" s="60">
        <v>69</v>
      </c>
      <c r="Q18" s="60">
        <v>43</v>
      </c>
      <c r="R18" s="60">
        <v>39</v>
      </c>
      <c r="S18" s="60">
        <v>39</v>
      </c>
      <c r="T18" s="57">
        <v>190</v>
      </c>
      <c r="U18" s="47"/>
      <c r="V18" s="60">
        <v>68</v>
      </c>
      <c r="W18" s="60">
        <v>40</v>
      </c>
      <c r="X18" s="60">
        <v>34</v>
      </c>
      <c r="Y18" s="60">
        <v>40</v>
      </c>
      <c r="Z18" s="57">
        <v>182</v>
      </c>
      <c r="AA18" s="47"/>
      <c r="AB18" s="60">
        <v>56</v>
      </c>
      <c r="AC18" s="60">
        <v>40</v>
      </c>
      <c r="AD18" s="60">
        <v>34</v>
      </c>
      <c r="AE18" s="60">
        <v>33</v>
      </c>
      <c r="AF18" s="57">
        <v>163</v>
      </c>
      <c r="AG18" s="49"/>
      <c r="AH18" s="60">
        <v>48</v>
      </c>
      <c r="AI18" s="60">
        <v>36</v>
      </c>
      <c r="AJ18" s="50"/>
      <c r="AK18" s="50"/>
      <c r="AL18" s="57"/>
      <c r="AM18" s="53"/>
      <c r="AN18" s="50"/>
      <c r="AO18" s="50"/>
      <c r="AP18" s="50"/>
      <c r="AQ18" s="50"/>
      <c r="AR18" s="57"/>
      <c r="AS18" s="53"/>
      <c r="AT18" s="58"/>
      <c r="AU18" s="53"/>
      <c r="AV18" s="58"/>
      <c r="AX18" s="58"/>
    </row>
    <row r="19" spans="1:50" s="54" customFormat="1" ht="15" customHeight="1">
      <c r="A19" s="113"/>
      <c r="B19" s="156" t="s">
        <v>116</v>
      </c>
      <c r="C19" s="115"/>
      <c r="D19" s="60">
        <v>863</v>
      </c>
      <c r="E19" s="60">
        <v>663</v>
      </c>
      <c r="F19" s="60">
        <v>709</v>
      </c>
      <c r="G19" s="60">
        <v>1287</v>
      </c>
      <c r="H19" s="57">
        <v>3373</v>
      </c>
      <c r="I19" s="48"/>
      <c r="J19" s="60">
        <v>699</v>
      </c>
      <c r="K19" s="60">
        <v>1057</v>
      </c>
      <c r="L19" s="60">
        <v>744</v>
      </c>
      <c r="M19" s="60">
        <v>-31</v>
      </c>
      <c r="N19" s="57">
        <v>2469</v>
      </c>
      <c r="O19" s="48"/>
      <c r="P19" s="60">
        <v>1062</v>
      </c>
      <c r="Q19" s="60">
        <v>999</v>
      </c>
      <c r="R19" s="60">
        <v>1242</v>
      </c>
      <c r="S19" s="60">
        <v>1062</v>
      </c>
      <c r="T19" s="57">
        <v>4365</v>
      </c>
      <c r="U19" s="48"/>
      <c r="V19" s="60">
        <v>922</v>
      </c>
      <c r="W19" s="60">
        <v>976</v>
      </c>
      <c r="X19" s="60">
        <v>1025</v>
      </c>
      <c r="Y19" s="60">
        <v>64</v>
      </c>
      <c r="Z19" s="57">
        <v>3201</v>
      </c>
      <c r="AA19" s="51"/>
      <c r="AB19" s="60">
        <v>808</v>
      </c>
      <c r="AC19" s="60">
        <v>879</v>
      </c>
      <c r="AD19" s="60">
        <v>827</v>
      </c>
      <c r="AE19" s="60">
        <v>46</v>
      </c>
      <c r="AF19" s="57">
        <v>2560</v>
      </c>
      <c r="AG19" s="49"/>
      <c r="AH19" s="60">
        <v>725</v>
      </c>
      <c r="AI19" s="60">
        <v>1158</v>
      </c>
      <c r="AJ19" s="50"/>
      <c r="AK19" s="50"/>
      <c r="AL19" s="58"/>
      <c r="AM19" s="69"/>
      <c r="AN19" s="50"/>
      <c r="AO19" s="50"/>
      <c r="AP19" s="50"/>
      <c r="AQ19" s="50"/>
      <c r="AR19" s="58"/>
      <c r="AS19" s="69"/>
      <c r="AT19" s="58"/>
      <c r="AU19" s="69"/>
      <c r="AV19" s="58"/>
      <c r="AX19" s="58"/>
    </row>
    <row r="20" spans="1:50" s="54" customFormat="1" ht="15" customHeight="1">
      <c r="A20" s="43"/>
      <c r="B20" s="155" t="s">
        <v>713</v>
      </c>
      <c r="C20" s="17"/>
      <c r="D20" s="46"/>
      <c r="E20" s="46"/>
      <c r="F20" s="46"/>
      <c r="G20" s="46"/>
      <c r="H20" s="66"/>
      <c r="I20" s="48"/>
      <c r="J20" s="46"/>
      <c r="K20" s="46"/>
      <c r="L20" s="46"/>
      <c r="M20" s="46"/>
      <c r="N20" s="66"/>
      <c r="O20" s="48"/>
      <c r="P20" s="46"/>
      <c r="Q20" s="46"/>
      <c r="R20" s="46"/>
      <c r="S20" s="46"/>
      <c r="T20" s="66"/>
      <c r="U20" s="48"/>
      <c r="V20" s="46"/>
      <c r="W20" s="46"/>
      <c r="X20" s="46"/>
      <c r="Y20" s="46"/>
      <c r="Z20" s="66"/>
      <c r="AA20" s="51"/>
      <c r="AB20" s="46"/>
      <c r="AC20" s="46"/>
      <c r="AD20" s="46"/>
      <c r="AE20" s="46"/>
      <c r="AF20" s="66"/>
      <c r="AG20" s="49"/>
      <c r="AH20" s="46"/>
      <c r="AI20" s="46"/>
      <c r="AJ20" s="50"/>
      <c r="AK20" s="50"/>
      <c r="AL20" s="68"/>
      <c r="AM20" s="72"/>
      <c r="AN20" s="50"/>
      <c r="AO20" s="50"/>
      <c r="AP20" s="50"/>
      <c r="AQ20" s="50"/>
      <c r="AR20" s="68"/>
      <c r="AS20" s="72"/>
      <c r="AT20" s="68"/>
      <c r="AU20" s="72"/>
      <c r="AV20" s="68"/>
      <c r="AX20" s="68"/>
    </row>
    <row r="21" spans="1:50" s="54" customFormat="1" ht="15" customHeight="1">
      <c r="A21" s="113"/>
      <c r="B21" s="156" t="s">
        <v>677</v>
      </c>
      <c r="C21" s="115"/>
      <c r="D21" s="60">
        <v>-267</v>
      </c>
      <c r="E21" s="60">
        <v>-417</v>
      </c>
      <c r="F21" s="60">
        <v>180</v>
      </c>
      <c r="G21" s="60">
        <v>-827</v>
      </c>
      <c r="H21" s="66">
        <v>-1331</v>
      </c>
      <c r="I21" s="48"/>
      <c r="J21" s="60">
        <v>-387</v>
      </c>
      <c r="K21" s="60">
        <v>-713</v>
      </c>
      <c r="L21" s="60">
        <v>-87</v>
      </c>
      <c r="M21" s="60">
        <v>-202</v>
      </c>
      <c r="N21" s="66">
        <v>-1389</v>
      </c>
      <c r="O21" s="48"/>
      <c r="P21" s="60">
        <v>726</v>
      </c>
      <c r="Q21" s="60">
        <v>-1245</v>
      </c>
      <c r="R21" s="60">
        <v>453</v>
      </c>
      <c r="S21" s="60">
        <v>-244</v>
      </c>
      <c r="T21" s="66">
        <v>-310</v>
      </c>
      <c r="U21" s="48"/>
      <c r="V21" s="60">
        <v>259</v>
      </c>
      <c r="W21" s="60">
        <v>-771</v>
      </c>
      <c r="X21" s="60">
        <v>885</v>
      </c>
      <c r="Y21" s="60">
        <v>409</v>
      </c>
      <c r="Z21" s="66">
        <v>782</v>
      </c>
      <c r="AA21" s="51"/>
      <c r="AB21" s="60">
        <v>-126</v>
      </c>
      <c r="AC21" s="60">
        <v>-561</v>
      </c>
      <c r="AD21" s="60">
        <v>577</v>
      </c>
      <c r="AE21" s="60">
        <v>-160</v>
      </c>
      <c r="AF21" s="66">
        <v>-270</v>
      </c>
      <c r="AG21" s="49"/>
      <c r="AH21" s="60">
        <v>-305</v>
      </c>
      <c r="AI21" s="60">
        <v>-774</v>
      </c>
      <c r="AJ21" s="50"/>
      <c r="AK21" s="50"/>
      <c r="AL21" s="66"/>
      <c r="AM21" s="72"/>
      <c r="AN21" s="50"/>
      <c r="AO21" s="50"/>
      <c r="AP21" s="50"/>
      <c r="AQ21" s="50"/>
      <c r="AR21" s="66"/>
      <c r="AS21" s="72"/>
      <c r="AT21" s="68"/>
      <c r="AU21" s="72"/>
      <c r="AV21" s="68"/>
      <c r="AX21" s="68"/>
    </row>
    <row r="22" spans="1:50" s="54" customFormat="1" ht="15" customHeight="1">
      <c r="A22" s="43"/>
      <c r="B22" s="156" t="s">
        <v>714</v>
      </c>
      <c r="C22" s="17"/>
      <c r="D22" s="60">
        <v>0</v>
      </c>
      <c r="E22" s="60">
        <v>0</v>
      </c>
      <c r="F22" s="60">
        <v>0</v>
      </c>
      <c r="G22" s="60">
        <v>0</v>
      </c>
      <c r="H22" s="66">
        <v>0</v>
      </c>
      <c r="I22" s="48"/>
      <c r="J22" s="60">
        <v>0</v>
      </c>
      <c r="K22" s="60">
        <v>0</v>
      </c>
      <c r="L22" s="60">
        <v>0</v>
      </c>
      <c r="M22" s="60">
        <v>0</v>
      </c>
      <c r="N22" s="66">
        <v>0</v>
      </c>
      <c r="O22" s="48"/>
      <c r="P22" s="60">
        <v>0</v>
      </c>
      <c r="Q22" s="60">
        <v>0</v>
      </c>
      <c r="R22" s="60">
        <v>0</v>
      </c>
      <c r="S22" s="60">
        <v>0</v>
      </c>
      <c r="T22" s="66">
        <v>0</v>
      </c>
      <c r="U22" s="48"/>
      <c r="V22" s="60">
        <v>0</v>
      </c>
      <c r="W22" s="60">
        <v>0</v>
      </c>
      <c r="X22" s="60">
        <v>0</v>
      </c>
      <c r="Y22" s="60">
        <v>0</v>
      </c>
      <c r="Z22" s="66">
        <v>0</v>
      </c>
      <c r="AA22" s="51"/>
      <c r="AB22" s="60">
        <v>0</v>
      </c>
      <c r="AC22" s="60">
        <v>0</v>
      </c>
      <c r="AD22" s="60">
        <v>0</v>
      </c>
      <c r="AE22" s="60">
        <v>0</v>
      </c>
      <c r="AF22" s="66">
        <v>0</v>
      </c>
      <c r="AG22" s="49"/>
      <c r="AH22" s="60">
        <v>0</v>
      </c>
      <c r="AI22" s="60">
        <v>0</v>
      </c>
      <c r="AJ22" s="50"/>
      <c r="AK22" s="50"/>
      <c r="AL22" s="66"/>
      <c r="AM22" s="72"/>
      <c r="AN22" s="50"/>
      <c r="AO22" s="50"/>
      <c r="AP22" s="50"/>
      <c r="AQ22" s="50"/>
      <c r="AR22" s="66"/>
      <c r="AS22" s="72"/>
      <c r="AT22" s="68"/>
      <c r="AU22" s="72"/>
      <c r="AV22" s="68"/>
      <c r="AX22" s="68"/>
    </row>
    <row r="23" spans="1:50" s="54" customFormat="1" ht="15" customHeight="1">
      <c r="A23" s="113"/>
      <c r="B23" s="156" t="s">
        <v>690</v>
      </c>
      <c r="C23" s="115"/>
      <c r="D23" s="60">
        <v>0</v>
      </c>
      <c r="E23" s="60">
        <v>0</v>
      </c>
      <c r="F23" s="60">
        <v>0</v>
      </c>
      <c r="G23" s="60">
        <v>0</v>
      </c>
      <c r="H23" s="66">
        <v>0</v>
      </c>
      <c r="I23" s="48"/>
      <c r="J23" s="60">
        <v>0</v>
      </c>
      <c r="K23" s="60">
        <v>0</v>
      </c>
      <c r="L23" s="60">
        <v>0</v>
      </c>
      <c r="M23" s="60">
        <v>0</v>
      </c>
      <c r="N23" s="66">
        <v>0</v>
      </c>
      <c r="O23" s="48"/>
      <c r="P23" s="60">
        <v>0</v>
      </c>
      <c r="Q23" s="60">
        <v>0</v>
      </c>
      <c r="R23" s="60">
        <v>0</v>
      </c>
      <c r="S23" s="60">
        <v>0</v>
      </c>
      <c r="T23" s="66">
        <v>0</v>
      </c>
      <c r="U23" s="48"/>
      <c r="V23" s="60">
        <v>0</v>
      </c>
      <c r="W23" s="60">
        <v>0</v>
      </c>
      <c r="X23" s="60">
        <v>0</v>
      </c>
      <c r="Y23" s="60">
        <v>0</v>
      </c>
      <c r="Z23" s="66">
        <v>0</v>
      </c>
      <c r="AA23" s="51"/>
      <c r="AB23" s="60">
        <v>0</v>
      </c>
      <c r="AC23" s="60">
        <v>0</v>
      </c>
      <c r="AD23" s="60">
        <v>0</v>
      </c>
      <c r="AE23" s="60">
        <v>0</v>
      </c>
      <c r="AF23" s="66">
        <v>0</v>
      </c>
      <c r="AG23" s="49"/>
      <c r="AH23" s="60">
        <v>0</v>
      </c>
      <c r="AI23" s="60">
        <v>0</v>
      </c>
      <c r="AJ23" s="50"/>
      <c r="AK23" s="50"/>
      <c r="AL23" s="66"/>
      <c r="AM23" s="72"/>
      <c r="AN23" s="50"/>
      <c r="AO23" s="50"/>
      <c r="AP23" s="50"/>
      <c r="AQ23" s="50"/>
      <c r="AR23" s="66"/>
      <c r="AS23" s="72"/>
      <c r="AT23" s="68"/>
      <c r="AU23" s="72"/>
      <c r="AV23" s="68"/>
      <c r="AX23" s="68"/>
    </row>
    <row r="24" spans="1:50" s="54" customFormat="1" ht="15" customHeight="1">
      <c r="A24" s="113"/>
      <c r="B24" s="156" t="s">
        <v>116</v>
      </c>
      <c r="C24" s="115"/>
      <c r="D24" s="60">
        <v>-1655</v>
      </c>
      <c r="E24" s="60">
        <v>-198</v>
      </c>
      <c r="F24" s="60">
        <v>-908</v>
      </c>
      <c r="G24" s="60">
        <v>766</v>
      </c>
      <c r="H24" s="74">
        <v>-1846</v>
      </c>
      <c r="I24" s="48"/>
      <c r="J24" s="60">
        <v>168</v>
      </c>
      <c r="K24" s="60">
        <v>73</v>
      </c>
      <c r="L24" s="60">
        <v>-343</v>
      </c>
      <c r="M24" s="60">
        <v>133</v>
      </c>
      <c r="N24" s="74">
        <v>31</v>
      </c>
      <c r="O24" s="48"/>
      <c r="P24" s="60">
        <v>-1787</v>
      </c>
      <c r="Q24" s="60">
        <v>-31</v>
      </c>
      <c r="R24" s="60">
        <v>-1309</v>
      </c>
      <c r="S24" s="60">
        <v>1108</v>
      </c>
      <c r="T24" s="74">
        <v>-2019</v>
      </c>
      <c r="U24" s="48"/>
      <c r="V24" s="60">
        <v>-1473</v>
      </c>
      <c r="W24" s="60">
        <v>-521</v>
      </c>
      <c r="X24" s="60">
        <v>-1606</v>
      </c>
      <c r="Y24" s="60">
        <v>361</v>
      </c>
      <c r="Z24" s="74">
        <v>-3283</v>
      </c>
      <c r="AA24" s="81"/>
      <c r="AB24" s="60">
        <v>-601</v>
      </c>
      <c r="AC24" s="60">
        <v>-484</v>
      </c>
      <c r="AD24" s="60">
        <v>-1745</v>
      </c>
      <c r="AE24" s="60">
        <v>234</v>
      </c>
      <c r="AF24" s="74">
        <v>-2596</v>
      </c>
      <c r="AG24" s="82"/>
      <c r="AH24" s="60">
        <v>-1105</v>
      </c>
      <c r="AI24" s="60">
        <v>-870</v>
      </c>
      <c r="AJ24" s="50"/>
      <c r="AK24" s="50"/>
      <c r="AL24" s="74"/>
      <c r="AM24" s="83"/>
      <c r="AN24" s="50"/>
      <c r="AO24" s="50"/>
      <c r="AP24" s="50"/>
      <c r="AQ24" s="50"/>
      <c r="AR24" s="74"/>
      <c r="AS24" s="83"/>
      <c r="AT24" s="75"/>
      <c r="AU24" s="83"/>
      <c r="AV24" s="75"/>
      <c r="AX24" s="75"/>
    </row>
    <row r="25" spans="1:50" s="54" customFormat="1" ht="15" customHeight="1" thickBot="1">
      <c r="A25" s="84"/>
      <c r="B25" s="157" t="s">
        <v>715</v>
      </c>
      <c r="C25" s="26"/>
      <c r="D25" s="60">
        <v>565</v>
      </c>
      <c r="E25" s="60">
        <v>1509</v>
      </c>
      <c r="F25" s="60">
        <v>1204</v>
      </c>
      <c r="G25" s="60">
        <v>1819</v>
      </c>
      <c r="H25" s="93">
        <v>5097</v>
      </c>
      <c r="I25" s="48"/>
      <c r="J25" s="60">
        <v>2651</v>
      </c>
      <c r="K25" s="60">
        <v>2579</v>
      </c>
      <c r="L25" s="60">
        <v>2162</v>
      </c>
      <c r="M25" s="60">
        <v>2743</v>
      </c>
      <c r="N25" s="93">
        <v>10135</v>
      </c>
      <c r="O25" s="48"/>
      <c r="P25" s="60">
        <v>2084</v>
      </c>
      <c r="Q25" s="60">
        <v>1762</v>
      </c>
      <c r="R25" s="60">
        <v>2484</v>
      </c>
      <c r="S25" s="60">
        <v>3502</v>
      </c>
      <c r="T25" s="93">
        <v>9832</v>
      </c>
      <c r="U25" s="48"/>
      <c r="V25" s="60">
        <v>1607</v>
      </c>
      <c r="W25" s="60">
        <v>1518</v>
      </c>
      <c r="X25" s="60">
        <v>2106</v>
      </c>
      <c r="Y25" s="60">
        <v>3447</v>
      </c>
      <c r="Z25" s="93">
        <v>8848</v>
      </c>
      <c r="AA25" s="81"/>
      <c r="AB25" s="60">
        <v>2230</v>
      </c>
      <c r="AC25" s="60">
        <v>1774</v>
      </c>
      <c r="AD25" s="60">
        <v>1610</v>
      </c>
      <c r="AE25" s="60">
        <v>2698</v>
      </c>
      <c r="AF25" s="93">
        <v>8312</v>
      </c>
      <c r="AG25" s="82"/>
      <c r="AH25" s="60">
        <v>1187</v>
      </c>
      <c r="AI25" s="60">
        <v>1318</v>
      </c>
      <c r="AJ25" s="50"/>
      <c r="AK25" s="50"/>
      <c r="AL25" s="94"/>
      <c r="AM25" s="83"/>
      <c r="AN25" s="50"/>
      <c r="AO25" s="50"/>
      <c r="AP25" s="50"/>
      <c r="AQ25" s="50"/>
      <c r="AR25" s="94"/>
      <c r="AS25" s="83"/>
      <c r="AT25" s="94"/>
      <c r="AU25" s="83"/>
      <c r="AV25" s="94"/>
      <c r="AX25" s="94"/>
    </row>
    <row r="26" spans="1:50" s="54" customFormat="1" ht="15" customHeight="1" thickTop="1">
      <c r="A26" s="43"/>
      <c r="B26" s="154"/>
      <c r="C26" s="17"/>
      <c r="D26" s="46"/>
      <c r="E26" s="46"/>
      <c r="F26" s="46"/>
      <c r="G26" s="46"/>
      <c r="H26" s="66"/>
      <c r="I26" s="48"/>
      <c r="J26" s="46"/>
      <c r="K26" s="46"/>
      <c r="L26" s="46"/>
      <c r="M26" s="46"/>
      <c r="N26" s="66"/>
      <c r="O26" s="48"/>
      <c r="P26" s="46"/>
      <c r="Q26" s="46"/>
      <c r="R26" s="46"/>
      <c r="S26" s="46"/>
      <c r="T26" s="66"/>
      <c r="U26" s="48"/>
      <c r="V26" s="46"/>
      <c r="W26" s="46"/>
      <c r="X26" s="46"/>
      <c r="Y26" s="46"/>
      <c r="Z26" s="66"/>
      <c r="AA26" s="51"/>
      <c r="AB26" s="46"/>
      <c r="AC26" s="46"/>
      <c r="AD26" s="46"/>
      <c r="AE26" s="46"/>
      <c r="AF26" s="66"/>
      <c r="AG26" s="49"/>
      <c r="AH26" s="46"/>
      <c r="AI26" s="46"/>
      <c r="AJ26" s="50"/>
      <c r="AK26" s="50"/>
      <c r="AL26" s="68"/>
      <c r="AM26" s="72"/>
      <c r="AN26" s="50"/>
      <c r="AO26" s="50"/>
      <c r="AP26" s="50"/>
      <c r="AQ26" s="50"/>
      <c r="AR26" s="68"/>
      <c r="AS26" s="72"/>
      <c r="AT26" s="68"/>
      <c r="AU26" s="72"/>
      <c r="AV26" s="68"/>
      <c r="AX26" s="68"/>
    </row>
    <row r="27" spans="1:50" s="54" customFormat="1" ht="15" customHeight="1">
      <c r="A27" s="44" t="s">
        <v>37</v>
      </c>
      <c r="B27" s="158" t="s">
        <v>716</v>
      </c>
      <c r="C27" s="115"/>
      <c r="D27" s="46"/>
      <c r="E27" s="46"/>
      <c r="F27" s="46"/>
      <c r="G27" s="46"/>
      <c r="H27" s="66"/>
      <c r="I27" s="48"/>
      <c r="J27" s="46"/>
      <c r="K27" s="46"/>
      <c r="L27" s="46"/>
      <c r="M27" s="46"/>
      <c r="N27" s="66"/>
      <c r="O27" s="48"/>
      <c r="P27" s="46"/>
      <c r="Q27" s="46"/>
      <c r="R27" s="46"/>
      <c r="S27" s="46"/>
      <c r="T27" s="66"/>
      <c r="U27" s="48"/>
      <c r="V27" s="46"/>
      <c r="W27" s="46"/>
      <c r="X27" s="46"/>
      <c r="Y27" s="46"/>
      <c r="Z27" s="66"/>
      <c r="AA27" s="81"/>
      <c r="AB27" s="46"/>
      <c r="AC27" s="46"/>
      <c r="AD27" s="46"/>
      <c r="AE27" s="46"/>
      <c r="AF27" s="66"/>
      <c r="AG27" s="82"/>
      <c r="AH27" s="46"/>
      <c r="AI27" s="46"/>
      <c r="AJ27" s="50"/>
      <c r="AK27" s="50"/>
      <c r="AL27" s="68"/>
      <c r="AM27" s="83"/>
      <c r="AN27" s="50"/>
      <c r="AO27" s="50"/>
      <c r="AP27" s="50"/>
      <c r="AQ27" s="50"/>
      <c r="AR27" s="68"/>
      <c r="AS27" s="83"/>
      <c r="AT27" s="68"/>
      <c r="AU27" s="83"/>
      <c r="AV27" s="68"/>
      <c r="AX27" s="68"/>
    </row>
    <row r="28" spans="1:50" s="54" customFormat="1" ht="15" customHeight="1">
      <c r="A28" s="43"/>
      <c r="B28" s="159" t="s">
        <v>717</v>
      </c>
      <c r="C28" s="17"/>
      <c r="D28" s="60">
        <v>-1419</v>
      </c>
      <c r="E28" s="60">
        <v>-1847</v>
      </c>
      <c r="F28" s="60">
        <v>-1439</v>
      </c>
      <c r="G28" s="60">
        <v>-1163</v>
      </c>
      <c r="H28" s="66">
        <v>-5868</v>
      </c>
      <c r="I28" s="48"/>
      <c r="J28" s="60">
        <v>-1424</v>
      </c>
      <c r="K28" s="60">
        <v>-1402</v>
      </c>
      <c r="L28" s="60">
        <v>-1376</v>
      </c>
      <c r="M28" s="60">
        <v>-1682</v>
      </c>
      <c r="N28" s="66">
        <v>-5884</v>
      </c>
      <c r="O28" s="48"/>
      <c r="P28" s="60">
        <v>-1570</v>
      </c>
      <c r="Q28" s="60">
        <v>-1573</v>
      </c>
      <c r="R28" s="60">
        <v>-1236</v>
      </c>
      <c r="S28" s="60">
        <v>-2384</v>
      </c>
      <c r="T28" s="66">
        <v>-6763</v>
      </c>
      <c r="U28" s="48"/>
      <c r="V28" s="60">
        <v>-1284</v>
      </c>
      <c r="W28" s="60">
        <v>-1858</v>
      </c>
      <c r="X28" s="60">
        <v>-1278</v>
      </c>
      <c r="Y28" s="60">
        <v>-1754</v>
      </c>
      <c r="Z28" s="66">
        <v>-6174</v>
      </c>
      <c r="AA28" s="51"/>
      <c r="AB28" s="60">
        <v>-1290</v>
      </c>
      <c r="AC28" s="60">
        <v>-1305</v>
      </c>
      <c r="AD28" s="60">
        <v>-1379</v>
      </c>
      <c r="AE28" s="60">
        <v>-1202</v>
      </c>
      <c r="AF28" s="66">
        <v>-5176</v>
      </c>
      <c r="AG28" s="49"/>
      <c r="AH28" s="60">
        <v>-767</v>
      </c>
      <c r="AI28" s="60">
        <v>-818</v>
      </c>
      <c r="AJ28" s="50"/>
      <c r="AK28" s="50"/>
      <c r="AL28" s="68"/>
      <c r="AM28" s="72"/>
      <c r="AN28" s="50"/>
      <c r="AO28" s="50"/>
      <c r="AP28" s="50"/>
      <c r="AQ28" s="50"/>
      <c r="AR28" s="68"/>
      <c r="AS28" s="72"/>
      <c r="AT28" s="68"/>
      <c r="AU28" s="72"/>
      <c r="AV28" s="68"/>
      <c r="AW28" s="361"/>
      <c r="AX28" s="68"/>
    </row>
    <row r="29" spans="1:50" s="54" customFormat="1" ht="15" customHeight="1">
      <c r="A29" s="113"/>
      <c r="B29" s="159" t="s">
        <v>718</v>
      </c>
      <c r="C29" s="115"/>
      <c r="D29" s="60">
        <v>0</v>
      </c>
      <c r="E29" s="60">
        <v>4</v>
      </c>
      <c r="F29" s="60">
        <v>11</v>
      </c>
      <c r="G29" s="60">
        <v>7</v>
      </c>
      <c r="H29" s="66">
        <v>22</v>
      </c>
      <c r="I29" s="48"/>
      <c r="J29" s="60">
        <v>6</v>
      </c>
      <c r="K29" s="60">
        <v>8</v>
      </c>
      <c r="L29" s="60">
        <v>74</v>
      </c>
      <c r="M29" s="60">
        <v>14</v>
      </c>
      <c r="N29" s="66">
        <v>102</v>
      </c>
      <c r="O29" s="48"/>
      <c r="P29" s="60">
        <v>20</v>
      </c>
      <c r="Q29" s="60">
        <v>11</v>
      </c>
      <c r="R29" s="60">
        <v>40</v>
      </c>
      <c r="S29" s="60">
        <v>23</v>
      </c>
      <c r="T29" s="66">
        <v>94</v>
      </c>
      <c r="U29" s="48"/>
      <c r="V29" s="60">
        <v>10</v>
      </c>
      <c r="W29" s="60">
        <v>10</v>
      </c>
      <c r="X29" s="60">
        <v>52</v>
      </c>
      <c r="Y29" s="60">
        <v>12</v>
      </c>
      <c r="Z29" s="66">
        <v>84</v>
      </c>
      <c r="AA29" s="81"/>
      <c r="AB29" s="60">
        <v>12</v>
      </c>
      <c r="AC29" s="60">
        <v>50</v>
      </c>
      <c r="AD29" s="60">
        <v>32</v>
      </c>
      <c r="AE29" s="60">
        <v>20</v>
      </c>
      <c r="AF29" s="66">
        <v>114</v>
      </c>
      <c r="AG29" s="82"/>
      <c r="AH29" s="60">
        <v>13</v>
      </c>
      <c r="AI29" s="60">
        <v>21</v>
      </c>
      <c r="AJ29" s="50"/>
      <c r="AK29" s="50"/>
      <c r="AL29" s="68"/>
      <c r="AM29" s="83"/>
      <c r="AN29" s="50"/>
      <c r="AO29" s="50"/>
      <c r="AP29" s="50"/>
      <c r="AQ29" s="50"/>
      <c r="AR29" s="68"/>
      <c r="AS29" s="83"/>
      <c r="AT29" s="68"/>
      <c r="AU29" s="83"/>
      <c r="AV29" s="68"/>
      <c r="AX29" s="68"/>
    </row>
    <row r="30" spans="1:50" s="54" customFormat="1" ht="15" customHeight="1">
      <c r="A30" s="43"/>
      <c r="B30" s="159" t="s">
        <v>719</v>
      </c>
      <c r="C30" s="17"/>
      <c r="D30" s="60">
        <v>0</v>
      </c>
      <c r="E30" s="60">
        <v>0</v>
      </c>
      <c r="F30" s="60">
        <v>0</v>
      </c>
      <c r="G30" s="60">
        <v>0</v>
      </c>
      <c r="H30" s="66">
        <v>0</v>
      </c>
      <c r="I30" s="48"/>
      <c r="J30" s="60">
        <v>0</v>
      </c>
      <c r="K30" s="60">
        <v>0</v>
      </c>
      <c r="L30" s="60">
        <v>-225</v>
      </c>
      <c r="M30" s="60">
        <v>-3</v>
      </c>
      <c r="N30" s="66">
        <v>-228</v>
      </c>
      <c r="O30" s="48"/>
      <c r="P30" s="60">
        <v>0</v>
      </c>
      <c r="Q30" s="60">
        <v>0</v>
      </c>
      <c r="R30" s="60">
        <v>-145</v>
      </c>
      <c r="S30" s="60">
        <v>-2</v>
      </c>
      <c r="T30" s="66">
        <v>-147</v>
      </c>
      <c r="U30" s="48"/>
      <c r="V30" s="60">
        <v>0</v>
      </c>
      <c r="W30" s="60">
        <v>0</v>
      </c>
      <c r="X30" s="60">
        <v>0</v>
      </c>
      <c r="Y30" s="60">
        <v>0</v>
      </c>
      <c r="Z30" s="66">
        <v>0</v>
      </c>
      <c r="AA30" s="51"/>
      <c r="AB30" s="60">
        <v>-2</v>
      </c>
      <c r="AC30" s="60">
        <v>-73</v>
      </c>
      <c r="AD30" s="60">
        <v>-35</v>
      </c>
      <c r="AE30" s="60">
        <v>-28</v>
      </c>
      <c r="AF30" s="66">
        <v>-138</v>
      </c>
      <c r="AG30" s="49"/>
      <c r="AH30" s="60">
        <v>0</v>
      </c>
      <c r="AI30" s="60">
        <v>-46</v>
      </c>
      <c r="AJ30" s="50"/>
      <c r="AK30" s="50"/>
      <c r="AL30" s="68"/>
      <c r="AM30" s="72"/>
      <c r="AN30" s="50"/>
      <c r="AO30" s="50"/>
      <c r="AP30" s="50"/>
      <c r="AQ30" s="50"/>
      <c r="AR30" s="68"/>
      <c r="AS30" s="72"/>
      <c r="AT30" s="68"/>
      <c r="AU30" s="72"/>
      <c r="AV30" s="68"/>
      <c r="AX30" s="68"/>
    </row>
    <row r="31" spans="1:50" s="54" customFormat="1" ht="15" customHeight="1">
      <c r="A31" s="113"/>
      <c r="B31" s="159" t="s">
        <v>720</v>
      </c>
      <c r="C31" s="115"/>
      <c r="D31" s="60">
        <v>0</v>
      </c>
      <c r="E31" s="60">
        <v>0</v>
      </c>
      <c r="F31" s="60">
        <v>0</v>
      </c>
      <c r="G31" s="60">
        <v>0</v>
      </c>
      <c r="H31" s="66">
        <v>0</v>
      </c>
      <c r="I31" s="48"/>
      <c r="J31" s="60">
        <v>0</v>
      </c>
      <c r="K31" s="60">
        <v>0</v>
      </c>
      <c r="L31" s="60">
        <v>0</v>
      </c>
      <c r="M31" s="60">
        <v>0</v>
      </c>
      <c r="N31" s="66">
        <v>0</v>
      </c>
      <c r="O31" s="48"/>
      <c r="P31" s="60">
        <v>0</v>
      </c>
      <c r="Q31" s="60">
        <v>0</v>
      </c>
      <c r="R31" s="60">
        <v>0</v>
      </c>
      <c r="S31" s="60">
        <v>0</v>
      </c>
      <c r="T31" s="66">
        <v>0</v>
      </c>
      <c r="U31" s="48"/>
      <c r="V31" s="60">
        <v>0</v>
      </c>
      <c r="W31" s="60">
        <v>0</v>
      </c>
      <c r="X31" s="60">
        <v>0</v>
      </c>
      <c r="Y31" s="60">
        <v>0</v>
      </c>
      <c r="Z31" s="66">
        <v>0</v>
      </c>
      <c r="AA31" s="81"/>
      <c r="AB31" s="60">
        <v>0</v>
      </c>
      <c r="AC31" s="60">
        <v>0</v>
      </c>
      <c r="AD31" s="60">
        <v>0</v>
      </c>
      <c r="AE31" s="60">
        <v>0</v>
      </c>
      <c r="AF31" s="66">
        <v>0</v>
      </c>
      <c r="AG31" s="82"/>
      <c r="AH31" s="60">
        <v>0</v>
      </c>
      <c r="AI31" s="60">
        <v>0</v>
      </c>
      <c r="AJ31" s="50"/>
      <c r="AK31" s="50"/>
      <c r="AL31" s="68"/>
      <c r="AM31" s="89"/>
      <c r="AN31" s="50"/>
      <c r="AO31" s="50"/>
      <c r="AP31" s="50"/>
      <c r="AQ31" s="50"/>
      <c r="AR31" s="68"/>
      <c r="AS31" s="89"/>
      <c r="AT31" s="68"/>
      <c r="AU31" s="89"/>
      <c r="AV31" s="68"/>
      <c r="AX31" s="68"/>
    </row>
    <row r="32" spans="1:50" s="54" customFormat="1" ht="15" customHeight="1">
      <c r="A32" s="113"/>
      <c r="B32" s="159" t="s">
        <v>721</v>
      </c>
      <c r="C32" s="115"/>
      <c r="D32" s="60">
        <v>0</v>
      </c>
      <c r="E32" s="60">
        <v>0</v>
      </c>
      <c r="F32" s="60">
        <v>0</v>
      </c>
      <c r="G32" s="60">
        <v>0</v>
      </c>
      <c r="H32" s="66">
        <v>0</v>
      </c>
      <c r="I32" s="48"/>
      <c r="J32" s="60">
        <v>0</v>
      </c>
      <c r="K32" s="60">
        <v>0</v>
      </c>
      <c r="L32" s="60">
        <v>0</v>
      </c>
      <c r="M32" s="60">
        <v>0</v>
      </c>
      <c r="N32" s="66">
        <v>0</v>
      </c>
      <c r="O32" s="48"/>
      <c r="P32" s="60">
        <v>0</v>
      </c>
      <c r="Q32" s="60">
        <v>0</v>
      </c>
      <c r="R32" s="60">
        <v>0</v>
      </c>
      <c r="S32" s="60">
        <v>0</v>
      </c>
      <c r="T32" s="66">
        <v>0</v>
      </c>
      <c r="U32" s="48"/>
      <c r="V32" s="60">
        <v>0</v>
      </c>
      <c r="W32" s="60">
        <v>0</v>
      </c>
      <c r="X32" s="60">
        <v>0</v>
      </c>
      <c r="Y32" s="60">
        <v>0</v>
      </c>
      <c r="Z32" s="66">
        <v>0</v>
      </c>
      <c r="AA32" s="81"/>
      <c r="AB32" s="60">
        <v>0</v>
      </c>
      <c r="AC32" s="60">
        <v>0</v>
      </c>
      <c r="AD32" s="60">
        <v>0</v>
      </c>
      <c r="AE32" s="60">
        <v>0</v>
      </c>
      <c r="AF32" s="66">
        <v>0</v>
      </c>
      <c r="AG32" s="82"/>
      <c r="AH32" s="60">
        <v>0</v>
      </c>
      <c r="AI32" s="60">
        <v>0</v>
      </c>
      <c r="AJ32" s="50"/>
      <c r="AK32" s="50"/>
      <c r="AL32" s="68"/>
      <c r="AM32" s="89"/>
      <c r="AN32" s="50"/>
      <c r="AO32" s="50"/>
      <c r="AP32" s="50"/>
      <c r="AQ32" s="50"/>
      <c r="AR32" s="68"/>
      <c r="AS32" s="89"/>
      <c r="AT32" s="68"/>
      <c r="AU32" s="89"/>
      <c r="AV32" s="68"/>
      <c r="AX32" s="68"/>
    </row>
    <row r="33" spans="1:38" s="54" customFormat="1" ht="15" customHeight="1">
      <c r="A33" s="113"/>
      <c r="B33" s="159" t="s">
        <v>722</v>
      </c>
      <c r="C33" s="17"/>
      <c r="D33" s="60">
        <v>0</v>
      </c>
      <c r="E33" s="60">
        <v>0</v>
      </c>
      <c r="F33" s="60">
        <v>0</v>
      </c>
      <c r="G33" s="60">
        <v>0</v>
      </c>
      <c r="H33" s="66">
        <v>0</v>
      </c>
      <c r="I33" s="48"/>
      <c r="J33" s="60">
        <v>0</v>
      </c>
      <c r="K33" s="60">
        <v>0</v>
      </c>
      <c r="L33" s="60">
        <v>0</v>
      </c>
      <c r="M33" s="60">
        <v>0</v>
      </c>
      <c r="N33" s="66">
        <v>0</v>
      </c>
      <c r="O33" s="48"/>
      <c r="P33" s="60">
        <v>0</v>
      </c>
      <c r="Q33" s="60">
        <v>0</v>
      </c>
      <c r="R33" s="60">
        <v>0</v>
      </c>
      <c r="S33" s="60">
        <v>0</v>
      </c>
      <c r="T33" s="66">
        <v>0</v>
      </c>
      <c r="U33" s="48"/>
      <c r="V33" s="60">
        <v>0</v>
      </c>
      <c r="W33" s="60">
        <v>0</v>
      </c>
      <c r="X33" s="60">
        <v>0</v>
      </c>
      <c r="Y33" s="60">
        <v>0</v>
      </c>
      <c r="Z33" s="66">
        <v>0</v>
      </c>
      <c r="AA33" s="51"/>
      <c r="AB33" s="60">
        <v>0</v>
      </c>
      <c r="AC33" s="60">
        <v>0</v>
      </c>
      <c r="AD33" s="60">
        <v>0</v>
      </c>
      <c r="AE33" s="60">
        <v>0</v>
      </c>
      <c r="AF33" s="66">
        <v>0</v>
      </c>
      <c r="AG33" s="49"/>
      <c r="AH33" s="60">
        <v>0</v>
      </c>
      <c r="AI33" s="60">
        <v>0</v>
      </c>
      <c r="AJ33" s="50"/>
      <c r="AK33" s="50"/>
      <c r="AL33" s="68"/>
    </row>
    <row r="34" spans="1:38" s="54" customFormat="1" ht="15" customHeight="1">
      <c r="A34" s="43"/>
      <c r="B34" s="159" t="s">
        <v>723</v>
      </c>
      <c r="C34" s="17"/>
      <c r="D34" s="60">
        <v>0</v>
      </c>
      <c r="E34" s="60">
        <v>0</v>
      </c>
      <c r="F34" s="60">
        <v>0</v>
      </c>
      <c r="G34" s="60">
        <v>0</v>
      </c>
      <c r="H34" s="66">
        <v>0</v>
      </c>
      <c r="I34" s="48"/>
      <c r="J34" s="60">
        <v>0</v>
      </c>
      <c r="K34" s="60">
        <v>0</v>
      </c>
      <c r="L34" s="60">
        <v>0</v>
      </c>
      <c r="M34" s="60">
        <v>0</v>
      </c>
      <c r="N34" s="66">
        <v>0</v>
      </c>
      <c r="O34" s="48"/>
      <c r="P34" s="60">
        <v>0</v>
      </c>
      <c r="Q34" s="60">
        <v>0</v>
      </c>
      <c r="R34" s="60">
        <v>0</v>
      </c>
      <c r="S34" s="60">
        <v>0</v>
      </c>
      <c r="T34" s="66">
        <v>0</v>
      </c>
      <c r="U34" s="48"/>
      <c r="V34" s="60">
        <v>0</v>
      </c>
      <c r="W34" s="60">
        <v>0</v>
      </c>
      <c r="X34" s="60">
        <v>0</v>
      </c>
      <c r="Y34" s="60">
        <v>0</v>
      </c>
      <c r="Z34" s="66">
        <v>0</v>
      </c>
      <c r="AA34" s="51"/>
      <c r="AB34" s="60">
        <v>0</v>
      </c>
      <c r="AC34" s="60">
        <v>0</v>
      </c>
      <c r="AD34" s="60">
        <v>0</v>
      </c>
      <c r="AE34" s="60">
        <v>0</v>
      </c>
      <c r="AF34" s="66">
        <v>0</v>
      </c>
      <c r="AG34" s="49"/>
      <c r="AH34" s="60">
        <v>0</v>
      </c>
      <c r="AI34" s="60">
        <v>0</v>
      </c>
      <c r="AJ34" s="50"/>
      <c r="AK34" s="50"/>
      <c r="AL34" s="68"/>
    </row>
    <row r="35" spans="1:38" s="54" customFormat="1" ht="15" customHeight="1">
      <c r="B35" s="159" t="s">
        <v>724</v>
      </c>
      <c r="C35" s="115"/>
      <c r="D35" s="60">
        <v>0</v>
      </c>
      <c r="E35" s="60">
        <v>0</v>
      </c>
      <c r="F35" s="60">
        <v>0</v>
      </c>
      <c r="G35" s="60">
        <v>0</v>
      </c>
      <c r="H35" s="74">
        <v>0</v>
      </c>
      <c r="I35" s="48"/>
      <c r="J35" s="60">
        <v>0</v>
      </c>
      <c r="K35" s="60">
        <v>0</v>
      </c>
      <c r="L35" s="60">
        <v>0</v>
      </c>
      <c r="M35" s="60">
        <v>0</v>
      </c>
      <c r="N35" s="74">
        <v>0</v>
      </c>
      <c r="O35" s="48"/>
      <c r="P35" s="60">
        <v>0</v>
      </c>
      <c r="Q35" s="60">
        <v>0</v>
      </c>
      <c r="R35" s="60">
        <v>0</v>
      </c>
      <c r="S35" s="60">
        <v>0</v>
      </c>
      <c r="T35" s="74">
        <v>0</v>
      </c>
      <c r="U35" s="48"/>
      <c r="V35" s="60">
        <v>-35</v>
      </c>
      <c r="W35" s="60">
        <v>-43</v>
      </c>
      <c r="X35" s="60">
        <v>-4</v>
      </c>
      <c r="Y35" s="60">
        <v>-2</v>
      </c>
      <c r="Z35" s="74">
        <v>-84</v>
      </c>
      <c r="AA35" s="81"/>
      <c r="AB35" s="60">
        <v>0</v>
      </c>
      <c r="AC35" s="60">
        <v>0</v>
      </c>
      <c r="AD35" s="60">
        <v>24</v>
      </c>
      <c r="AE35" s="60">
        <v>-24</v>
      </c>
      <c r="AF35" s="74">
        <v>0</v>
      </c>
      <c r="AG35" s="82"/>
      <c r="AH35" s="60">
        <v>-48</v>
      </c>
      <c r="AI35" s="60">
        <v>39</v>
      </c>
      <c r="AJ35" s="50"/>
      <c r="AK35" s="50"/>
      <c r="AL35" s="75"/>
    </row>
    <row r="36" spans="1:38" s="54" customFormat="1" ht="15" customHeight="1" thickBot="1">
      <c r="A36" s="113"/>
      <c r="B36" s="160" t="s">
        <v>725</v>
      </c>
      <c r="C36" s="17"/>
      <c r="D36" s="60">
        <v>-1419</v>
      </c>
      <c r="E36" s="60">
        <v>-1843</v>
      </c>
      <c r="F36" s="60">
        <v>-1428</v>
      </c>
      <c r="G36" s="60">
        <v>-1156</v>
      </c>
      <c r="H36" s="93">
        <v>-5846</v>
      </c>
      <c r="I36" s="48"/>
      <c r="J36" s="60">
        <v>-1418</v>
      </c>
      <c r="K36" s="60">
        <v>-1394</v>
      </c>
      <c r="L36" s="60">
        <v>-1527</v>
      </c>
      <c r="M36" s="60">
        <v>-1671</v>
      </c>
      <c r="N36" s="93">
        <v>-6010</v>
      </c>
      <c r="O36" s="48"/>
      <c r="P36" s="60">
        <v>-1550</v>
      </c>
      <c r="Q36" s="60">
        <v>-1562</v>
      </c>
      <c r="R36" s="60">
        <v>-1341</v>
      </c>
      <c r="S36" s="60">
        <v>-2363</v>
      </c>
      <c r="T36" s="93">
        <v>-6816</v>
      </c>
      <c r="U36" s="48"/>
      <c r="V36" s="60">
        <v>-1309</v>
      </c>
      <c r="W36" s="60">
        <v>-1891</v>
      </c>
      <c r="X36" s="60">
        <v>-1230</v>
      </c>
      <c r="Y36" s="60">
        <v>-1744</v>
      </c>
      <c r="Z36" s="93">
        <v>-6174</v>
      </c>
      <c r="AA36" s="51"/>
      <c r="AB36" s="60">
        <v>-1280</v>
      </c>
      <c r="AC36" s="60">
        <v>-1328</v>
      </c>
      <c r="AD36" s="60">
        <v>-1358</v>
      </c>
      <c r="AE36" s="60">
        <v>-1234</v>
      </c>
      <c r="AF36" s="93">
        <v>-5200</v>
      </c>
      <c r="AG36" s="49"/>
      <c r="AH36" s="60">
        <v>-802</v>
      </c>
      <c r="AI36" s="60">
        <v>-804</v>
      </c>
      <c r="AJ36" s="50"/>
      <c r="AK36" s="50"/>
      <c r="AL36" s="94"/>
    </row>
    <row r="37" spans="1:38" s="54" customFormat="1" ht="15" customHeight="1" thickTop="1">
      <c r="A37" s="43"/>
      <c r="B37" s="154"/>
      <c r="C37" s="115"/>
      <c r="D37" s="46"/>
      <c r="E37" s="46"/>
      <c r="F37" s="46"/>
      <c r="G37" s="46"/>
      <c r="H37" s="66"/>
      <c r="I37" s="48"/>
      <c r="J37" s="46"/>
      <c r="K37" s="46"/>
      <c r="L37" s="46"/>
      <c r="M37" s="46"/>
      <c r="N37" s="66"/>
      <c r="O37" s="48"/>
      <c r="P37" s="46"/>
      <c r="Q37" s="46"/>
      <c r="R37" s="46"/>
      <c r="S37" s="46"/>
      <c r="T37" s="66"/>
      <c r="U37" s="48"/>
      <c r="V37" s="46"/>
      <c r="W37" s="46"/>
      <c r="X37" s="46"/>
      <c r="Y37" s="46"/>
      <c r="Z37" s="66"/>
      <c r="AA37" s="86"/>
      <c r="AB37" s="46"/>
      <c r="AC37" s="46"/>
      <c r="AD37" s="46"/>
      <c r="AE37" s="46"/>
      <c r="AF37" s="66"/>
      <c r="AG37" s="82"/>
      <c r="AH37" s="46"/>
      <c r="AI37" s="46"/>
      <c r="AJ37" s="50"/>
      <c r="AK37" s="50"/>
      <c r="AL37" s="68"/>
    </row>
    <row r="38" spans="1:38" s="54" customFormat="1" ht="15" customHeight="1">
      <c r="A38" s="44" t="s">
        <v>37</v>
      </c>
      <c r="B38" s="158" t="s">
        <v>726</v>
      </c>
      <c r="C38" s="27"/>
      <c r="D38" s="46"/>
      <c r="E38" s="46"/>
      <c r="F38" s="46"/>
      <c r="G38" s="46"/>
      <c r="H38" s="66"/>
      <c r="I38" s="48"/>
      <c r="J38" s="46"/>
      <c r="K38" s="46"/>
      <c r="L38" s="46"/>
      <c r="M38" s="46"/>
      <c r="N38" s="66"/>
      <c r="O38" s="48"/>
      <c r="P38" s="46"/>
      <c r="Q38" s="46"/>
      <c r="R38" s="46"/>
      <c r="S38" s="46"/>
      <c r="T38" s="66"/>
      <c r="U38" s="48"/>
      <c r="V38" s="46"/>
      <c r="W38" s="46"/>
      <c r="X38" s="46"/>
      <c r="Y38" s="46"/>
      <c r="Z38" s="66"/>
      <c r="AA38" s="51"/>
      <c r="AB38" s="46"/>
      <c r="AC38" s="46"/>
      <c r="AD38" s="46"/>
      <c r="AE38" s="46"/>
      <c r="AF38" s="66"/>
      <c r="AG38" s="49"/>
      <c r="AH38" s="46"/>
      <c r="AI38" s="46"/>
      <c r="AJ38" s="50"/>
      <c r="AK38" s="50"/>
      <c r="AL38" s="68"/>
    </row>
    <row r="39" spans="1:38" s="54" customFormat="1" ht="15" customHeight="1">
      <c r="A39" s="113"/>
      <c r="B39" s="159" t="s">
        <v>727</v>
      </c>
      <c r="C39" s="115"/>
      <c r="D39" s="60">
        <v>-170</v>
      </c>
      <c r="E39" s="60">
        <v>-169</v>
      </c>
      <c r="F39" s="60">
        <v>-170</v>
      </c>
      <c r="G39" s="60">
        <v>-170</v>
      </c>
      <c r="H39" s="66">
        <v>-679</v>
      </c>
      <c r="I39" s="48"/>
      <c r="J39" s="60">
        <v>-170</v>
      </c>
      <c r="K39" s="60">
        <v>-171</v>
      </c>
      <c r="L39" s="60">
        <v>-172</v>
      </c>
      <c r="M39" s="60">
        <v>-173</v>
      </c>
      <c r="N39" s="66">
        <v>-686</v>
      </c>
      <c r="O39" s="48"/>
      <c r="P39" s="60">
        <v>-200</v>
      </c>
      <c r="Q39" s="60">
        <v>-200</v>
      </c>
      <c r="R39" s="60">
        <v>-198</v>
      </c>
      <c r="S39" s="60">
        <v>-195</v>
      </c>
      <c r="T39" s="66">
        <v>-793</v>
      </c>
      <c r="U39" s="48"/>
      <c r="V39" s="60">
        <v>-299</v>
      </c>
      <c r="W39" s="60">
        <v>-299</v>
      </c>
      <c r="X39" s="60">
        <v>-290</v>
      </c>
      <c r="Y39" s="60">
        <v>-289</v>
      </c>
      <c r="Z39" s="66">
        <v>-1177</v>
      </c>
      <c r="AA39" s="51"/>
      <c r="AB39" s="60">
        <v>-318</v>
      </c>
      <c r="AC39" s="60">
        <v>-317</v>
      </c>
      <c r="AD39" s="60">
        <v>-314</v>
      </c>
      <c r="AE39" s="60">
        <v>-310</v>
      </c>
      <c r="AF39" s="66">
        <v>-1259</v>
      </c>
      <c r="AG39" s="49"/>
      <c r="AH39" s="60">
        <v>-339</v>
      </c>
      <c r="AI39" s="60">
        <v>-337</v>
      </c>
      <c r="AJ39" s="50"/>
      <c r="AK39" s="50"/>
      <c r="AL39" s="68"/>
    </row>
    <row r="40" spans="1:38" s="54" customFormat="1" ht="15" customHeight="1">
      <c r="A40" s="113"/>
      <c r="B40" s="159" t="s">
        <v>728</v>
      </c>
      <c r="C40" s="115"/>
      <c r="D40" s="60">
        <v>9</v>
      </c>
      <c r="E40" s="60">
        <v>14</v>
      </c>
      <c r="F40" s="60">
        <v>12</v>
      </c>
      <c r="G40" s="60">
        <v>26</v>
      </c>
      <c r="H40" s="66">
        <v>61</v>
      </c>
      <c r="I40" s="48"/>
      <c r="J40" s="60">
        <v>82</v>
      </c>
      <c r="K40" s="60">
        <v>349</v>
      </c>
      <c r="L40" s="60">
        <v>51</v>
      </c>
      <c r="M40" s="60">
        <v>258</v>
      </c>
      <c r="N40" s="66">
        <v>740</v>
      </c>
      <c r="O40" s="48"/>
      <c r="P40" s="60">
        <v>-465</v>
      </c>
      <c r="Q40" s="60">
        <v>-172</v>
      </c>
      <c r="R40" s="60">
        <v>-1460</v>
      </c>
      <c r="S40" s="60">
        <v>33</v>
      </c>
      <c r="T40" s="66">
        <v>-2064</v>
      </c>
      <c r="U40" s="48"/>
      <c r="V40" s="60">
        <v>81</v>
      </c>
      <c r="W40" s="60">
        <v>-1492</v>
      </c>
      <c r="X40" s="60">
        <v>25</v>
      </c>
      <c r="Y40" s="60">
        <v>117</v>
      </c>
      <c r="Z40" s="66">
        <v>-1269</v>
      </c>
      <c r="AA40" s="51"/>
      <c r="AB40" s="60">
        <v>-343</v>
      </c>
      <c r="AC40" s="60">
        <v>-446</v>
      </c>
      <c r="AD40" s="60">
        <v>-946</v>
      </c>
      <c r="AE40" s="60">
        <v>-274</v>
      </c>
      <c r="AF40" s="66">
        <v>-2009</v>
      </c>
      <c r="AG40" s="49"/>
      <c r="AH40" s="60">
        <v>-596</v>
      </c>
      <c r="AI40" s="60">
        <v>-984</v>
      </c>
      <c r="AJ40" s="50"/>
      <c r="AK40" s="50"/>
      <c r="AL40" s="68"/>
    </row>
    <row r="41" spans="1:38" s="54" customFormat="1" ht="15" customHeight="1">
      <c r="A41" s="113"/>
      <c r="B41" s="159" t="s">
        <v>729</v>
      </c>
      <c r="C41" s="115"/>
      <c r="D41" s="60">
        <v>0</v>
      </c>
      <c r="E41" s="60">
        <v>150</v>
      </c>
      <c r="F41" s="60">
        <v>148</v>
      </c>
      <c r="G41" s="60">
        <v>0</v>
      </c>
      <c r="H41" s="66">
        <v>0</v>
      </c>
      <c r="I41" s="48"/>
      <c r="J41" s="60">
        <v>0</v>
      </c>
      <c r="K41" s="60">
        <v>0</v>
      </c>
      <c r="L41" s="60">
        <v>0</v>
      </c>
      <c r="M41" s="60">
        <v>0</v>
      </c>
      <c r="N41" s="66">
        <v>0</v>
      </c>
      <c r="O41" s="48"/>
      <c r="P41" s="60">
        <v>0</v>
      </c>
      <c r="Q41" s="60">
        <v>0</v>
      </c>
      <c r="R41" s="60">
        <v>0</v>
      </c>
      <c r="S41" s="60">
        <v>0</v>
      </c>
      <c r="T41" s="66">
        <v>0</v>
      </c>
      <c r="U41" s="48"/>
      <c r="V41" s="60">
        <v>0</v>
      </c>
      <c r="W41" s="60">
        <v>0</v>
      </c>
      <c r="X41" s="60">
        <v>0</v>
      </c>
      <c r="Y41" s="60">
        <v>0</v>
      </c>
      <c r="Z41" s="66">
        <v>0</v>
      </c>
      <c r="AA41" s="51"/>
      <c r="AB41" s="60">
        <v>0</v>
      </c>
      <c r="AC41" s="60">
        <v>0</v>
      </c>
      <c r="AD41" s="60">
        <v>0</v>
      </c>
      <c r="AE41" s="60">
        <v>0</v>
      </c>
      <c r="AF41" s="66">
        <v>0</v>
      </c>
      <c r="AG41" s="49"/>
      <c r="AH41" s="60">
        <v>0</v>
      </c>
      <c r="AI41" s="60">
        <v>0</v>
      </c>
      <c r="AJ41" s="50"/>
      <c r="AK41" s="50"/>
      <c r="AL41" s="68"/>
    </row>
    <row r="42" spans="1:38" s="54" customFormat="1" ht="15" customHeight="1">
      <c r="A42" s="142"/>
      <c r="B42" s="159" t="s">
        <v>730</v>
      </c>
      <c r="C42" s="27"/>
      <c r="D42" s="60">
        <v>0</v>
      </c>
      <c r="E42" s="60">
        <v>0</v>
      </c>
      <c r="F42" s="60">
        <v>0</v>
      </c>
      <c r="G42" s="60">
        <v>0</v>
      </c>
      <c r="H42" s="66">
        <v>6556</v>
      </c>
      <c r="I42" s="48"/>
      <c r="J42" s="60">
        <v>0</v>
      </c>
      <c r="K42" s="60">
        <v>0</v>
      </c>
      <c r="L42" s="60">
        <v>0</v>
      </c>
      <c r="M42" s="60">
        <v>4212</v>
      </c>
      <c r="N42" s="66">
        <v>4212</v>
      </c>
      <c r="O42" s="48"/>
      <c r="P42" s="60">
        <v>0</v>
      </c>
      <c r="Q42" s="60">
        <v>0</v>
      </c>
      <c r="R42" s="60">
        <v>0</v>
      </c>
      <c r="S42" s="60">
        <v>0</v>
      </c>
      <c r="T42" s="66">
        <v>0</v>
      </c>
      <c r="U42" s="48"/>
      <c r="V42" s="60">
        <v>0</v>
      </c>
      <c r="W42" s="60">
        <v>0</v>
      </c>
      <c r="X42" s="60">
        <v>0</v>
      </c>
      <c r="Y42" s="60">
        <v>0</v>
      </c>
      <c r="Z42" s="66">
        <v>0</v>
      </c>
      <c r="AA42" s="51"/>
      <c r="AB42" s="60">
        <v>0</v>
      </c>
      <c r="AC42" s="60">
        <v>0</v>
      </c>
      <c r="AD42" s="60">
        <v>0</v>
      </c>
      <c r="AE42" s="60">
        <v>0</v>
      </c>
      <c r="AF42" s="66">
        <v>0</v>
      </c>
      <c r="AG42" s="49"/>
      <c r="AH42" s="60">
        <v>0</v>
      </c>
      <c r="AI42" s="60">
        <v>0</v>
      </c>
      <c r="AJ42" s="50"/>
      <c r="AK42" s="50"/>
      <c r="AL42" s="68"/>
    </row>
    <row r="43" spans="1:38" s="54" customFormat="1" ht="15" customHeight="1">
      <c r="A43" s="113"/>
      <c r="B43" s="159" t="s">
        <v>731</v>
      </c>
      <c r="C43" s="115"/>
      <c r="D43" s="60">
        <v>0</v>
      </c>
      <c r="E43" s="60">
        <v>-36</v>
      </c>
      <c r="F43" s="60">
        <v>-24</v>
      </c>
      <c r="G43" s="60">
        <v>0</v>
      </c>
      <c r="H43" s="66">
        <v>-2548</v>
      </c>
      <c r="I43" s="48"/>
      <c r="J43" s="60">
        <v>-45</v>
      </c>
      <c r="K43" s="60">
        <v>-30</v>
      </c>
      <c r="L43" s="60">
        <v>-30</v>
      </c>
      <c r="M43" s="60">
        <v>-6213</v>
      </c>
      <c r="N43" s="66">
        <v>-6318</v>
      </c>
      <c r="O43" s="48"/>
      <c r="P43" s="60">
        <v>-64</v>
      </c>
      <c r="Q43" s="60">
        <v>-8</v>
      </c>
      <c r="R43" s="60">
        <v>-41</v>
      </c>
      <c r="S43" s="60">
        <v>-48</v>
      </c>
      <c r="T43" s="66">
        <v>-161</v>
      </c>
      <c r="U43" s="48"/>
      <c r="V43" s="60">
        <v>-29</v>
      </c>
      <c r="W43" s="60">
        <v>-3</v>
      </c>
      <c r="X43" s="60">
        <v>-91</v>
      </c>
      <c r="Y43" s="60">
        <v>-29</v>
      </c>
      <c r="Z43" s="66">
        <v>-152</v>
      </c>
      <c r="AA43" s="51"/>
      <c r="AB43" s="60">
        <v>-66</v>
      </c>
      <c r="AC43" s="60">
        <v>-28</v>
      </c>
      <c r="AD43" s="60">
        <v>-49</v>
      </c>
      <c r="AE43" s="60">
        <v>-4</v>
      </c>
      <c r="AF43" s="66">
        <v>-147</v>
      </c>
      <c r="AG43" s="49"/>
      <c r="AH43" s="60">
        <v>-34</v>
      </c>
      <c r="AI43" s="60">
        <v>-13</v>
      </c>
      <c r="AJ43" s="50"/>
      <c r="AK43" s="50"/>
      <c r="AL43" s="68"/>
    </row>
    <row r="44" spans="1:38" s="54" customFormat="1" ht="15" customHeight="1">
      <c r="A44" s="113"/>
      <c r="B44" s="159" t="s">
        <v>732</v>
      </c>
      <c r="C44" s="115"/>
      <c r="D44" s="60">
        <v>1103</v>
      </c>
      <c r="E44" s="60">
        <v>0</v>
      </c>
      <c r="F44" s="60">
        <v>0</v>
      </c>
      <c r="G44" s="60">
        <v>2658</v>
      </c>
      <c r="H44" s="74">
        <v>-9</v>
      </c>
      <c r="I44" s="48"/>
      <c r="J44" s="60">
        <v>958</v>
      </c>
      <c r="K44" s="60">
        <v>0</v>
      </c>
      <c r="L44" s="60">
        <v>-1</v>
      </c>
      <c r="M44" s="60">
        <v>-995</v>
      </c>
      <c r="N44" s="74">
        <v>-38</v>
      </c>
      <c r="O44" s="48"/>
      <c r="P44" s="60">
        <v>-1</v>
      </c>
      <c r="Q44" s="60">
        <v>1</v>
      </c>
      <c r="R44" s="60">
        <v>0</v>
      </c>
      <c r="S44" s="60">
        <v>-1</v>
      </c>
      <c r="T44" s="74">
        <v>-1</v>
      </c>
      <c r="U44" s="48"/>
      <c r="V44" s="60">
        <v>0</v>
      </c>
      <c r="W44" s="60">
        <v>1</v>
      </c>
      <c r="X44" s="60">
        <v>0</v>
      </c>
      <c r="Y44" s="60">
        <v>0</v>
      </c>
      <c r="Z44" s="74">
        <v>1</v>
      </c>
      <c r="AA44" s="81"/>
      <c r="AB44" s="60">
        <v>0</v>
      </c>
      <c r="AC44" s="60">
        <v>0</v>
      </c>
      <c r="AD44" s="60">
        <v>-7</v>
      </c>
      <c r="AE44" s="60">
        <v>-4</v>
      </c>
      <c r="AF44" s="74">
        <v>-11</v>
      </c>
      <c r="AG44" s="82"/>
      <c r="AH44" s="60">
        <v>0</v>
      </c>
      <c r="AI44" s="60">
        <v>-6</v>
      </c>
      <c r="AJ44" s="50"/>
      <c r="AK44" s="50"/>
      <c r="AL44" s="75"/>
    </row>
    <row r="45" spans="1:38" s="54" customFormat="1" ht="15" customHeight="1" thickBot="1">
      <c r="A45" s="113"/>
      <c r="B45" s="160" t="s">
        <v>733</v>
      </c>
      <c r="C45" s="17"/>
      <c r="D45" s="60">
        <v>942</v>
      </c>
      <c r="E45" s="60">
        <v>-41</v>
      </c>
      <c r="F45" s="60">
        <v>-34</v>
      </c>
      <c r="G45" s="60">
        <v>2514</v>
      </c>
      <c r="H45" s="93">
        <v>3381</v>
      </c>
      <c r="I45" s="48"/>
      <c r="J45" s="60">
        <v>825</v>
      </c>
      <c r="K45" s="60">
        <v>148</v>
      </c>
      <c r="L45" s="60">
        <v>-152</v>
      </c>
      <c r="M45" s="60">
        <v>-2911</v>
      </c>
      <c r="N45" s="93">
        <v>-2090</v>
      </c>
      <c r="O45" s="48"/>
      <c r="P45" s="60">
        <v>-730</v>
      </c>
      <c r="Q45" s="60">
        <v>-379</v>
      </c>
      <c r="R45" s="60">
        <v>-1699</v>
      </c>
      <c r="S45" s="60">
        <v>-211</v>
      </c>
      <c r="T45" s="93">
        <v>-3019</v>
      </c>
      <c r="U45" s="48"/>
      <c r="V45" s="60">
        <v>-247</v>
      </c>
      <c r="W45" s="60">
        <v>-1793</v>
      </c>
      <c r="X45" s="60">
        <v>-356</v>
      </c>
      <c r="Y45" s="60">
        <v>-201</v>
      </c>
      <c r="Z45" s="93">
        <v>-2597</v>
      </c>
      <c r="AA45" s="48"/>
      <c r="AB45" s="60">
        <v>-727</v>
      </c>
      <c r="AC45" s="60">
        <v>-791</v>
      </c>
      <c r="AD45" s="60">
        <v>-1316</v>
      </c>
      <c r="AE45" s="60">
        <v>-592</v>
      </c>
      <c r="AF45" s="93">
        <v>-3426</v>
      </c>
      <c r="AG45" s="95"/>
      <c r="AH45" s="60">
        <v>-969</v>
      </c>
      <c r="AI45" s="60">
        <v>-1340</v>
      </c>
      <c r="AJ45" s="50"/>
      <c r="AK45" s="50"/>
      <c r="AL45" s="94"/>
    </row>
    <row r="46" spans="1:38" s="54" customFormat="1" ht="15" customHeight="1" thickTop="1">
      <c r="A46" s="113"/>
      <c r="B46" s="9"/>
      <c r="C46" s="115"/>
      <c r="D46" s="46"/>
      <c r="E46" s="46"/>
      <c r="F46" s="46"/>
      <c r="G46" s="46"/>
      <c r="H46" s="66"/>
      <c r="I46" s="48"/>
      <c r="J46" s="46"/>
      <c r="K46" s="46"/>
      <c r="L46" s="46"/>
      <c r="M46" s="46"/>
      <c r="N46" s="66"/>
      <c r="O46" s="48"/>
      <c r="P46" s="46"/>
      <c r="Q46" s="46"/>
      <c r="R46" s="46"/>
      <c r="S46" s="46"/>
      <c r="T46" s="66"/>
      <c r="U46" s="48"/>
      <c r="V46" s="46"/>
      <c r="W46" s="46"/>
      <c r="X46" s="46"/>
      <c r="Y46" s="46"/>
      <c r="Z46" s="66"/>
      <c r="AA46" s="81"/>
      <c r="AB46" s="46"/>
      <c r="AC46" s="46"/>
      <c r="AD46" s="46"/>
      <c r="AE46" s="46"/>
      <c r="AF46" s="66"/>
      <c r="AG46" s="82"/>
      <c r="AH46" s="46"/>
      <c r="AI46" s="46"/>
      <c r="AJ46" s="50"/>
      <c r="AK46" s="50"/>
      <c r="AL46" s="68"/>
    </row>
    <row r="47" spans="1:38" s="54" customFormat="1" ht="15" customHeight="1">
      <c r="A47" s="44" t="s">
        <v>37</v>
      </c>
      <c r="B47" s="158" t="s">
        <v>734</v>
      </c>
      <c r="C47" s="17"/>
      <c r="D47" s="60">
        <v>-18</v>
      </c>
      <c r="E47" s="60">
        <v>17</v>
      </c>
      <c r="F47" s="60">
        <v>-7</v>
      </c>
      <c r="G47" s="60">
        <v>-62</v>
      </c>
      <c r="H47" s="66">
        <v>-70</v>
      </c>
      <c r="I47" s="48"/>
      <c r="J47" s="60">
        <v>15</v>
      </c>
      <c r="K47" s="60">
        <v>52</v>
      </c>
      <c r="L47" s="60">
        <v>34</v>
      </c>
      <c r="M47" s="60">
        <v>70</v>
      </c>
      <c r="N47" s="66">
        <v>171</v>
      </c>
      <c r="O47" s="48"/>
      <c r="P47" s="60">
        <v>-38</v>
      </c>
      <c r="Q47" s="60">
        <v>-77</v>
      </c>
      <c r="R47" s="60">
        <v>24</v>
      </c>
      <c r="S47" s="60">
        <v>-96</v>
      </c>
      <c r="T47" s="66">
        <v>-187</v>
      </c>
      <c r="U47" s="48"/>
      <c r="V47" s="60">
        <v>-98</v>
      </c>
      <c r="W47" s="60">
        <v>-38</v>
      </c>
      <c r="X47" s="60">
        <v>37</v>
      </c>
      <c r="Y47" s="60">
        <v>-19</v>
      </c>
      <c r="Z47" s="66">
        <v>-118</v>
      </c>
      <c r="AA47" s="48"/>
      <c r="AB47" s="60">
        <v>-24</v>
      </c>
      <c r="AC47" s="60">
        <v>19</v>
      </c>
      <c r="AD47" s="60">
        <v>-21</v>
      </c>
      <c r="AE47" s="60">
        <v>-15</v>
      </c>
      <c r="AF47" s="66">
        <v>-41</v>
      </c>
      <c r="AG47" s="95"/>
      <c r="AH47" s="60">
        <v>26</v>
      </c>
      <c r="AI47" s="60">
        <v>-88</v>
      </c>
      <c r="AJ47" s="50"/>
      <c r="AK47" s="50"/>
      <c r="AL47" s="68"/>
    </row>
    <row r="49" spans="1:35" s="54" customFormat="1" ht="15" customHeight="1">
      <c r="A49" s="44" t="s">
        <v>37</v>
      </c>
      <c r="B49" s="158" t="s">
        <v>735</v>
      </c>
      <c r="C49" s="17"/>
      <c r="D49" s="60">
        <v>70</v>
      </c>
      <c r="E49" s="60">
        <v>-358</v>
      </c>
      <c r="F49" s="60">
        <v>-265</v>
      </c>
      <c r="G49" s="60">
        <v>3115</v>
      </c>
      <c r="H49" s="74">
        <v>2562</v>
      </c>
      <c r="I49" s="48"/>
      <c r="J49" s="60">
        <v>2073</v>
      </c>
      <c r="K49" s="60">
        <v>1385</v>
      </c>
      <c r="L49" s="60">
        <v>517</v>
      </c>
      <c r="M49" s="60">
        <v>-1769</v>
      </c>
      <c r="N49" s="74">
        <v>2206</v>
      </c>
      <c r="O49" s="48"/>
      <c r="P49" s="60">
        <v>-234</v>
      </c>
      <c r="Q49" s="60">
        <v>-256</v>
      </c>
      <c r="R49" s="60">
        <v>-532</v>
      </c>
      <c r="S49" s="60">
        <v>832</v>
      </c>
      <c r="T49" s="74">
        <v>-190</v>
      </c>
      <c r="U49" s="48"/>
      <c r="V49" s="60">
        <v>-47</v>
      </c>
      <c r="W49" s="60">
        <v>-2204</v>
      </c>
      <c r="X49" s="60">
        <v>557</v>
      </c>
      <c r="Y49" s="60">
        <v>1483</v>
      </c>
      <c r="Z49" s="74">
        <v>-41</v>
      </c>
      <c r="AA49" s="48"/>
      <c r="AB49" s="60">
        <v>199</v>
      </c>
      <c r="AC49" s="60">
        <v>-326</v>
      </c>
      <c r="AD49" s="60">
        <v>-1085</v>
      </c>
      <c r="AE49" s="60">
        <v>857</v>
      </c>
      <c r="AF49" s="74">
        <v>-355</v>
      </c>
      <c r="AG49" s="95"/>
      <c r="AH49" s="60">
        <v>-558</v>
      </c>
      <c r="AI49" s="60">
        <v>-914</v>
      </c>
    </row>
    <row r="50" spans="1:35" s="54" customFormat="1" ht="15" customHeight="1" thickBot="1">
      <c r="B50" s="158" t="s">
        <v>736</v>
      </c>
      <c r="C50" s="115"/>
      <c r="D50" s="60">
        <v>2389</v>
      </c>
      <c r="E50" s="60">
        <v>2031</v>
      </c>
      <c r="F50" s="60">
        <v>1766</v>
      </c>
      <c r="G50" s="60">
        <v>4881</v>
      </c>
      <c r="H50" s="93">
        <v>4881</v>
      </c>
      <c r="I50" s="48"/>
      <c r="J50" s="60">
        <v>6954</v>
      </c>
      <c r="K50" s="60">
        <v>8339</v>
      </c>
      <c r="L50" s="60">
        <v>8856</v>
      </c>
      <c r="M50" s="60">
        <v>7087</v>
      </c>
      <c r="N50" s="93">
        <v>7087</v>
      </c>
      <c r="O50" s="48"/>
      <c r="P50" s="60">
        <v>6853</v>
      </c>
      <c r="Q50" s="60">
        <v>6833</v>
      </c>
      <c r="R50" s="60">
        <v>6065</v>
      </c>
      <c r="S50" s="60">
        <v>6897</v>
      </c>
      <c r="T50" s="93">
        <v>6897</v>
      </c>
      <c r="U50" s="48"/>
      <c r="V50" s="60">
        <v>6850</v>
      </c>
      <c r="W50" s="60">
        <v>4646</v>
      </c>
      <c r="X50" s="60">
        <v>5373</v>
      </c>
      <c r="Y50" s="60">
        <v>6856</v>
      </c>
      <c r="Z50" s="93">
        <v>6856</v>
      </c>
      <c r="AA50" s="48"/>
      <c r="AB50" s="60">
        <v>7055</v>
      </c>
      <c r="AC50" s="60">
        <v>6729</v>
      </c>
      <c r="AD50" s="60">
        <v>5644</v>
      </c>
      <c r="AE50" s="60">
        <v>6501</v>
      </c>
      <c r="AF50" s="93">
        <v>6501</v>
      </c>
      <c r="AG50" s="95"/>
      <c r="AH50" s="60">
        <v>5943</v>
      </c>
      <c r="AI50" s="60">
        <v>5029</v>
      </c>
    </row>
  </sheetData>
  <mergeCells count="7">
    <mergeCell ref="AN8:AR8"/>
    <mergeCell ref="AH8:AL8"/>
    <mergeCell ref="D8:H8"/>
    <mergeCell ref="J8:N8"/>
    <mergeCell ref="P8:T8"/>
    <mergeCell ref="V8:Z8"/>
    <mergeCell ref="AB8:AF8"/>
  </mergeCells>
  <conditionalFormatting sqref="D62:AV62">
    <cfRule type="containsText" dxfId="0" priority="1" operator="containsText" text="ERROR">
      <formula>NOT(ISERROR(SEARCH("ERROR",D62)))</formula>
    </cfRule>
  </conditionalFormatting>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4" tint="-0.499984740745262"/>
  </sheetPr>
  <dimension ref="A1:AX177"/>
  <sheetViews>
    <sheetView showGridLines="0" topLeftCell="A20" zoomScaleNormal="100" workbookViewId="0">
      <selection activeCell="D17" sqref="D17"/>
    </sheetView>
  </sheetViews>
  <sheetFormatPr defaultColWidth="9" defaultRowHeight="14.25" customHeight="1" outlineLevelCol="1"/>
  <cols>
    <col min="1" max="1" width="2.125" style="97" customWidth="1"/>
    <col min="2" max="2" width="50.625" style="97" customWidth="1"/>
    <col min="3" max="3" width="3.125" style="23" customWidth="1"/>
    <col min="4" max="7" width="9.625" style="97" customWidth="1" outlineLevel="1"/>
    <col min="8" max="8" width="11.625" style="97" customWidth="1"/>
    <col min="9" max="9" width="1.625" style="23" customWidth="1"/>
    <col min="10" max="13" width="9.625" style="97" customWidth="1" outlineLevel="1"/>
    <col min="14" max="14" width="11.625" style="97" customWidth="1"/>
    <col min="15" max="15" width="1.625" style="23" customWidth="1"/>
    <col min="16" max="19" width="9.625" style="97" customWidth="1" outlineLevel="1"/>
    <col min="20" max="20" width="11.625" style="97" customWidth="1"/>
    <col min="21" max="21" width="1.625" style="23" customWidth="1"/>
    <col min="22" max="25" width="9.625" style="97" customWidth="1" outlineLevel="1"/>
    <col min="26" max="26" width="11.625" style="97" customWidth="1"/>
    <col min="27" max="27" width="1.625" style="23" customWidth="1"/>
    <col min="28" max="31" width="9.625" style="97" customWidth="1" outlineLevel="1"/>
    <col min="32" max="32" width="11.625" style="97" customWidth="1"/>
    <col min="33" max="33" width="1.625" style="23" customWidth="1"/>
    <col min="34" max="37" width="9.625" style="97" customWidth="1" outlineLevel="1"/>
    <col min="38" max="38" width="11.625" style="97" customWidth="1"/>
    <col min="39" max="39" width="1.625" style="23" customWidth="1"/>
    <col min="40" max="43" width="9.625" style="97" customWidth="1" outlineLevel="1"/>
    <col min="44" max="44" width="11.625" style="97" customWidth="1"/>
    <col min="45" max="45" width="1.625" style="23" customWidth="1"/>
    <col min="46" max="46" width="11.625" style="97" customWidth="1"/>
    <col min="47" max="47" width="1.625" style="23" customWidth="1"/>
    <col min="48" max="48" width="11.625" style="105" customWidth="1"/>
    <col min="49" max="49" width="1.625" style="23" customWidth="1"/>
    <col min="50" max="50" width="11.625" style="97" customWidth="1"/>
    <col min="51" max="51" width="1.625" style="97" customWidth="1"/>
    <col min="52" max="16384" width="9" style="97"/>
  </cols>
  <sheetData>
    <row r="1" spans="1:50" s="468" customFormat="1" ht="15" customHeight="1"/>
    <row r="2" spans="1:50" s="468" customFormat="1" ht="15" customHeight="1"/>
    <row r="3" spans="1:50" s="468" customFormat="1" ht="15" customHeight="1"/>
    <row r="4" spans="1:50" s="468" customFormat="1" ht="15" customHeight="1"/>
    <row r="5" spans="1:50" s="288" customFormat="1" ht="4.3499999999999996" customHeight="1">
      <c r="C5" s="36"/>
      <c r="I5" s="36"/>
      <c r="O5" s="36"/>
      <c r="U5" s="36"/>
      <c r="AA5" s="36"/>
      <c r="AG5" s="36"/>
      <c r="AM5" s="36"/>
      <c r="AS5" s="36"/>
      <c r="AU5" s="36"/>
      <c r="AV5" s="289"/>
      <c r="AW5" s="36"/>
    </row>
    <row r="7" spans="1:50" s="41" customFormat="1" ht="15" customHeight="1">
      <c r="B7" s="161" t="s">
        <v>737</v>
      </c>
      <c r="C7" s="18"/>
      <c r="D7" s="202">
        <f>F7</f>
        <v>2020</v>
      </c>
      <c r="E7" s="202">
        <f>F7</f>
        <v>2020</v>
      </c>
      <c r="F7" s="202">
        <v>2020</v>
      </c>
      <c r="G7" s="202">
        <f>F7</f>
        <v>2020</v>
      </c>
      <c r="H7" s="202">
        <f>F7</f>
        <v>2020</v>
      </c>
      <c r="I7" s="18"/>
      <c r="J7" s="202">
        <f>L7</f>
        <v>2021</v>
      </c>
      <c r="K7" s="202">
        <f>L7</f>
        <v>2021</v>
      </c>
      <c r="L7" s="202">
        <v>2021</v>
      </c>
      <c r="M7" s="202">
        <f>L7</f>
        <v>2021</v>
      </c>
      <c r="N7" s="202">
        <f>L7</f>
        <v>2021</v>
      </c>
      <c r="O7" s="169"/>
      <c r="P7" s="202">
        <f>R7</f>
        <v>2022</v>
      </c>
      <c r="Q7" s="202">
        <f>R7</f>
        <v>2022</v>
      </c>
      <c r="R7" s="202">
        <v>2022</v>
      </c>
      <c r="S7" s="202">
        <f>R7</f>
        <v>2022</v>
      </c>
      <c r="T7" s="202">
        <f>R7</f>
        <v>2022</v>
      </c>
      <c r="U7" s="169"/>
      <c r="V7" s="202">
        <f>X7</f>
        <v>2023</v>
      </c>
      <c r="W7" s="202">
        <f>X7</f>
        <v>2023</v>
      </c>
      <c r="X7" s="202">
        <v>2023</v>
      </c>
      <c r="Y7" s="202">
        <f>X7</f>
        <v>2023</v>
      </c>
      <c r="Z7" s="202">
        <f>X7</f>
        <v>2023</v>
      </c>
      <c r="AA7" s="170"/>
      <c r="AB7" s="202">
        <f>AD7</f>
        <v>2024</v>
      </c>
      <c r="AC7" s="202">
        <f>AD7</f>
        <v>2024</v>
      </c>
      <c r="AD7" s="202">
        <v>2024</v>
      </c>
      <c r="AE7" s="202">
        <f>AD7</f>
        <v>2024</v>
      </c>
      <c r="AF7" s="202">
        <f>AD7</f>
        <v>2024</v>
      </c>
      <c r="AG7" s="170"/>
      <c r="AH7" s="202">
        <f>AJ7</f>
        <v>2025</v>
      </c>
      <c r="AI7" s="202">
        <f>AJ7</f>
        <v>2025</v>
      </c>
      <c r="AJ7" s="203">
        <v>2025</v>
      </c>
      <c r="AK7" s="202">
        <f>AJ7</f>
        <v>2025</v>
      </c>
      <c r="AL7" s="202">
        <f>AJ7</f>
        <v>2025</v>
      </c>
      <c r="AM7" s="171"/>
      <c r="AN7" s="202">
        <f>AP7</f>
        <v>2025</v>
      </c>
      <c r="AO7" s="202">
        <f>AP7</f>
        <v>2025</v>
      </c>
      <c r="AP7" s="203">
        <v>2025</v>
      </c>
      <c r="AQ7" s="202">
        <f>AP7</f>
        <v>2025</v>
      </c>
      <c r="AR7" s="202">
        <f>AP7</f>
        <v>2025</v>
      </c>
      <c r="AS7" s="18"/>
      <c r="AT7" s="162"/>
      <c r="AU7" s="18"/>
      <c r="AV7" s="163"/>
      <c r="AW7" s="18"/>
      <c r="AX7" s="163"/>
    </row>
    <row r="8" spans="1:50" s="41" customFormat="1" ht="15" customHeight="1">
      <c r="B8" s="164"/>
      <c r="C8" s="18"/>
      <c r="D8" s="779">
        <v>2020</v>
      </c>
      <c r="E8" s="779"/>
      <c r="F8" s="779"/>
      <c r="G8" s="779"/>
      <c r="H8" s="779"/>
      <c r="I8" s="169"/>
      <c r="J8" s="779">
        <f>D8+1</f>
        <v>2021</v>
      </c>
      <c r="K8" s="779"/>
      <c r="L8" s="779"/>
      <c r="M8" s="779"/>
      <c r="N8" s="779"/>
      <c r="O8" s="169"/>
      <c r="P8" s="779">
        <f>J8+1</f>
        <v>2022</v>
      </c>
      <c r="Q8" s="779"/>
      <c r="R8" s="779"/>
      <c r="S8" s="779"/>
      <c r="T8" s="779"/>
      <c r="U8" s="169"/>
      <c r="V8" s="779">
        <f>P8+1</f>
        <v>2023</v>
      </c>
      <c r="W8" s="779"/>
      <c r="X8" s="779"/>
      <c r="Y8" s="779"/>
      <c r="Z8" s="779"/>
      <c r="AA8" s="169"/>
      <c r="AB8" s="779">
        <f>V8+1</f>
        <v>2024</v>
      </c>
      <c r="AC8" s="779"/>
      <c r="AD8" s="779"/>
      <c r="AE8" s="779"/>
      <c r="AF8" s="779"/>
      <c r="AG8" s="169"/>
      <c r="AH8" s="777">
        <f>AB8+1</f>
        <v>2025</v>
      </c>
      <c r="AI8" s="777"/>
      <c r="AJ8" s="777"/>
      <c r="AK8" s="777"/>
      <c r="AL8" s="777"/>
      <c r="AM8" s="169"/>
      <c r="AN8" s="777">
        <f>AH8+1</f>
        <v>2026</v>
      </c>
      <c r="AO8" s="777"/>
      <c r="AP8" s="777"/>
      <c r="AQ8" s="777"/>
      <c r="AR8" s="777"/>
      <c r="AS8" s="171"/>
      <c r="AT8" s="166">
        <f>AN8+1</f>
        <v>2027</v>
      </c>
      <c r="AU8" s="167"/>
      <c r="AV8" s="166">
        <f>+AT8+1</f>
        <v>2028</v>
      </c>
      <c r="AW8" s="167"/>
      <c r="AX8" s="166">
        <f>+AV8+1</f>
        <v>2029</v>
      </c>
    </row>
    <row r="9" spans="1:50" s="41" customFormat="1" ht="14.25" customHeight="1">
      <c r="B9" s="164"/>
      <c r="C9" s="18"/>
      <c r="D9" s="168" t="s">
        <v>243</v>
      </c>
      <c r="E9" s="168" t="s">
        <v>244</v>
      </c>
      <c r="F9" s="168" t="s">
        <v>245</v>
      </c>
      <c r="G9" s="168" t="s">
        <v>246</v>
      </c>
      <c r="H9" s="168" t="s">
        <v>247</v>
      </c>
      <c r="I9" s="18"/>
      <c r="J9" s="168" t="s">
        <v>243</v>
      </c>
      <c r="K9" s="168" t="s">
        <v>244</v>
      </c>
      <c r="L9" s="168" t="s">
        <v>245</v>
      </c>
      <c r="M9" s="168" t="s">
        <v>246</v>
      </c>
      <c r="N9" s="168" t="s">
        <v>247</v>
      </c>
      <c r="O9" s="165"/>
      <c r="P9" s="168" t="s">
        <v>243</v>
      </c>
      <c r="Q9" s="168" t="s">
        <v>244</v>
      </c>
      <c r="R9" s="168" t="s">
        <v>245</v>
      </c>
      <c r="S9" s="168" t="s">
        <v>246</v>
      </c>
      <c r="T9" s="168" t="s">
        <v>247</v>
      </c>
      <c r="U9" s="165"/>
      <c r="V9" s="168" t="s">
        <v>243</v>
      </c>
      <c r="W9" s="168" t="s">
        <v>244</v>
      </c>
      <c r="X9" s="168" t="s">
        <v>245</v>
      </c>
      <c r="Y9" s="168" t="s">
        <v>246</v>
      </c>
      <c r="Z9" s="168" t="s">
        <v>247</v>
      </c>
      <c r="AA9" s="165"/>
      <c r="AB9" s="168" t="s">
        <v>243</v>
      </c>
      <c r="AC9" s="168" t="s">
        <v>244</v>
      </c>
      <c r="AD9" s="168" t="s">
        <v>245</v>
      </c>
      <c r="AE9" s="168" t="s">
        <v>246</v>
      </c>
      <c r="AF9" s="168" t="s">
        <v>247</v>
      </c>
      <c r="AG9" s="165"/>
      <c r="AH9" s="168" t="s">
        <v>243</v>
      </c>
      <c r="AI9" s="168" t="s">
        <v>244</v>
      </c>
      <c r="AJ9" s="168" t="s">
        <v>245</v>
      </c>
      <c r="AK9" s="168" t="s">
        <v>246</v>
      </c>
      <c r="AL9" s="168" t="s">
        <v>247</v>
      </c>
      <c r="AM9" s="165"/>
      <c r="AN9" s="168" t="s">
        <v>243</v>
      </c>
      <c r="AO9" s="168" t="s">
        <v>244</v>
      </c>
      <c r="AP9" s="168" t="s">
        <v>245</v>
      </c>
      <c r="AQ9" s="168" t="s">
        <v>246</v>
      </c>
      <c r="AR9" s="168" t="s">
        <v>247</v>
      </c>
      <c r="AS9" s="165"/>
      <c r="AT9" s="168" t="s">
        <v>247</v>
      </c>
      <c r="AU9" s="165"/>
      <c r="AV9" s="168" t="s">
        <v>247</v>
      </c>
      <c r="AW9" s="165"/>
      <c r="AX9" s="168" t="s">
        <v>247</v>
      </c>
    </row>
    <row r="10" spans="1:50" s="41" customFormat="1" ht="4.3499999999999996" customHeight="1">
      <c r="A10" s="43"/>
      <c r="B10" s="176"/>
      <c r="C10" s="35"/>
      <c r="D10" s="177"/>
      <c r="E10" s="177"/>
      <c r="F10" s="177"/>
      <c r="G10" s="177"/>
      <c r="H10" s="177"/>
      <c r="I10" s="35"/>
      <c r="J10" s="177"/>
      <c r="K10" s="177"/>
      <c r="L10" s="177"/>
      <c r="M10" s="177"/>
      <c r="N10" s="177"/>
      <c r="O10" s="178"/>
      <c r="P10" s="177"/>
      <c r="Q10" s="177"/>
      <c r="R10" s="177"/>
      <c r="S10" s="177"/>
      <c r="T10" s="177"/>
      <c r="U10" s="178"/>
      <c r="V10" s="177"/>
      <c r="W10" s="177"/>
      <c r="X10" s="177"/>
      <c r="Y10" s="177"/>
      <c r="Z10" s="177"/>
      <c r="AA10" s="178"/>
      <c r="AB10" s="177"/>
      <c r="AC10" s="177"/>
      <c r="AD10" s="177"/>
      <c r="AE10" s="177"/>
      <c r="AF10" s="177"/>
      <c r="AG10" s="178"/>
      <c r="AH10" s="177"/>
      <c r="AI10" s="177"/>
      <c r="AJ10" s="177"/>
      <c r="AK10" s="177"/>
      <c r="AL10" s="179"/>
      <c r="AM10" s="180"/>
      <c r="AN10" s="179"/>
      <c r="AO10" s="179"/>
      <c r="AP10" s="179"/>
      <c r="AQ10" s="179"/>
      <c r="AR10" s="179"/>
      <c r="AS10" s="180"/>
      <c r="AT10" s="179"/>
      <c r="AU10" s="180"/>
      <c r="AV10" s="179"/>
      <c r="AW10" s="180"/>
      <c r="AX10" s="179"/>
    </row>
    <row r="11" spans="1:50" s="41" customFormat="1" ht="4.3499999999999996" customHeight="1">
      <c r="A11" s="43"/>
      <c r="B11" s="172"/>
      <c r="C11" s="19"/>
      <c r="D11" s="173"/>
      <c r="E11" s="173"/>
      <c r="F11" s="173"/>
      <c r="G11" s="173"/>
      <c r="H11" s="173"/>
      <c r="I11" s="19"/>
      <c r="J11" s="173"/>
      <c r="K11" s="173"/>
      <c r="L11" s="173"/>
      <c r="M11" s="173"/>
      <c r="N11" s="173"/>
      <c r="O11" s="174"/>
      <c r="P11" s="173"/>
      <c r="Q11" s="173"/>
      <c r="R11" s="173"/>
      <c r="S11" s="173"/>
      <c r="T11" s="173"/>
      <c r="U11" s="174"/>
      <c r="V11" s="173"/>
      <c r="W11" s="173"/>
      <c r="X11" s="173"/>
      <c r="Y11" s="173"/>
      <c r="Z11" s="173"/>
      <c r="AA11" s="174"/>
      <c r="AB11" s="173"/>
      <c r="AC11" s="173"/>
      <c r="AD11" s="173"/>
      <c r="AE11" s="173"/>
      <c r="AF11" s="173"/>
      <c r="AG11" s="204"/>
      <c r="AH11" s="173"/>
      <c r="AI11" s="173"/>
      <c r="AJ11" s="173"/>
      <c r="AK11" s="173"/>
      <c r="AL11" s="175"/>
      <c r="AM11" s="34"/>
      <c r="AN11" s="175"/>
      <c r="AO11" s="175"/>
      <c r="AP11" s="175"/>
      <c r="AQ11" s="175"/>
      <c r="AR11" s="175"/>
      <c r="AS11" s="34"/>
      <c r="AT11" s="175"/>
      <c r="AU11" s="34"/>
      <c r="AV11" s="175"/>
      <c r="AW11" s="34"/>
      <c r="AX11" s="175"/>
    </row>
    <row r="12" spans="1:50" ht="14.25" customHeight="1">
      <c r="A12" s="44" t="s">
        <v>37</v>
      </c>
      <c r="B12" s="65" t="s">
        <v>629</v>
      </c>
      <c r="D12" s="208"/>
      <c r="E12" s="208"/>
      <c r="F12" s="208"/>
      <c r="G12" s="208"/>
      <c r="H12" s="209"/>
      <c r="I12" s="210"/>
      <c r="J12" s="208"/>
      <c r="K12" s="208"/>
      <c r="L12" s="208"/>
      <c r="M12" s="208"/>
      <c r="N12" s="209"/>
      <c r="O12" s="209"/>
      <c r="P12" s="208"/>
      <c r="Q12" s="208"/>
      <c r="R12" s="208"/>
      <c r="S12" s="208"/>
      <c r="T12" s="209"/>
      <c r="U12" s="209"/>
      <c r="V12" s="208"/>
      <c r="W12" s="208"/>
      <c r="X12" s="208"/>
      <c r="Y12" s="208"/>
      <c r="Z12" s="209"/>
      <c r="AA12" s="209"/>
      <c r="AB12" s="208"/>
      <c r="AC12" s="208"/>
      <c r="AD12" s="208"/>
      <c r="AE12" s="208"/>
      <c r="AF12" s="209"/>
      <c r="AG12" s="211"/>
      <c r="AH12" s="208"/>
      <c r="AI12" s="208"/>
      <c r="AJ12" s="212"/>
      <c r="AK12" s="212"/>
      <c r="AL12" s="209"/>
      <c r="AM12" s="213"/>
      <c r="AN12" s="212"/>
      <c r="AO12" s="212"/>
      <c r="AP12" s="212"/>
      <c r="AQ12" s="212"/>
      <c r="AR12" s="209"/>
      <c r="AS12" s="213"/>
      <c r="AT12" s="214"/>
      <c r="AU12" s="215"/>
      <c r="AV12" s="214"/>
      <c r="AW12" s="215"/>
      <c r="AX12" s="214"/>
    </row>
    <row r="13" spans="1:50" ht="14.25" customHeight="1">
      <c r="A13" s="55"/>
      <c r="B13" s="70" t="s">
        <v>630</v>
      </c>
      <c r="D13" s="208"/>
      <c r="E13" s="208"/>
      <c r="F13" s="208"/>
      <c r="G13" s="208"/>
      <c r="H13" s="209" t="str">
        <f>IF(ROUND(SUM(IS!D13:G13),1)=ROUND(IS!H13,1),"OK","ERROR")</f>
        <v>OK</v>
      </c>
      <c r="I13" s="210"/>
      <c r="J13" s="208"/>
      <c r="K13" s="208"/>
      <c r="L13" s="208"/>
      <c r="M13" s="208"/>
      <c r="N13" s="209" t="str">
        <f>IF(ROUND(SUM(IS!J13:M13),1)=ROUND(IS!N13,1),"OK","ERROR")</f>
        <v>OK</v>
      </c>
      <c r="O13" s="209"/>
      <c r="P13" s="208"/>
      <c r="Q13" s="208"/>
      <c r="R13" s="208"/>
      <c r="S13" s="208"/>
      <c r="T13" s="209" t="str">
        <f>IF(ROUND(SUM(IS!P13:S13),1)=ROUND(IS!T13,1),"OK","ERROR")</f>
        <v>OK</v>
      </c>
      <c r="U13" s="209"/>
      <c r="V13" s="208"/>
      <c r="W13" s="208"/>
      <c r="X13" s="208"/>
      <c r="Y13" s="208"/>
      <c r="Z13" s="209" t="str">
        <f>IF(ROUND(SUM(IS!V13:Y13),1)=ROUND(IS!Z13,1),"OK","ERROR")</f>
        <v>OK</v>
      </c>
      <c r="AA13" s="209"/>
      <c r="AB13" s="208"/>
      <c r="AC13" s="208"/>
      <c r="AD13" s="208"/>
      <c r="AE13" s="208"/>
      <c r="AF13" s="209" t="str">
        <f>IF(ROUND(SUM(IS!AB13:AE13),1)=ROUND(IS!AF13,1),"OK","ERROR")</f>
        <v>OK</v>
      </c>
      <c r="AG13" s="211"/>
      <c r="AH13" s="208"/>
      <c r="AI13" s="208"/>
      <c r="AJ13" s="212"/>
      <c r="AK13" s="212"/>
      <c r="AL13" s="209" t="str">
        <f>IF(ROUND(SUM(IS!AH13:AK13),1)=ROUND(IS!AL13,1),"OK","ERROR")</f>
        <v>OK</v>
      </c>
      <c r="AM13" s="213"/>
      <c r="AN13" s="212"/>
      <c r="AO13" s="212"/>
      <c r="AP13" s="212"/>
      <c r="AQ13" s="212"/>
      <c r="AR13" s="209" t="str">
        <f>IF(ROUND(SUM(IS!AN13:AQ13),1)=ROUND(IS!AR13,1),"OK","ERROR")</f>
        <v>OK</v>
      </c>
      <c r="AS13" s="213"/>
      <c r="AT13" s="209"/>
      <c r="AU13" s="215"/>
      <c r="AV13" s="209"/>
      <c r="AW13" s="215"/>
      <c r="AX13" s="209"/>
    </row>
    <row r="14" spans="1:50" ht="14.25" customHeight="1">
      <c r="A14" s="55"/>
      <c r="B14" s="70" t="s">
        <v>631</v>
      </c>
      <c r="D14" s="208"/>
      <c r="E14" s="208"/>
      <c r="F14" s="208"/>
      <c r="G14" s="208"/>
      <c r="H14" s="209" t="str">
        <f>IF(ROUND(SUM(IS!D14:G14),1)=ROUND(IS!H14,1),"OK","ERROR")</f>
        <v>OK</v>
      </c>
      <c r="I14" s="210"/>
      <c r="J14" s="208"/>
      <c r="K14" s="208"/>
      <c r="L14" s="208"/>
      <c r="M14" s="208"/>
      <c r="N14" s="209" t="str">
        <f>IF(ROUND(SUM(IS!J14:M14),1)=ROUND(IS!N14,1),"OK","ERROR")</f>
        <v>OK</v>
      </c>
      <c r="O14" s="209"/>
      <c r="P14" s="208"/>
      <c r="Q14" s="208"/>
      <c r="R14" s="208"/>
      <c r="S14" s="208"/>
      <c r="T14" s="209" t="str">
        <f>IF(ROUND(SUM(IS!P14:S14),1)=ROUND(IS!T14,1),"OK","ERROR")</f>
        <v>OK</v>
      </c>
      <c r="U14" s="209"/>
      <c r="V14" s="208"/>
      <c r="W14" s="208"/>
      <c r="X14" s="208"/>
      <c r="Y14" s="208"/>
      <c r="Z14" s="209" t="str">
        <f>IF(ROUND(SUM(IS!V14:Y14),1)=ROUND(IS!Z14,1),"OK","ERROR")</f>
        <v>OK</v>
      </c>
      <c r="AA14" s="209"/>
      <c r="AB14" s="208"/>
      <c r="AC14" s="208"/>
      <c r="AD14" s="208"/>
      <c r="AE14" s="208"/>
      <c r="AF14" s="209" t="str">
        <f>IF(ROUND(SUM(IS!AB14:AE14),1)=ROUND(IS!AF14,1),"OK","ERROR")</f>
        <v>OK</v>
      </c>
      <c r="AG14" s="211"/>
      <c r="AH14" s="208"/>
      <c r="AI14" s="208"/>
      <c r="AJ14" s="212"/>
      <c r="AK14" s="212"/>
      <c r="AL14" s="209" t="str">
        <f>IF(ROUND(SUM(IS!AH14:AK14),1)=ROUND(IS!AL14,1),"OK","ERROR")</f>
        <v>OK</v>
      </c>
      <c r="AM14" s="213"/>
      <c r="AN14" s="212"/>
      <c r="AO14" s="212"/>
      <c r="AP14" s="212"/>
      <c r="AQ14" s="212"/>
      <c r="AR14" s="209" t="str">
        <f>IF(ROUND(SUM(IS!AN14:AQ14),1)=ROUND(IS!AR14,1),"OK","ERROR")</f>
        <v>OK</v>
      </c>
      <c r="AS14" s="213"/>
      <c r="AT14" s="209"/>
      <c r="AU14" s="215"/>
      <c r="AV14" s="209"/>
      <c r="AW14" s="215"/>
      <c r="AX14" s="209"/>
    </row>
    <row r="15" spans="1:50" ht="14.25" customHeight="1">
      <c r="A15" s="55"/>
      <c r="B15" s="70" t="s">
        <v>632</v>
      </c>
      <c r="D15" s="208"/>
      <c r="E15" s="208"/>
      <c r="F15" s="208"/>
      <c r="G15" s="208"/>
      <c r="H15" s="209" t="str">
        <f>IF(ROUND(SUM(IS!D15:G15),1)=ROUND(IS!H15,1),"OK","ERROR")</f>
        <v>OK</v>
      </c>
      <c r="I15" s="210"/>
      <c r="J15" s="208"/>
      <c r="K15" s="208"/>
      <c r="L15" s="208"/>
      <c r="M15" s="208"/>
      <c r="N15" s="209" t="str">
        <f>IF(ROUND(SUM(IS!J15:M15),1)=ROUND(IS!N15,1),"OK","ERROR")</f>
        <v>OK</v>
      </c>
      <c r="O15" s="209"/>
      <c r="P15" s="208"/>
      <c r="Q15" s="208"/>
      <c r="R15" s="208"/>
      <c r="S15" s="208"/>
      <c r="T15" s="209" t="str">
        <f>IF(ROUND(SUM(IS!P15:S15),1)=ROUND(IS!T15,1),"OK","ERROR")</f>
        <v>OK</v>
      </c>
      <c r="U15" s="209"/>
      <c r="V15" s="208"/>
      <c r="W15" s="208"/>
      <c r="X15" s="208"/>
      <c r="Y15" s="208"/>
      <c r="Z15" s="209" t="str">
        <f>IF(ROUND(SUM(IS!V15:Y15),1)=ROUND(IS!Z15,1),"OK","ERROR")</f>
        <v>OK</v>
      </c>
      <c r="AA15" s="209"/>
      <c r="AB15" s="208"/>
      <c r="AC15" s="208"/>
      <c r="AD15" s="208"/>
      <c r="AE15" s="208"/>
      <c r="AF15" s="209" t="str">
        <f>IF(ROUND(SUM(IS!AB15:AE15),1)=ROUND(IS!AF15,1),"OK","ERROR")</f>
        <v>OK</v>
      </c>
      <c r="AG15" s="211"/>
      <c r="AH15" s="208"/>
      <c r="AI15" s="208"/>
      <c r="AJ15" s="212"/>
      <c r="AK15" s="212"/>
      <c r="AL15" s="209" t="str">
        <f>IF(ROUND(SUM(IS!AH15:AK15),1)=ROUND(IS!AL15,1),"OK","ERROR")</f>
        <v>OK</v>
      </c>
      <c r="AM15" s="213"/>
      <c r="AN15" s="212"/>
      <c r="AO15" s="212"/>
      <c r="AP15" s="212"/>
      <c r="AQ15" s="212"/>
      <c r="AR15" s="209" t="str">
        <f>IF(ROUND(SUM(IS!AN15:AQ15),1)=ROUND(IS!AR15,1),"OK","ERROR")</f>
        <v>OK</v>
      </c>
      <c r="AS15" s="213"/>
      <c r="AT15" s="209"/>
      <c r="AU15" s="215"/>
      <c r="AV15" s="209"/>
      <c r="AW15" s="215"/>
      <c r="AX15" s="209"/>
    </row>
    <row r="16" spans="1:50" ht="14.25" customHeight="1">
      <c r="A16" s="55"/>
      <c r="B16" s="70" t="s">
        <v>633</v>
      </c>
      <c r="D16" s="208"/>
      <c r="E16" s="208"/>
      <c r="F16" s="208"/>
      <c r="G16" s="208"/>
      <c r="H16" s="216" t="str">
        <f>IF(ROUND(SUM(IS!D16:G16),1)=ROUND(IS!H16,1),"OK","ERROR")</f>
        <v>OK</v>
      </c>
      <c r="I16" s="210"/>
      <c r="J16" s="208"/>
      <c r="K16" s="208"/>
      <c r="L16" s="208"/>
      <c r="M16" s="208"/>
      <c r="N16" s="216" t="str">
        <f>IF(ROUND(SUM(IS!J16:M16),1)=ROUND(IS!N16,1),"OK","ERROR")</f>
        <v>OK</v>
      </c>
      <c r="O16" s="216"/>
      <c r="P16" s="208"/>
      <c r="Q16" s="208"/>
      <c r="R16" s="208"/>
      <c r="S16" s="208"/>
      <c r="T16" s="216" t="str">
        <f>IF(ROUND(SUM(IS!P16:S16),1)=ROUND(IS!T16,1),"OK","ERROR")</f>
        <v>OK</v>
      </c>
      <c r="U16" s="216"/>
      <c r="V16" s="208"/>
      <c r="W16" s="208"/>
      <c r="X16" s="208"/>
      <c r="Y16" s="208"/>
      <c r="Z16" s="216" t="str">
        <f>IF(ROUND(SUM(IS!V16:Y16),1)=ROUND(IS!Z16,1),"OK","ERROR")</f>
        <v>OK</v>
      </c>
      <c r="AA16" s="216"/>
      <c r="AB16" s="208"/>
      <c r="AC16" s="208"/>
      <c r="AD16" s="208"/>
      <c r="AE16" s="208"/>
      <c r="AF16" s="216" t="str">
        <f>IF(ROUND(SUM(IS!AB16:AE16),1)=ROUND(IS!AF16,1),"OK","ERROR")</f>
        <v>OK</v>
      </c>
      <c r="AG16" s="211"/>
      <c r="AH16" s="208"/>
      <c r="AI16" s="208"/>
      <c r="AJ16" s="212"/>
      <c r="AK16" s="212"/>
      <c r="AL16" s="216" t="str">
        <f>IF(ROUND(SUM(IS!AH16:AK16),1)=ROUND(IS!AL16,1),"OK","ERROR")</f>
        <v>OK</v>
      </c>
      <c r="AM16" s="213"/>
      <c r="AN16" s="212"/>
      <c r="AO16" s="212"/>
      <c r="AP16" s="212"/>
      <c r="AQ16" s="212"/>
      <c r="AR16" s="216" t="str">
        <f>IF(ROUND(SUM(IS!AN16:AQ16),1)=ROUND(IS!AR16,1),"OK","ERROR")</f>
        <v>OK</v>
      </c>
      <c r="AS16" s="213"/>
      <c r="AT16" s="216"/>
      <c r="AU16" s="215"/>
      <c r="AV16" s="216"/>
      <c r="AW16" s="215"/>
      <c r="AX16" s="216"/>
    </row>
    <row r="17" spans="1:44" ht="14.25" customHeight="1">
      <c r="A17" s="55"/>
      <c r="B17" s="70" t="s">
        <v>634</v>
      </c>
      <c r="D17" s="208"/>
      <c r="E17" s="208"/>
      <c r="F17" s="208"/>
      <c r="G17" s="208"/>
      <c r="H17" s="216" t="str">
        <f>IF(ROUND(SUM(IS!D17:G17),1)=ROUND(IS!H17,1),"OK","ERROR")</f>
        <v>OK</v>
      </c>
      <c r="I17" s="210"/>
      <c r="J17" s="208"/>
      <c r="K17" s="208"/>
      <c r="L17" s="208"/>
      <c r="M17" s="208"/>
      <c r="N17" s="216" t="str">
        <f>IF(ROUND(SUM(IS!J17:M17),1)=ROUND(IS!N17,1),"OK","ERROR")</f>
        <v>OK</v>
      </c>
      <c r="O17" s="216"/>
      <c r="P17" s="208"/>
      <c r="Q17" s="208"/>
      <c r="R17" s="208"/>
      <c r="S17" s="208"/>
      <c r="T17" s="216" t="str">
        <f>IF(ROUND(SUM(IS!P17:S17),1)=ROUND(IS!T17,1),"OK","ERROR")</f>
        <v>OK</v>
      </c>
      <c r="U17" s="216"/>
      <c r="V17" s="208"/>
      <c r="W17" s="208"/>
      <c r="X17" s="208"/>
      <c r="Y17" s="208"/>
      <c r="Z17" s="216" t="str">
        <f>IF(ROUND(SUM(IS!V17:Y17),1)=ROUND(IS!Z17,1),"OK","ERROR")</f>
        <v>OK</v>
      </c>
      <c r="AA17" s="216"/>
      <c r="AB17" s="208"/>
      <c r="AC17" s="208"/>
      <c r="AD17" s="208"/>
      <c r="AE17" s="208"/>
      <c r="AF17" s="216" t="str">
        <f>IF(ROUND(SUM(IS!AB17:AE17),1)=ROUND(IS!AF17,1),"OK","ERROR")</f>
        <v>OK</v>
      </c>
      <c r="AG17" s="211"/>
      <c r="AH17" s="208"/>
      <c r="AI17" s="208"/>
      <c r="AJ17" s="212"/>
      <c r="AK17" s="212"/>
      <c r="AL17" s="216" t="str">
        <f>IF(ROUND(SUM(IS!AH17:AK17),1)=ROUND(IS!AL17,1),"OK","ERROR")</f>
        <v>OK</v>
      </c>
      <c r="AM17" s="213"/>
      <c r="AN17" s="212"/>
      <c r="AO17" s="212"/>
      <c r="AP17" s="212"/>
      <c r="AQ17" s="212"/>
      <c r="AR17" s="216" t="str">
        <f>IF(ROUND(SUM(IS!AN17:AQ17),1)=ROUND(IS!AR17,1),"OK","ERROR")</f>
        <v>OK</v>
      </c>
    </row>
    <row r="18" spans="1:44" ht="14.25" customHeight="1">
      <c r="A18" s="55"/>
      <c r="B18" s="76" t="s">
        <v>255</v>
      </c>
      <c r="D18" s="217"/>
      <c r="E18" s="217"/>
      <c r="F18" s="217" t="s">
        <v>738</v>
      </c>
      <c r="G18" s="217"/>
      <c r="H18" s="218" t="str">
        <f>IF(ROUND(SUM(IS!D18:G18),1)=ROUND(IS!H18,1),"OK","ERROR")</f>
        <v>OK</v>
      </c>
      <c r="I18" s="210"/>
      <c r="J18" s="217"/>
      <c r="K18" s="217"/>
      <c r="L18" s="217"/>
      <c r="M18" s="217"/>
      <c r="N18" s="218" t="str">
        <f>IF(ROUND(SUM(IS!J18:M18),1)=ROUND(IS!N18,1),"OK","ERROR")</f>
        <v>OK</v>
      </c>
      <c r="O18" s="209"/>
      <c r="P18" s="217"/>
      <c r="Q18" s="217"/>
      <c r="R18" s="217"/>
      <c r="S18" s="217"/>
      <c r="T18" s="218" t="str">
        <f>IF(ROUND(SUM(IS!P18:S18),1)=ROUND(IS!T18,1),"OK","ERROR")</f>
        <v>OK</v>
      </c>
      <c r="U18" s="209"/>
      <c r="V18" s="217"/>
      <c r="W18" s="217"/>
      <c r="X18" s="217"/>
      <c r="Y18" s="217"/>
      <c r="Z18" s="218" t="str">
        <f>IF(ROUND(SUM(IS!V18:Y18),1)=ROUND(IS!Z18,1),"OK","ERROR")</f>
        <v>OK</v>
      </c>
      <c r="AA18" s="209"/>
      <c r="AB18" s="217"/>
      <c r="AC18" s="217"/>
      <c r="AD18" s="217"/>
      <c r="AE18" s="217"/>
      <c r="AF18" s="218" t="str">
        <f>IF(ROUND(SUM(IS!AB18:AE18),1)=ROUND(IS!AF18,1),"OK","ERROR")</f>
        <v>OK</v>
      </c>
      <c r="AG18" s="211"/>
      <c r="AH18" s="217"/>
      <c r="AI18" s="217"/>
      <c r="AJ18" s="219"/>
      <c r="AK18" s="219"/>
      <c r="AL18" s="218" t="str">
        <f>IF(ROUND(SUM(IS!AH18:AK18),1)=ROUND(IS!AL18,1),"OK","ERROR")</f>
        <v>ERROR</v>
      </c>
      <c r="AM18" s="213"/>
      <c r="AN18" s="219"/>
      <c r="AO18" s="219"/>
      <c r="AP18" s="219"/>
      <c r="AQ18" s="219"/>
      <c r="AR18" s="218" t="str">
        <f>IF(ROUND(SUM(IS!AN18:AQ18),1)=ROUND(IS!AR18,1),"OK","ERROR")</f>
        <v>OK</v>
      </c>
    </row>
    <row r="19" spans="1:44" ht="14.25" customHeight="1">
      <c r="A19" s="55"/>
      <c r="B19" s="64"/>
      <c r="D19" s="208"/>
      <c r="E19" s="208"/>
      <c r="F19" s="208"/>
      <c r="G19" s="208"/>
      <c r="H19" s="209"/>
      <c r="I19" s="210"/>
      <c r="J19" s="208"/>
      <c r="K19" s="208"/>
      <c r="L19" s="208"/>
      <c r="M19" s="208"/>
      <c r="N19" s="209"/>
      <c r="O19" s="209"/>
      <c r="P19" s="208"/>
      <c r="Q19" s="208"/>
      <c r="R19" s="208"/>
      <c r="S19" s="208"/>
      <c r="T19" s="209"/>
      <c r="U19" s="209"/>
      <c r="V19" s="208"/>
      <c r="W19" s="208"/>
      <c r="X19" s="208"/>
      <c r="Y19" s="208"/>
      <c r="Z19" s="209"/>
      <c r="AA19" s="209"/>
      <c r="AB19" s="208"/>
      <c r="AC19" s="208"/>
      <c r="AD19" s="208"/>
      <c r="AE19" s="208"/>
      <c r="AF19" s="209"/>
      <c r="AG19" s="211"/>
      <c r="AH19" s="208"/>
      <c r="AI19" s="208"/>
      <c r="AJ19" s="212"/>
      <c r="AK19" s="212"/>
      <c r="AL19" s="209"/>
      <c r="AM19" s="213"/>
      <c r="AN19" s="212"/>
      <c r="AO19" s="212"/>
      <c r="AP19" s="212"/>
      <c r="AQ19" s="212"/>
      <c r="AR19" s="209"/>
    </row>
    <row r="20" spans="1:44" ht="14.25" customHeight="1">
      <c r="A20" s="44" t="s">
        <v>37</v>
      </c>
      <c r="B20" s="65" t="s">
        <v>635</v>
      </c>
      <c r="D20" s="208"/>
      <c r="E20" s="208"/>
      <c r="F20" s="208"/>
      <c r="G20" s="208"/>
      <c r="H20" s="220"/>
      <c r="I20" s="210"/>
      <c r="J20" s="208"/>
      <c r="K20" s="208"/>
      <c r="L20" s="208"/>
      <c r="M20" s="208"/>
      <c r="N20" s="220"/>
      <c r="O20" s="210"/>
      <c r="P20" s="208"/>
      <c r="Q20" s="208"/>
      <c r="R20" s="208"/>
      <c r="S20" s="208"/>
      <c r="T20" s="220"/>
      <c r="U20" s="210"/>
      <c r="V20" s="208"/>
      <c r="W20" s="208"/>
      <c r="X20" s="208"/>
      <c r="Y20" s="208"/>
      <c r="Z20" s="220"/>
      <c r="AA20" s="213"/>
      <c r="AB20" s="208"/>
      <c r="AC20" s="208"/>
      <c r="AD20" s="208"/>
      <c r="AE20" s="208"/>
      <c r="AF20" s="220"/>
      <c r="AG20" s="211"/>
      <c r="AH20" s="208"/>
      <c r="AI20" s="208"/>
      <c r="AJ20" s="212"/>
      <c r="AK20" s="212"/>
      <c r="AL20" s="220"/>
      <c r="AM20" s="221"/>
      <c r="AN20" s="212"/>
      <c r="AO20" s="212"/>
      <c r="AP20" s="212"/>
      <c r="AQ20" s="212"/>
      <c r="AR20" s="220"/>
    </row>
    <row r="21" spans="1:44" ht="14.25" customHeight="1">
      <c r="A21" s="55"/>
      <c r="B21" s="70" t="s">
        <v>636</v>
      </c>
      <c r="D21" s="217"/>
      <c r="E21" s="217"/>
      <c r="F21" s="217"/>
      <c r="G21" s="217"/>
      <c r="H21" s="220" t="str">
        <f>IF(ROUND(SUM(IS!D21:G21),1)=ROUND(IS!H21,1),"OK","ERROR")</f>
        <v>OK</v>
      </c>
      <c r="I21" s="210"/>
      <c r="J21" s="217"/>
      <c r="K21" s="217"/>
      <c r="L21" s="217"/>
      <c r="M21" s="217"/>
      <c r="N21" s="220" t="str">
        <f>IF(ROUND(SUM(IS!J21:M21),1)=ROUND(IS!N21,1),"OK","ERROR")</f>
        <v>OK</v>
      </c>
      <c r="O21" s="210"/>
      <c r="P21" s="217"/>
      <c r="Q21" s="217"/>
      <c r="R21" s="217"/>
      <c r="S21" s="217"/>
      <c r="T21" s="220" t="str">
        <f>IF(ROUND(SUM(IS!P21:S21),1)=ROUND(IS!T21,1),"OK","ERROR")</f>
        <v>OK</v>
      </c>
      <c r="U21" s="210"/>
      <c r="V21" s="217"/>
      <c r="W21" s="217"/>
      <c r="X21" s="217"/>
      <c r="Y21" s="217"/>
      <c r="Z21" s="220" t="str">
        <f>IF(ROUND(SUM(IS!V21:Y21),1)=ROUND(IS!Z21,1),"OK","ERROR")</f>
        <v>OK</v>
      </c>
      <c r="AA21" s="213"/>
      <c r="AB21" s="217"/>
      <c r="AC21" s="217"/>
      <c r="AD21" s="217"/>
      <c r="AE21" s="217"/>
      <c r="AF21" s="220" t="str">
        <f>IF(ROUND(SUM(IS!AB21:AE21),1)=ROUND(IS!AF21,1),"OK","ERROR")</f>
        <v>OK</v>
      </c>
      <c r="AG21" s="211"/>
      <c r="AH21" s="217"/>
      <c r="AI21" s="217"/>
      <c r="AJ21" s="212"/>
      <c r="AK21" s="212"/>
      <c r="AL21" s="220" t="str">
        <f>IF(ROUND(SUM(IS!AH21:AK21),1)=ROUND(IS!AL21,1),"OK","ERROR")</f>
        <v>ERROR</v>
      </c>
      <c r="AM21" s="224"/>
      <c r="AN21" s="212"/>
      <c r="AO21" s="212"/>
      <c r="AP21" s="212"/>
      <c r="AQ21" s="212"/>
      <c r="AR21" s="220" t="str">
        <f>IF(ROUND(SUM(IS!AN21:AQ21),1)=ROUND(IS!AR21,1),"OK","ERROR")</f>
        <v>OK</v>
      </c>
    </row>
    <row r="22" spans="1:44" ht="14.25" customHeight="1">
      <c r="A22" s="73"/>
      <c r="B22" s="70" t="s">
        <v>637</v>
      </c>
      <c r="D22" s="217"/>
      <c r="E22" s="208"/>
      <c r="F22" s="208"/>
      <c r="G22" s="208"/>
      <c r="H22" s="226" t="str">
        <f>IF(ROUND(SUM(IS!D22:G22),1)=ROUND(IS!H22,1),"OK","ERROR")</f>
        <v>OK</v>
      </c>
      <c r="I22" s="210"/>
      <c r="J22" s="217"/>
      <c r="K22" s="217"/>
      <c r="L22" s="217"/>
      <c r="M22" s="217"/>
      <c r="N22" s="226" t="str">
        <f>IF(ROUND(SUM(IS!J22:M22),1)=ROUND(IS!N22,1),"OK","ERROR")</f>
        <v>OK</v>
      </c>
      <c r="O22" s="210"/>
      <c r="P22" s="217"/>
      <c r="Q22" s="217"/>
      <c r="R22" s="217"/>
      <c r="S22" s="217"/>
      <c r="T22" s="226" t="str">
        <f>IF(ROUND(SUM(IS!P22:S22),1)=ROUND(IS!T22,1),"OK","ERROR")</f>
        <v>OK</v>
      </c>
      <c r="U22" s="210"/>
      <c r="V22" s="217"/>
      <c r="W22" s="217"/>
      <c r="X22" s="217"/>
      <c r="Y22" s="217"/>
      <c r="Z22" s="226" t="str">
        <f>IF(ROUND(SUM(IS!V22:Y22),1)=ROUND(IS!Z22,1),"OK","ERROR")</f>
        <v>OK</v>
      </c>
      <c r="AA22" s="213"/>
      <c r="AB22" s="217"/>
      <c r="AC22" s="217"/>
      <c r="AD22" s="217"/>
      <c r="AE22" s="217"/>
      <c r="AF22" s="226" t="str">
        <f>IF(ROUND(SUM(IS!AB22:AE22),1)=ROUND(IS!AF22,1),"OK","ERROR")</f>
        <v>OK</v>
      </c>
      <c r="AG22" s="211"/>
      <c r="AH22" s="217"/>
      <c r="AI22" s="217"/>
      <c r="AJ22" s="212"/>
      <c r="AK22" s="212"/>
      <c r="AL22" s="226" t="str">
        <f>IF(ROUND(SUM(IS!AH22:AK22),1)=ROUND(IS!AL22,1),"OK","ERROR")</f>
        <v>ERROR</v>
      </c>
      <c r="AM22" s="224"/>
      <c r="AN22" s="212"/>
      <c r="AO22" s="212"/>
      <c r="AP22" s="212"/>
      <c r="AQ22" s="212"/>
      <c r="AR22" s="226" t="str">
        <f>IF(ROUND(SUM(IS!AN22:AQ22),1)=ROUND(IS!AR22,1),"OK","ERROR")</f>
        <v>OK</v>
      </c>
    </row>
    <row r="23" spans="1:44" ht="14.25" customHeight="1">
      <c r="A23" s="55"/>
      <c r="B23" s="76" t="s">
        <v>638</v>
      </c>
      <c r="D23" s="208"/>
      <c r="E23" s="208"/>
      <c r="F23" s="208"/>
      <c r="G23" s="208"/>
      <c r="H23" s="227" t="str">
        <f>IF(ROUND(SUM(IS!D23:G23),1)=ROUND(IS!H23,1),"OK","ERROR")</f>
        <v>OK</v>
      </c>
      <c r="I23" s="210"/>
      <c r="J23" s="208"/>
      <c r="K23" s="208"/>
      <c r="L23" s="208"/>
      <c r="M23" s="208"/>
      <c r="N23" s="227" t="str">
        <f>IF(ROUND(SUM(IS!J23:M23),1)=ROUND(IS!N23,1),"OK","ERROR")</f>
        <v>OK</v>
      </c>
      <c r="O23" s="210"/>
      <c r="P23" s="208"/>
      <c r="Q23" s="208"/>
      <c r="R23" s="208"/>
      <c r="S23" s="208"/>
      <c r="T23" s="227" t="str">
        <f>IF(ROUND(SUM(IS!P23:S23),1)=ROUND(IS!T23,1),"OK","ERROR")</f>
        <v>OK</v>
      </c>
      <c r="U23" s="210"/>
      <c r="V23" s="208"/>
      <c r="W23" s="208"/>
      <c r="X23" s="208"/>
      <c r="Y23" s="208"/>
      <c r="Z23" s="227" t="str">
        <f>IF(ROUND(SUM(IS!V23:Y23),1)=ROUND(IS!Z23,1),"OK","ERROR")</f>
        <v>OK</v>
      </c>
      <c r="AA23" s="213"/>
      <c r="AB23" s="208"/>
      <c r="AC23" s="208"/>
      <c r="AD23" s="208"/>
      <c r="AE23" s="208"/>
      <c r="AF23" s="227" t="str">
        <f>IF(ROUND(SUM(IS!AB23:AE23),1)=ROUND(IS!AF23,1),"OK","ERROR")</f>
        <v>OK</v>
      </c>
      <c r="AG23" s="211"/>
      <c r="AH23" s="208"/>
      <c r="AI23" s="208"/>
      <c r="AJ23" s="212"/>
      <c r="AK23" s="212"/>
      <c r="AL23" s="227" t="str">
        <f>IF(ROUND(SUM(IS!AH23:AK23),1)=ROUND(IS!AL23,1),"OK","ERROR")</f>
        <v>ERROR</v>
      </c>
      <c r="AM23" s="224"/>
      <c r="AN23" s="212"/>
      <c r="AO23" s="212"/>
      <c r="AP23" s="212"/>
      <c r="AQ23" s="212"/>
      <c r="AR23" s="227" t="str">
        <f>IF(ROUND(SUM(IS!AN23:AQ23),1)=ROUND(IS!AR23,1),"OK","ERROR")</f>
        <v>OK</v>
      </c>
    </row>
    <row r="24" spans="1:44" ht="14.25" customHeight="1">
      <c r="A24" s="73"/>
      <c r="B24" s="79" t="s">
        <v>363</v>
      </c>
      <c r="D24" s="208"/>
      <c r="E24" s="208"/>
      <c r="F24" s="208"/>
      <c r="G24" s="208"/>
      <c r="H24" s="227" t="str">
        <f>IF(ROUND(SUM(IS!D24:G24),1)=ROUND(IS!H24,1),"OK","ERROR")</f>
        <v>OK</v>
      </c>
      <c r="I24" s="210"/>
      <c r="J24" s="208"/>
      <c r="K24" s="208"/>
      <c r="L24" s="208"/>
      <c r="M24" s="208"/>
      <c r="N24" s="227" t="str">
        <f>IF(ROUND(SUM(IS!J24:M24),1)=ROUND(IS!N24,1),"OK","ERROR")</f>
        <v>OK</v>
      </c>
      <c r="O24" s="210"/>
      <c r="P24" s="208"/>
      <c r="Q24" s="208"/>
      <c r="R24" s="208"/>
      <c r="S24" s="208"/>
      <c r="T24" s="227" t="str">
        <f>IF(ROUND(SUM(IS!P24:S24),1)=ROUND(IS!T24,1),"OK","ERROR")</f>
        <v>OK</v>
      </c>
      <c r="U24" s="210"/>
      <c r="V24" s="208"/>
      <c r="W24" s="208"/>
      <c r="X24" s="208"/>
      <c r="Y24" s="208"/>
      <c r="Z24" s="227" t="str">
        <f>IF(ROUND(SUM(IS!V24:Y24),1)=ROUND(IS!Z24,1),"OK","ERROR")</f>
        <v>OK</v>
      </c>
      <c r="AA24" s="213"/>
      <c r="AB24" s="208"/>
      <c r="AC24" s="208"/>
      <c r="AD24" s="208"/>
      <c r="AE24" s="208"/>
      <c r="AF24" s="227" t="str">
        <f>IF(ROUND(SUM(IS!AB24:AE24),1)=ROUND(IS!AF24,1),"OK","ERROR")</f>
        <v>OK</v>
      </c>
      <c r="AG24" s="211"/>
      <c r="AH24" s="208"/>
      <c r="AI24" s="208"/>
      <c r="AJ24" s="212"/>
      <c r="AK24" s="212"/>
      <c r="AL24" s="227" t="str">
        <f>IF(ROUND(SUM(IS!AH24:AK24),1)=ROUND(IS!AL24,1),"OK","ERROR")</f>
        <v>ERROR</v>
      </c>
      <c r="AM24" s="224"/>
      <c r="AN24" s="212"/>
      <c r="AO24" s="212"/>
      <c r="AP24" s="212"/>
      <c r="AQ24" s="212"/>
      <c r="AR24" s="227" t="str">
        <f>IF(ROUND(SUM(IS!AN24:AQ24),1)=ROUND(IS!AR24,1),"OK","ERROR")</f>
        <v>OK</v>
      </c>
    </row>
    <row r="25" spans="1:44" ht="14.25" customHeight="1">
      <c r="A25" s="55"/>
      <c r="B25" s="80"/>
      <c r="D25" s="208"/>
      <c r="E25" s="208"/>
      <c r="F25" s="208"/>
      <c r="G25" s="208"/>
      <c r="H25" s="220"/>
      <c r="I25" s="210"/>
      <c r="J25" s="208"/>
      <c r="K25" s="208"/>
      <c r="L25" s="208"/>
      <c r="M25" s="208"/>
      <c r="N25" s="220"/>
      <c r="O25" s="210"/>
      <c r="P25" s="208"/>
      <c r="Q25" s="208"/>
      <c r="R25" s="208"/>
      <c r="S25" s="208"/>
      <c r="T25" s="220"/>
      <c r="U25" s="210"/>
      <c r="V25" s="208"/>
      <c r="W25" s="208"/>
      <c r="X25" s="208"/>
      <c r="Y25" s="208"/>
      <c r="Z25" s="220"/>
      <c r="AA25" s="213"/>
      <c r="AB25" s="208"/>
      <c r="AC25" s="208"/>
      <c r="AD25" s="208"/>
      <c r="AE25" s="208"/>
      <c r="AF25" s="220"/>
      <c r="AG25" s="211"/>
      <c r="AH25" s="208"/>
      <c r="AI25" s="208"/>
      <c r="AJ25" s="212"/>
      <c r="AK25" s="212"/>
      <c r="AL25" s="220"/>
      <c r="AM25" s="224"/>
      <c r="AN25" s="212"/>
      <c r="AO25" s="212"/>
      <c r="AP25" s="212"/>
      <c r="AQ25" s="212"/>
      <c r="AR25" s="220"/>
    </row>
    <row r="26" spans="1:44" ht="14.25" customHeight="1">
      <c r="A26" s="44" t="s">
        <v>37</v>
      </c>
      <c r="B26" s="65" t="s">
        <v>639</v>
      </c>
      <c r="D26" s="208"/>
      <c r="E26" s="208"/>
      <c r="F26" s="208"/>
      <c r="G26" s="208"/>
      <c r="H26" s="220"/>
      <c r="I26" s="210"/>
      <c r="J26" s="208"/>
      <c r="K26" s="208"/>
      <c r="L26" s="208"/>
      <c r="M26" s="208"/>
      <c r="N26" s="220"/>
      <c r="O26" s="210"/>
      <c r="P26" s="208"/>
      <c r="Q26" s="208"/>
      <c r="R26" s="208"/>
      <c r="S26" s="208"/>
      <c r="T26" s="220"/>
      <c r="U26" s="210"/>
      <c r="V26" s="208"/>
      <c r="W26" s="208"/>
      <c r="X26" s="208"/>
      <c r="Y26" s="208"/>
      <c r="Z26" s="220"/>
      <c r="AA26" s="228"/>
      <c r="AB26" s="208"/>
      <c r="AC26" s="208"/>
      <c r="AD26" s="208"/>
      <c r="AE26" s="208"/>
      <c r="AF26" s="220"/>
      <c r="AG26" s="229"/>
      <c r="AH26" s="208"/>
      <c r="AI26" s="208"/>
      <c r="AJ26" s="212"/>
      <c r="AK26" s="212"/>
      <c r="AL26" s="220"/>
      <c r="AM26" s="228"/>
      <c r="AN26" s="212"/>
      <c r="AO26" s="212"/>
      <c r="AP26" s="212"/>
      <c r="AQ26" s="212"/>
      <c r="AR26" s="220"/>
    </row>
    <row r="27" spans="1:44" ht="14.25" customHeight="1">
      <c r="A27" s="84"/>
      <c r="B27" s="70" t="s">
        <v>640</v>
      </c>
      <c r="D27" s="208"/>
      <c r="E27" s="208"/>
      <c r="F27" s="208"/>
      <c r="G27" s="208"/>
      <c r="H27" s="220" t="str">
        <f>IF(ROUND(SUM(IS!D27:G27),1)=ROUND(IS!H27,1),"OK","ERROR")</f>
        <v>OK</v>
      </c>
      <c r="I27" s="210"/>
      <c r="J27" s="208"/>
      <c r="K27" s="208"/>
      <c r="L27" s="208"/>
      <c r="M27" s="208"/>
      <c r="N27" s="220" t="str">
        <f>IF(ROUND(SUM(IS!J27:M27),1)=ROUND(IS!N27,1),"OK","ERROR")</f>
        <v>OK</v>
      </c>
      <c r="O27" s="210"/>
      <c r="P27" s="208"/>
      <c r="Q27" s="208"/>
      <c r="R27" s="208"/>
      <c r="S27" s="208"/>
      <c r="T27" s="220" t="str">
        <f>IF(ROUND(SUM(IS!P27:S27),1)=ROUND(IS!T27,1),"OK","ERROR")</f>
        <v>OK</v>
      </c>
      <c r="U27" s="210"/>
      <c r="V27" s="208"/>
      <c r="W27" s="208"/>
      <c r="X27" s="208"/>
      <c r="Y27" s="208"/>
      <c r="Z27" s="220" t="str">
        <f>IF(ROUND(SUM(IS!V27:Y27),1)=ROUND(IS!Z27,1),"OK","ERROR")</f>
        <v>OK</v>
      </c>
      <c r="AA27" s="228"/>
      <c r="AB27" s="208"/>
      <c r="AC27" s="208"/>
      <c r="AD27" s="208"/>
      <c r="AE27" s="208"/>
      <c r="AF27" s="220" t="str">
        <f>IF(ROUND(SUM(IS!AB27:AE27),1)=ROUND(IS!AF27,1),"OK","ERROR")</f>
        <v>OK</v>
      </c>
      <c r="AG27" s="229"/>
      <c r="AH27" s="208"/>
      <c r="AI27" s="208"/>
      <c r="AJ27" s="212"/>
      <c r="AK27" s="212"/>
      <c r="AL27" s="220" t="str">
        <f>IF(ROUND(SUM(IS!AH27:AK27),1)=ROUND(IS!AL27,1),"OK","ERROR")</f>
        <v>OK</v>
      </c>
      <c r="AM27" s="228"/>
      <c r="AN27" s="212"/>
      <c r="AO27" s="212"/>
      <c r="AP27" s="212"/>
      <c r="AQ27" s="212"/>
      <c r="AR27" s="220" t="str">
        <f>IF(ROUND(SUM(IS!AN27:AQ27),1)=ROUND(IS!AR27,1),"OK","ERROR")</f>
        <v>OK</v>
      </c>
    </row>
    <row r="28" spans="1:44" ht="14.25" customHeight="1">
      <c r="A28" s="55"/>
      <c r="B28" s="70" t="s">
        <v>641</v>
      </c>
      <c r="D28" s="208"/>
      <c r="E28" s="208"/>
      <c r="F28" s="208"/>
      <c r="G28" s="208"/>
      <c r="H28" s="220" t="str">
        <f>IF(ROUND(SUM(IS!D28:G28),1)=ROUND(IS!H28,1),"OK","ERROR")</f>
        <v>OK</v>
      </c>
      <c r="I28" s="210"/>
      <c r="J28" s="208"/>
      <c r="K28" s="208"/>
      <c r="L28" s="208"/>
      <c r="M28" s="208"/>
      <c r="N28" s="220" t="str">
        <f>IF(ROUND(SUM(IS!J28:M28),1)=ROUND(IS!N28,1),"OK","ERROR")</f>
        <v>OK</v>
      </c>
      <c r="O28" s="210"/>
      <c r="P28" s="208"/>
      <c r="Q28" s="208"/>
      <c r="R28" s="208"/>
      <c r="S28" s="208"/>
      <c r="T28" s="220" t="str">
        <f>IF(ROUND(SUM(IS!P28:S28),1)=ROUND(IS!T28,1),"OK","ERROR")</f>
        <v>OK</v>
      </c>
      <c r="U28" s="210"/>
      <c r="V28" s="208"/>
      <c r="W28" s="208"/>
      <c r="X28" s="208"/>
      <c r="Y28" s="208"/>
      <c r="Z28" s="220" t="str">
        <f>IF(ROUND(SUM(IS!V28:Y28),1)=ROUND(IS!Z28,1),"OK","ERROR")</f>
        <v>OK</v>
      </c>
      <c r="AA28" s="213"/>
      <c r="AB28" s="208"/>
      <c r="AC28" s="208"/>
      <c r="AD28" s="208"/>
      <c r="AE28" s="208"/>
      <c r="AF28" s="220" t="str">
        <f>IF(ROUND(SUM(IS!AB28:AE28),1)=ROUND(IS!AF28,1),"OK","ERROR")</f>
        <v>OK</v>
      </c>
      <c r="AG28" s="211"/>
      <c r="AH28" s="208"/>
      <c r="AI28" s="208"/>
      <c r="AJ28" s="212"/>
      <c r="AK28" s="212"/>
      <c r="AL28" s="220" t="str">
        <f>IF(ROUND(SUM(IS!AH28:AK28),1)=ROUND(IS!AL28,1),"OK","ERROR")</f>
        <v>OK</v>
      </c>
      <c r="AM28" s="224"/>
      <c r="AN28" s="212"/>
      <c r="AO28" s="212"/>
      <c r="AP28" s="212"/>
      <c r="AQ28" s="212"/>
      <c r="AR28" s="220" t="str">
        <f>IF(ROUND(SUM(IS!AN28:AQ28),1)=ROUND(IS!AR28,1),"OK","ERROR")</f>
        <v>OK</v>
      </c>
    </row>
    <row r="29" spans="1:44" ht="14.25" customHeight="1">
      <c r="A29" s="73"/>
      <c r="B29" s="70" t="s">
        <v>642</v>
      </c>
      <c r="D29" s="208"/>
      <c r="E29" s="208"/>
      <c r="F29" s="208"/>
      <c r="G29" s="208"/>
      <c r="H29" s="220" t="str">
        <f>IF(ROUND(SUM(IS!D29:G29),1)=ROUND(IS!H29,1),"OK","ERROR")</f>
        <v>OK</v>
      </c>
      <c r="I29" s="210"/>
      <c r="J29" s="208"/>
      <c r="K29" s="208"/>
      <c r="L29" s="208"/>
      <c r="M29" s="208"/>
      <c r="N29" s="220" t="str">
        <f>IF(ROUND(SUM(IS!J29:M29),1)=ROUND(IS!N29,1),"OK","ERROR")</f>
        <v>OK</v>
      </c>
      <c r="O29" s="210"/>
      <c r="P29" s="208"/>
      <c r="Q29" s="208"/>
      <c r="R29" s="208"/>
      <c r="S29" s="208"/>
      <c r="T29" s="220" t="str">
        <f>IF(ROUND(SUM(IS!P29:S29),1)=ROUND(IS!T29,1),"OK","ERROR")</f>
        <v>OK</v>
      </c>
      <c r="U29" s="210"/>
      <c r="V29" s="208"/>
      <c r="W29" s="208"/>
      <c r="X29" s="208"/>
      <c r="Y29" s="208"/>
      <c r="Z29" s="220" t="str">
        <f>IF(ROUND(SUM(IS!V29:Y29),1)=ROUND(IS!Z29,1),"OK","ERROR")</f>
        <v>OK</v>
      </c>
      <c r="AA29" s="228"/>
      <c r="AB29" s="208"/>
      <c r="AC29" s="208"/>
      <c r="AD29" s="208"/>
      <c r="AE29" s="208"/>
      <c r="AF29" s="220" t="str">
        <f>IF(ROUND(SUM(IS!AB29:AE29),1)=ROUND(IS!AF29,1),"OK","ERROR")</f>
        <v>OK</v>
      </c>
      <c r="AG29" s="229"/>
      <c r="AH29" s="208"/>
      <c r="AI29" s="208"/>
      <c r="AJ29" s="212"/>
      <c r="AK29" s="212"/>
      <c r="AL29" s="220" t="str">
        <f>IF(ROUND(SUM(IS!AH29:AK29),1)=ROUND(IS!AL29,1),"OK","ERROR")</f>
        <v>OK</v>
      </c>
      <c r="AM29" s="228"/>
      <c r="AN29" s="212"/>
      <c r="AO29" s="212"/>
      <c r="AP29" s="212"/>
      <c r="AQ29" s="212"/>
      <c r="AR29" s="220" t="str">
        <f>IF(ROUND(SUM(IS!AN29:AQ29),1)=ROUND(IS!AR29,1),"OK","ERROR")</f>
        <v>OK</v>
      </c>
    </row>
    <row r="30" spans="1:44" ht="14.25" customHeight="1">
      <c r="A30" s="55"/>
      <c r="B30" s="70" t="s">
        <v>643</v>
      </c>
      <c r="D30" s="208"/>
      <c r="E30" s="208"/>
      <c r="F30" s="208"/>
      <c r="G30" s="208"/>
      <c r="H30" s="226" t="str">
        <f>IF(ROUND(SUM(IS!D30:G30),1)=ROUND(IS!H30,1),"OK","ERROR")</f>
        <v>ERROR</v>
      </c>
      <c r="I30" s="210"/>
      <c r="J30" s="208"/>
      <c r="K30" s="208"/>
      <c r="L30" s="208"/>
      <c r="M30" s="208"/>
      <c r="N30" s="226" t="str">
        <f>IF(ROUND(SUM(IS!J30:M30),1)=ROUND(IS!N30,1),"OK","ERROR")</f>
        <v>OK</v>
      </c>
      <c r="O30" s="210"/>
      <c r="P30" s="208"/>
      <c r="Q30" s="208"/>
      <c r="R30" s="208"/>
      <c r="S30" s="208"/>
      <c r="T30" s="226" t="str">
        <f>IF(ROUND(SUM(IS!P30:S30),1)=ROUND(IS!T30,1),"OK","ERROR")</f>
        <v>ERROR</v>
      </c>
      <c r="U30" s="210"/>
      <c r="V30" s="208"/>
      <c r="W30" s="208"/>
      <c r="X30" s="208"/>
      <c r="Y30" s="208"/>
      <c r="Z30" s="226" t="str">
        <f>IF(ROUND(SUM(IS!V30:Y30),1)=ROUND(IS!Z30,1),"OK","ERROR")</f>
        <v>ERROR</v>
      </c>
      <c r="AA30" s="213"/>
      <c r="AB30" s="208"/>
      <c r="AC30" s="208"/>
      <c r="AD30" s="208"/>
      <c r="AE30" s="208"/>
      <c r="AF30" s="226" t="str">
        <f>IF(ROUND(SUM(IS!AB30:AE30),1)=ROUND(IS!AF30,1),"OK","ERROR")</f>
        <v>OK</v>
      </c>
      <c r="AG30" s="211"/>
      <c r="AH30" s="208"/>
      <c r="AI30" s="208"/>
      <c r="AJ30" s="212"/>
      <c r="AK30" s="212"/>
      <c r="AL30" s="226" t="str">
        <f>IF(ROUND(SUM(IS!AH30:AK30),1)=ROUND(IS!AL30,1),"OK","ERROR")</f>
        <v>ERROR</v>
      </c>
      <c r="AM30" s="224"/>
      <c r="AN30" s="212"/>
      <c r="AO30" s="212"/>
      <c r="AP30" s="212"/>
      <c r="AQ30" s="212"/>
      <c r="AR30" s="226" t="str">
        <f>IF(ROUND(SUM(IS!AN30:AQ30),1)=ROUND(IS!AR30,1),"OK","ERROR")</f>
        <v>OK</v>
      </c>
    </row>
    <row r="31" spans="1:44" ht="14.25" customHeight="1">
      <c r="A31" s="73"/>
      <c r="B31" s="76" t="s">
        <v>644</v>
      </c>
      <c r="D31" s="208"/>
      <c r="E31" s="208"/>
      <c r="F31" s="208"/>
      <c r="G31" s="208"/>
      <c r="H31" s="231" t="str">
        <f>IF(ROUND(SUM(IS!D31:G31),1)=ROUND(IS!H31,1),"OK","ERROR")</f>
        <v>ERROR</v>
      </c>
      <c r="I31" s="210"/>
      <c r="J31" s="208"/>
      <c r="K31" s="208"/>
      <c r="L31" s="208"/>
      <c r="M31" s="208"/>
      <c r="N31" s="231" t="str">
        <f>IF(ROUND(SUM(IS!J31:M31),1)=ROUND(IS!N31,1),"OK","ERROR")</f>
        <v>OK</v>
      </c>
      <c r="O31" s="210"/>
      <c r="P31" s="208"/>
      <c r="Q31" s="208"/>
      <c r="R31" s="208"/>
      <c r="S31" s="208"/>
      <c r="T31" s="231" t="str">
        <f>IF(ROUND(SUM(IS!P31:S31),1)=ROUND(IS!T31,1),"OK","ERROR")</f>
        <v>ERROR</v>
      </c>
      <c r="U31" s="210"/>
      <c r="V31" s="208"/>
      <c r="W31" s="208"/>
      <c r="X31" s="208"/>
      <c r="Y31" s="208"/>
      <c r="Z31" s="231" t="str">
        <f>IF(ROUND(SUM(IS!V31:Y31),1)=ROUND(IS!Z31,1),"OK","ERROR")</f>
        <v>ERROR</v>
      </c>
      <c r="AA31" s="228"/>
      <c r="AB31" s="208"/>
      <c r="AC31" s="208"/>
      <c r="AD31" s="208"/>
      <c r="AE31" s="208"/>
      <c r="AF31" s="231" t="str">
        <f>IF(ROUND(SUM(IS!AB31:AE31),1)=ROUND(IS!AF31,1),"OK","ERROR")</f>
        <v>OK</v>
      </c>
      <c r="AG31" s="229"/>
      <c r="AH31" s="208"/>
      <c r="AI31" s="208"/>
      <c r="AJ31" s="212"/>
      <c r="AK31" s="212"/>
      <c r="AL31" s="231" t="str">
        <f>IF(ROUND(SUM(IS!AH31:AK31),1)=ROUND(IS!AL31,1),"OK","ERROR")</f>
        <v>ERROR</v>
      </c>
      <c r="AM31" s="228"/>
      <c r="AN31" s="212"/>
      <c r="AO31" s="212"/>
      <c r="AP31" s="212"/>
      <c r="AQ31" s="212"/>
      <c r="AR31" s="231" t="str">
        <f>IF(ROUND(SUM(IS!AN31:AQ31),1)=ROUND(IS!AR31,1),"OK","ERROR")</f>
        <v>OK</v>
      </c>
    </row>
    <row r="32" spans="1:44" ht="14.25" customHeight="1">
      <c r="A32" s="73"/>
      <c r="B32" s="76" t="s">
        <v>645</v>
      </c>
      <c r="D32" s="208"/>
      <c r="E32" s="208"/>
      <c r="F32" s="208"/>
      <c r="G32" s="208"/>
      <c r="H32" s="226" t="str">
        <f>IF(ROUND(SUM(IS!D32:G32),1)=ROUND(IS!H32,1),"OK","ERROR")</f>
        <v>OK</v>
      </c>
      <c r="I32" s="210"/>
      <c r="J32" s="208"/>
      <c r="K32" s="208"/>
      <c r="L32" s="208"/>
      <c r="M32" s="208"/>
      <c r="N32" s="226" t="str">
        <f>IF(ROUND(SUM(IS!J32:M32),1)=ROUND(IS!N32,1),"OK","ERROR")</f>
        <v>OK</v>
      </c>
      <c r="O32" s="210"/>
      <c r="P32" s="208"/>
      <c r="Q32" s="208"/>
      <c r="R32" s="208"/>
      <c r="S32" s="208"/>
      <c r="T32" s="226" t="str">
        <f>IF(ROUND(SUM(IS!P32:S32),1)=ROUND(IS!T32,1),"OK","ERROR")</f>
        <v>OK</v>
      </c>
      <c r="U32" s="210"/>
      <c r="V32" s="208"/>
      <c r="W32" s="208"/>
      <c r="X32" s="208"/>
      <c r="Y32" s="208"/>
      <c r="Z32" s="226" t="str">
        <f>IF(ROUND(SUM(IS!V32:Y32),1)=ROUND(IS!Z32,1),"OK","ERROR")</f>
        <v>OK</v>
      </c>
      <c r="AA32" s="232"/>
      <c r="AB32" s="208"/>
      <c r="AC32" s="208"/>
      <c r="AD32" s="208"/>
      <c r="AE32" s="208"/>
      <c r="AF32" s="226" t="str">
        <f>IF(ROUND(SUM(IS!AB32:AE32),1)=ROUND(IS!AF32,1),"OK","ERROR")</f>
        <v>OK</v>
      </c>
      <c r="AG32" s="229"/>
      <c r="AH32" s="208"/>
      <c r="AI32" s="208"/>
      <c r="AJ32" s="212"/>
      <c r="AK32" s="212"/>
      <c r="AL32" s="226" t="str">
        <f>IF(ROUND(SUM(IS!AH32:AK32),1)=ROUND(IS!AL32,1),"OK","ERROR")</f>
        <v>OK</v>
      </c>
      <c r="AM32" s="232"/>
      <c r="AN32" s="212"/>
      <c r="AO32" s="212"/>
      <c r="AP32" s="212"/>
      <c r="AQ32" s="212"/>
      <c r="AR32" s="226" t="str">
        <f>IF(ROUND(SUM(IS!AN32:AQ32),1)=ROUND(IS!AR32,1),"OK","ERROR")</f>
        <v>OK</v>
      </c>
    </row>
    <row r="33" spans="1:44" ht="14.25" customHeight="1">
      <c r="A33" s="55"/>
      <c r="B33" s="79" t="s">
        <v>646</v>
      </c>
      <c r="D33" s="208"/>
      <c r="E33" s="208"/>
      <c r="F33" s="208"/>
      <c r="G33" s="208"/>
      <c r="H33" s="226" t="str">
        <f>IF(ROUND(SUM(IS!D33:G33),1)=ROUND(IS!H33,1),"OK","ERROR")</f>
        <v>ERROR</v>
      </c>
      <c r="I33" s="210"/>
      <c r="J33" s="208"/>
      <c r="K33" s="208"/>
      <c r="L33" s="208"/>
      <c r="M33" s="208"/>
      <c r="N33" s="226" t="str">
        <f>IF(ROUND(SUM(IS!J33:M33),1)=ROUND(IS!N33,1),"OK","ERROR")</f>
        <v>OK</v>
      </c>
      <c r="O33" s="210"/>
      <c r="P33" s="208"/>
      <c r="Q33" s="208"/>
      <c r="R33" s="208"/>
      <c r="S33" s="208"/>
      <c r="T33" s="226" t="str">
        <f>IF(ROUND(SUM(IS!P33:S33),1)=ROUND(IS!T33,1),"OK","ERROR")</f>
        <v>ERROR</v>
      </c>
      <c r="U33" s="210"/>
      <c r="V33" s="208"/>
      <c r="W33" s="208"/>
      <c r="X33" s="208"/>
      <c r="Y33" s="208"/>
      <c r="Z33" s="226" t="str">
        <f>IF(ROUND(SUM(IS!V33:Y33),1)=ROUND(IS!Z33,1),"OK","ERROR")</f>
        <v>ERROR</v>
      </c>
      <c r="AA33" s="213"/>
      <c r="AB33" s="208"/>
      <c r="AC33" s="208"/>
      <c r="AD33" s="208"/>
      <c r="AE33" s="208"/>
      <c r="AF33" s="226" t="str">
        <f>IF(ROUND(SUM(IS!AB33:AE33),1)=ROUND(IS!AF33,1),"OK","ERROR")</f>
        <v>OK</v>
      </c>
      <c r="AG33" s="211"/>
      <c r="AH33" s="208"/>
      <c r="AI33" s="208"/>
      <c r="AJ33" s="212"/>
      <c r="AK33" s="212"/>
      <c r="AL33" s="226" t="str">
        <f>IF(ROUND(SUM(IS!AH33:AK33),1)=ROUND(IS!AL33,1),"OK","ERROR")</f>
        <v>ERROR</v>
      </c>
      <c r="AM33" s="224"/>
      <c r="AN33" s="212"/>
      <c r="AO33" s="212"/>
      <c r="AP33" s="212"/>
      <c r="AQ33" s="212"/>
      <c r="AR33" s="226" t="str">
        <f>IF(ROUND(SUM(IS!AN33:AQ33),1)=ROUND(IS!AR33,1),"OK","ERROR")</f>
        <v>OK</v>
      </c>
    </row>
    <row r="34" spans="1:44" ht="14.25" customHeight="1">
      <c r="A34" s="73"/>
      <c r="B34" s="206"/>
      <c r="D34" s="208"/>
      <c r="E34" s="208"/>
      <c r="F34" s="208"/>
      <c r="G34" s="208"/>
      <c r="H34" s="220"/>
      <c r="I34" s="210"/>
      <c r="J34" s="208"/>
      <c r="K34" s="208"/>
      <c r="L34" s="208"/>
      <c r="M34" s="208"/>
      <c r="N34" s="220"/>
      <c r="O34" s="210"/>
      <c r="P34" s="208"/>
      <c r="Q34" s="208"/>
      <c r="R34" s="208"/>
      <c r="S34" s="208"/>
      <c r="T34" s="220"/>
      <c r="U34" s="210"/>
      <c r="V34" s="208"/>
      <c r="W34" s="208"/>
      <c r="X34" s="208"/>
      <c r="Y34" s="208"/>
      <c r="Z34" s="220"/>
      <c r="AA34" s="228"/>
      <c r="AB34" s="208"/>
      <c r="AC34" s="208"/>
      <c r="AD34" s="208"/>
      <c r="AE34" s="208"/>
      <c r="AF34" s="220"/>
      <c r="AG34" s="229"/>
      <c r="AH34" s="208"/>
      <c r="AI34" s="208"/>
      <c r="AJ34" s="212"/>
      <c r="AK34" s="212"/>
      <c r="AL34" s="220"/>
      <c r="AM34" s="233"/>
      <c r="AN34" s="212"/>
      <c r="AO34" s="212"/>
      <c r="AP34" s="212"/>
      <c r="AQ34" s="212"/>
      <c r="AR34" s="220"/>
    </row>
    <row r="35" spans="1:44" ht="14.25" customHeight="1">
      <c r="A35" s="44" t="s">
        <v>37</v>
      </c>
      <c r="B35" s="65" t="s">
        <v>647</v>
      </c>
      <c r="D35" s="208"/>
      <c r="E35" s="208"/>
      <c r="F35" s="208"/>
      <c r="G35" s="208"/>
      <c r="H35" s="220"/>
      <c r="I35" s="210"/>
      <c r="J35" s="208"/>
      <c r="K35" s="208"/>
      <c r="L35" s="208"/>
      <c r="M35" s="208"/>
      <c r="N35" s="220"/>
      <c r="O35" s="210"/>
      <c r="P35" s="208"/>
      <c r="Q35" s="208"/>
      <c r="R35" s="208"/>
      <c r="S35" s="208"/>
      <c r="T35" s="220"/>
      <c r="U35" s="210"/>
      <c r="V35" s="208"/>
      <c r="W35" s="208"/>
      <c r="X35" s="208"/>
      <c r="Y35" s="208"/>
      <c r="Z35" s="220"/>
      <c r="AA35" s="213"/>
      <c r="AB35" s="208"/>
      <c r="AC35" s="208"/>
      <c r="AD35" s="208"/>
      <c r="AE35" s="208"/>
      <c r="AF35" s="220"/>
      <c r="AG35" s="211"/>
      <c r="AH35" s="208"/>
      <c r="AI35" s="208"/>
      <c r="AJ35" s="212"/>
      <c r="AK35" s="212"/>
      <c r="AL35" s="220"/>
      <c r="AM35" s="224"/>
      <c r="AN35" s="212"/>
      <c r="AO35" s="212"/>
      <c r="AP35" s="212"/>
      <c r="AQ35" s="212"/>
      <c r="AR35" s="220"/>
    </row>
    <row r="36" spans="1:44" ht="14.25" customHeight="1">
      <c r="A36" s="44"/>
      <c r="B36" s="70" t="s">
        <v>648</v>
      </c>
      <c r="D36" s="208"/>
      <c r="E36" s="208"/>
      <c r="F36" s="208"/>
      <c r="G36" s="208"/>
      <c r="H36" s="220" t="str">
        <f>IF(ROUND(SUM(IS!D36:G36),1)=ROUND(IS!H36,1),"OK","ERROR")</f>
        <v>ERROR</v>
      </c>
      <c r="I36" s="210"/>
      <c r="J36" s="208"/>
      <c r="K36" s="208"/>
      <c r="L36" s="208"/>
      <c r="M36" s="208"/>
      <c r="N36" s="220" t="str">
        <f>IF(ROUND(SUM(IS!J36:M36),1)=ROUND(IS!N36,1),"OK","ERROR")</f>
        <v>ERROR</v>
      </c>
      <c r="O36" s="210"/>
      <c r="P36" s="208"/>
      <c r="Q36" s="208"/>
      <c r="R36" s="208"/>
      <c r="S36" s="208"/>
      <c r="T36" s="220" t="str">
        <f>IF(ROUND(SUM(IS!P36:S36),1)=ROUND(IS!T36,1),"OK","ERROR")</f>
        <v>ERROR</v>
      </c>
      <c r="U36" s="210"/>
      <c r="V36" s="208"/>
      <c r="W36" s="208"/>
      <c r="X36" s="208"/>
      <c r="Y36" s="208"/>
      <c r="Z36" s="220" t="str">
        <f>IF(ROUND(SUM(IS!V36:Y36),1)=ROUND(IS!Z36,1),"OK","ERROR")</f>
        <v>OK</v>
      </c>
      <c r="AA36" s="213"/>
      <c r="AB36" s="208"/>
      <c r="AC36" s="208"/>
      <c r="AD36" s="208"/>
      <c r="AE36" s="208"/>
      <c r="AF36" s="220" t="str">
        <f>IF(ROUND(SUM(IS!AB36:AE36),1)=ROUND(IS!AF36,1),"OK","ERROR")</f>
        <v>OK</v>
      </c>
      <c r="AG36" s="211"/>
      <c r="AH36" s="208"/>
      <c r="AI36" s="208"/>
      <c r="AJ36" s="212"/>
      <c r="AK36" s="212"/>
      <c r="AL36" s="220" t="str">
        <f>IF(ROUND(SUM(IS!AH36:AK36),1)=ROUND(IS!AL36,1),"OK","ERROR")</f>
        <v>ERROR</v>
      </c>
      <c r="AM36" s="224"/>
      <c r="AN36" s="212"/>
      <c r="AO36" s="212"/>
      <c r="AP36" s="212"/>
      <c r="AQ36" s="212"/>
      <c r="AR36" s="220" t="str">
        <f>IF(ROUND(SUM(IS!AN36:AQ36),1)=ROUND(IS!AR36,1),"OK","ERROR")</f>
        <v>OK</v>
      </c>
    </row>
    <row r="37" spans="1:44" ht="14.25" customHeight="1">
      <c r="A37" s="44"/>
      <c r="B37" s="70" t="s">
        <v>649</v>
      </c>
      <c r="D37" s="208"/>
      <c r="E37" s="208"/>
      <c r="F37" s="208"/>
      <c r="G37" s="208"/>
      <c r="H37" s="220" t="str">
        <f>IF(ROUND(SUM(IS!D37:G37),1)=ROUND(IS!H37,1),"OK","ERROR")</f>
        <v>ERROR</v>
      </c>
      <c r="I37" s="210"/>
      <c r="J37" s="208"/>
      <c r="K37" s="208"/>
      <c r="L37" s="208"/>
      <c r="M37" s="208"/>
      <c r="N37" s="220" t="str">
        <f>IF(ROUND(SUM(IS!J37:M37),1)=ROUND(IS!N37,1),"OK","ERROR")</f>
        <v>ERROR</v>
      </c>
      <c r="O37" s="210"/>
      <c r="P37" s="208"/>
      <c r="Q37" s="208"/>
      <c r="R37" s="208"/>
      <c r="S37" s="208"/>
      <c r="T37" s="220" t="str">
        <f>IF(ROUND(SUM(IS!P37:S37),1)=ROUND(IS!T37,1),"OK","ERROR")</f>
        <v>ERROR</v>
      </c>
      <c r="U37" s="210"/>
      <c r="V37" s="208"/>
      <c r="W37" s="208"/>
      <c r="X37" s="208"/>
      <c r="Y37" s="208"/>
      <c r="Z37" s="220" t="str">
        <f>IF(ROUND(SUM(IS!V37:Y37),1)=ROUND(IS!Z37,1),"OK","ERROR")</f>
        <v>OK</v>
      </c>
      <c r="AA37" s="213"/>
      <c r="AB37" s="208"/>
      <c r="AC37" s="208"/>
      <c r="AD37" s="208"/>
      <c r="AE37" s="208"/>
      <c r="AF37" s="220" t="str">
        <f>IF(ROUND(SUM(IS!AB37:AE37),1)=ROUND(IS!AF37,1),"OK","ERROR")</f>
        <v>OK</v>
      </c>
      <c r="AG37" s="211"/>
      <c r="AH37" s="208"/>
      <c r="AI37" s="208"/>
      <c r="AJ37" s="212"/>
      <c r="AK37" s="212"/>
      <c r="AL37" s="220" t="str">
        <f>IF(ROUND(SUM(IS!AH37:AK37),1)=ROUND(IS!AL37,1),"OK","ERROR")</f>
        <v>OK</v>
      </c>
      <c r="AM37" s="224"/>
      <c r="AN37" s="212"/>
      <c r="AO37" s="212"/>
      <c r="AP37" s="212"/>
      <c r="AQ37" s="212"/>
      <c r="AR37" s="220" t="str">
        <f>IF(ROUND(SUM(IS!AN37:AQ37),1)=ROUND(IS!AR37,1),"OK","ERROR")</f>
        <v>OK</v>
      </c>
    </row>
    <row r="38" spans="1:44" ht="14.25" customHeight="1">
      <c r="A38" s="55" t="s">
        <v>37</v>
      </c>
      <c r="B38" s="76" t="s">
        <v>650</v>
      </c>
      <c r="D38" s="208"/>
      <c r="E38" s="208"/>
      <c r="F38" s="208"/>
      <c r="G38" s="208"/>
      <c r="H38" s="220" t="str">
        <f>IF(ROUND(SUM(IS!D38:G38),1)=ROUND(IS!H38,1),"OK","ERROR")</f>
        <v>OK</v>
      </c>
      <c r="I38" s="210"/>
      <c r="J38" s="208"/>
      <c r="K38" s="208"/>
      <c r="L38" s="208"/>
      <c r="M38" s="208"/>
      <c r="N38" s="220" t="str">
        <f>IF(ROUND(SUM(IS!J38:M38),1)=ROUND(IS!N38,1),"OK","ERROR")</f>
        <v>OK</v>
      </c>
      <c r="O38" s="210"/>
      <c r="P38" s="208"/>
      <c r="Q38" s="208"/>
      <c r="R38" s="208"/>
      <c r="S38" s="208"/>
      <c r="T38" s="220" t="str">
        <f>IF(ROUND(SUM(IS!P38:S38),1)=ROUND(IS!T38,1),"OK","ERROR")</f>
        <v>OK</v>
      </c>
      <c r="U38" s="210"/>
      <c r="V38" s="208"/>
      <c r="W38" s="208"/>
      <c r="X38" s="208"/>
      <c r="Y38" s="208"/>
      <c r="Z38" s="220" t="str">
        <f>IF(ROUND(SUM(IS!V38:Y38),1)=ROUND(IS!Z38,1),"OK","ERROR")</f>
        <v>OK</v>
      </c>
      <c r="AA38" s="213"/>
      <c r="AB38" s="208"/>
      <c r="AC38" s="208"/>
      <c r="AD38" s="208"/>
      <c r="AE38" s="208"/>
      <c r="AF38" s="220" t="str">
        <f>IF(ROUND(SUM(IS!AB38:AE38),1)=ROUND(IS!AF38,1),"OK","ERROR")</f>
        <v>OK</v>
      </c>
      <c r="AG38" s="211"/>
      <c r="AH38" s="208"/>
      <c r="AI38" s="208"/>
      <c r="AJ38" s="212"/>
      <c r="AK38" s="212"/>
      <c r="AL38" s="220" t="str">
        <f>IF(ROUND(SUM(IS!AH38:AK38),1)=ROUND(IS!AL38,1),"OK","ERROR")</f>
        <v>ERROR</v>
      </c>
      <c r="AM38" s="224"/>
      <c r="AN38" s="212"/>
      <c r="AO38" s="212"/>
      <c r="AP38" s="212"/>
      <c r="AQ38" s="212"/>
      <c r="AR38" s="220" t="str">
        <f>IF(ROUND(SUM(IS!AN38:AQ38),1)=ROUND(IS!AR38,1),"OK","ERROR")</f>
        <v>OK</v>
      </c>
    </row>
    <row r="39" spans="1:44" ht="14.25" customHeight="1">
      <c r="A39" s="73"/>
      <c r="B39" s="76" t="s">
        <v>651</v>
      </c>
      <c r="D39" s="208"/>
      <c r="E39" s="208"/>
      <c r="F39" s="208"/>
      <c r="G39" s="208"/>
      <c r="H39" s="220" t="str">
        <f>IF(ROUND(SUM(IS!D39:G39),1)=ROUND(IS!H39,1),"OK","ERROR")</f>
        <v>OK</v>
      </c>
      <c r="I39" s="210"/>
      <c r="J39" s="208"/>
      <c r="K39" s="208"/>
      <c r="L39" s="208"/>
      <c r="M39" s="208"/>
      <c r="N39" s="220" t="str">
        <f>IF(ROUND(SUM(IS!J39:M39),1)=ROUND(IS!N39,1),"OK","ERROR")</f>
        <v>OK</v>
      </c>
      <c r="O39" s="210"/>
      <c r="P39" s="208"/>
      <c r="Q39" s="208"/>
      <c r="R39" s="208"/>
      <c r="S39" s="208"/>
      <c r="T39" s="220" t="str">
        <f>IF(ROUND(SUM(IS!P39:S39),1)=ROUND(IS!T39,1),"OK","ERROR")</f>
        <v>OK</v>
      </c>
      <c r="U39" s="210"/>
      <c r="V39" s="208"/>
      <c r="W39" s="208"/>
      <c r="X39" s="208"/>
      <c r="Y39" s="208"/>
      <c r="Z39" s="220" t="str">
        <f>IF(ROUND(SUM(IS!V39:Y39),1)=ROUND(IS!Z39,1),"OK","ERROR")</f>
        <v>OK</v>
      </c>
      <c r="AA39" s="228"/>
      <c r="AB39" s="208"/>
      <c r="AC39" s="208"/>
      <c r="AD39" s="208"/>
      <c r="AE39" s="208"/>
      <c r="AF39" s="220" t="str">
        <f>IF(ROUND(SUM(IS!AB39:AE39),1)=ROUND(IS!AF39,1),"OK","ERROR")</f>
        <v>OK</v>
      </c>
      <c r="AG39" s="229"/>
      <c r="AH39" s="208"/>
      <c r="AI39" s="208"/>
      <c r="AJ39" s="212"/>
      <c r="AK39" s="212"/>
      <c r="AL39" s="220" t="str">
        <f>IF(ROUND(SUM(IS!AH39:AK39),1)=ROUND(IS!AL39,1),"OK","ERROR")</f>
        <v>OK</v>
      </c>
      <c r="AM39" s="228"/>
      <c r="AN39" s="212"/>
      <c r="AO39" s="212"/>
      <c r="AP39" s="212"/>
      <c r="AQ39" s="212"/>
      <c r="AR39" s="220" t="str">
        <f>IF(ROUND(SUM(IS!AN39:AQ39),1)=ROUND(IS!AR39,1),"OK","ERROR")</f>
        <v>OK</v>
      </c>
    </row>
    <row r="40" spans="1:44" ht="14.25" customHeight="1">
      <c r="A40" s="55"/>
      <c r="B40" s="76" t="s">
        <v>652</v>
      </c>
      <c r="D40" s="208"/>
      <c r="E40" s="208"/>
      <c r="F40" s="208"/>
      <c r="G40" s="208"/>
      <c r="H40" s="226" t="str">
        <f>IF(ROUND(SUM(IS!D40:G40),1)=ROUND(IS!H40,1),"OK","ERROR")</f>
        <v>OK</v>
      </c>
      <c r="I40" s="210"/>
      <c r="J40" s="208"/>
      <c r="K40" s="208"/>
      <c r="L40" s="208"/>
      <c r="M40" s="208"/>
      <c r="N40" s="226" t="str">
        <f>IF(ROUND(SUM(IS!J40:M40),1)=ROUND(IS!N40,1),"OK","ERROR")</f>
        <v>OK</v>
      </c>
      <c r="O40" s="210"/>
      <c r="P40" s="208"/>
      <c r="Q40" s="208"/>
      <c r="R40" s="208"/>
      <c r="S40" s="208"/>
      <c r="T40" s="226" t="str">
        <f>IF(ROUND(SUM(IS!P40:S40),1)=ROUND(IS!T40,1),"OK","ERROR")</f>
        <v>ERROR</v>
      </c>
      <c r="U40" s="210"/>
      <c r="V40" s="208"/>
      <c r="W40" s="208"/>
      <c r="X40" s="208"/>
      <c r="Y40" s="208"/>
      <c r="Z40" s="226" t="str">
        <f>IF(ROUND(SUM(IS!V40:Y40),1)=ROUND(IS!Z40,1),"OK","ERROR")</f>
        <v>OK</v>
      </c>
      <c r="AA40" s="213"/>
      <c r="AB40" s="208"/>
      <c r="AC40" s="208"/>
      <c r="AD40" s="208"/>
      <c r="AE40" s="208"/>
      <c r="AF40" s="226" t="str">
        <f>IF(ROUND(SUM(IS!AB40:AE40),1)=ROUND(IS!AF40,1),"OK","ERROR")</f>
        <v>OK</v>
      </c>
      <c r="AG40" s="211"/>
      <c r="AH40" s="208"/>
      <c r="AI40" s="208"/>
      <c r="AJ40" s="212"/>
      <c r="AK40" s="212"/>
      <c r="AL40" s="226" t="str">
        <f>IF(ROUND(SUM(IS!AH40:AK40),1)=ROUND(IS!AL40,1),"OK","ERROR")</f>
        <v>ERROR</v>
      </c>
      <c r="AM40" s="213"/>
      <c r="AN40" s="212"/>
      <c r="AO40" s="212"/>
      <c r="AP40" s="212"/>
      <c r="AQ40" s="212"/>
      <c r="AR40" s="226" t="str">
        <f>IF(ROUND(SUM(IS!AN40:AQ40),1)=ROUND(IS!AR40,1),"OK","ERROR")</f>
        <v>OK</v>
      </c>
    </row>
    <row r="41" spans="1:44" ht="14.25" customHeight="1">
      <c r="A41" s="73"/>
      <c r="B41" s="79" t="s">
        <v>653</v>
      </c>
      <c r="D41" s="208"/>
      <c r="E41" s="208"/>
      <c r="F41" s="208"/>
      <c r="G41" s="208"/>
      <c r="H41" s="227" t="str">
        <f>IF(ROUND(SUM(IS!D41:G41),1)=ROUND(IS!H41,1),"OK","ERROR")</f>
        <v>OK</v>
      </c>
      <c r="I41" s="210"/>
      <c r="J41" s="208"/>
      <c r="K41" s="208"/>
      <c r="L41" s="208"/>
      <c r="M41" s="208"/>
      <c r="N41" s="227" t="str">
        <f>IF(ROUND(SUM(IS!J41:M41),1)=ROUND(IS!N41,1),"OK","ERROR")</f>
        <v>OK</v>
      </c>
      <c r="O41" s="210"/>
      <c r="P41" s="208"/>
      <c r="Q41" s="208"/>
      <c r="R41" s="208"/>
      <c r="S41" s="208"/>
      <c r="T41" s="227" t="str">
        <f>IF(ROUND(SUM(IS!P41:S41),1)=ROUND(IS!T41,1),"OK","ERROR")</f>
        <v>ERROR</v>
      </c>
      <c r="U41" s="210"/>
      <c r="V41" s="208"/>
      <c r="W41" s="208"/>
      <c r="X41" s="208"/>
      <c r="Y41" s="208"/>
      <c r="Z41" s="227" t="str">
        <f>IF(ROUND(SUM(IS!V41:Y41),1)=ROUND(IS!Z41,1),"OK","ERROR")</f>
        <v>OK</v>
      </c>
      <c r="AA41" s="232"/>
      <c r="AB41" s="208"/>
      <c r="AC41" s="208"/>
      <c r="AD41" s="208"/>
      <c r="AE41" s="208"/>
      <c r="AF41" s="227" t="str">
        <f>IF(ROUND(SUM(IS!AB41:AE41),1)=ROUND(IS!AF41,1),"OK","ERROR")</f>
        <v>OK</v>
      </c>
      <c r="AG41" s="229"/>
      <c r="AH41" s="208"/>
      <c r="AI41" s="208"/>
      <c r="AJ41" s="212"/>
      <c r="AK41" s="212"/>
      <c r="AL41" s="227" t="str">
        <f>IF(ROUND(SUM(IS!AH41:AK41),1)=ROUND(IS!AL41,1),"OK","ERROR")</f>
        <v>ERROR</v>
      </c>
      <c r="AM41" s="228"/>
      <c r="AN41" s="212"/>
      <c r="AO41" s="212"/>
      <c r="AP41" s="212"/>
      <c r="AQ41" s="212"/>
      <c r="AR41" s="227" t="str">
        <f>IF(ROUND(SUM(IS!AN41:AQ41),1)=ROUND(IS!AR41,1),"OK","ERROR")</f>
        <v>OK</v>
      </c>
    </row>
    <row r="42" spans="1:44" ht="14.25" customHeight="1">
      <c r="A42" s="84"/>
      <c r="B42" s="90" t="s">
        <v>654</v>
      </c>
      <c r="D42" s="208"/>
      <c r="E42" s="208"/>
      <c r="F42" s="208"/>
      <c r="G42" s="208"/>
      <c r="H42" s="227" t="str">
        <f>IF(ROUND(SUM(IS!D42:G42),1)=ROUND(IS!H42,1),"OK","ERROR")</f>
        <v>ERROR</v>
      </c>
      <c r="I42" s="210"/>
      <c r="J42" s="208"/>
      <c r="K42" s="208"/>
      <c r="L42" s="208"/>
      <c r="M42" s="208"/>
      <c r="N42" s="227" t="str">
        <f>IF(ROUND(SUM(IS!J42:M42),1)=ROUND(IS!N42,1),"OK","ERROR")</f>
        <v>OK</v>
      </c>
      <c r="O42" s="210"/>
      <c r="P42" s="208"/>
      <c r="Q42" s="208"/>
      <c r="R42" s="208"/>
      <c r="S42" s="208"/>
      <c r="T42" s="227" t="str">
        <f>IF(ROUND(SUM(IS!P42:S42),1)=ROUND(IS!T42,1),"OK","ERROR")</f>
        <v>ERROR</v>
      </c>
      <c r="U42" s="210"/>
      <c r="V42" s="208"/>
      <c r="W42" s="208"/>
      <c r="X42" s="208"/>
      <c r="Y42" s="208"/>
      <c r="Z42" s="227" t="str">
        <f>IF(ROUND(SUM(IS!V42:Y42),1)=ROUND(IS!Z42,1),"OK","ERROR")</f>
        <v>ERROR</v>
      </c>
      <c r="AA42" s="213"/>
      <c r="AB42" s="208"/>
      <c r="AC42" s="208"/>
      <c r="AD42" s="208"/>
      <c r="AE42" s="208"/>
      <c r="AF42" s="227" t="str">
        <f>IF(ROUND(SUM(IS!AB42:AE42),1)=ROUND(IS!AF42,1),"OK","ERROR")</f>
        <v>OK</v>
      </c>
      <c r="AG42" s="211"/>
      <c r="AH42" s="208"/>
      <c r="AI42" s="208"/>
      <c r="AJ42" s="212"/>
      <c r="AK42" s="212"/>
      <c r="AL42" s="227" t="str">
        <f>IF(ROUND(SUM(IS!AH42:AK42),1)=ROUND(IS!AL42,1),"OK","ERROR")</f>
        <v>ERROR</v>
      </c>
      <c r="AM42" s="213"/>
      <c r="AN42" s="212"/>
      <c r="AO42" s="212"/>
      <c r="AP42" s="212"/>
      <c r="AQ42" s="212"/>
      <c r="AR42" s="227" t="str">
        <f>IF(ROUND(SUM(IS!AN42:AQ42),1)=ROUND(IS!AR42,1),"OK","ERROR")</f>
        <v>OK</v>
      </c>
    </row>
    <row r="43" spans="1:44" ht="14.25" customHeight="1">
      <c r="A43" s="73"/>
      <c r="B43" s="76"/>
      <c r="D43" s="208"/>
      <c r="E43" s="208"/>
      <c r="F43" s="208"/>
      <c r="G43" s="208"/>
      <c r="H43" s="220"/>
      <c r="I43" s="210"/>
      <c r="J43" s="208"/>
      <c r="K43" s="208"/>
      <c r="L43" s="208"/>
      <c r="M43" s="208"/>
      <c r="N43" s="220"/>
      <c r="O43" s="210"/>
      <c r="P43" s="208"/>
      <c r="Q43" s="208"/>
      <c r="R43" s="208"/>
      <c r="S43" s="208"/>
      <c r="T43" s="220"/>
      <c r="U43" s="210"/>
      <c r="V43" s="208"/>
      <c r="W43" s="208"/>
      <c r="X43" s="208"/>
      <c r="Y43" s="208"/>
      <c r="Z43" s="220"/>
      <c r="AA43" s="213"/>
      <c r="AB43" s="208"/>
      <c r="AC43" s="208"/>
      <c r="AD43" s="208"/>
      <c r="AE43" s="208"/>
      <c r="AF43" s="220"/>
      <c r="AG43" s="211"/>
      <c r="AH43" s="208"/>
      <c r="AI43" s="208"/>
      <c r="AJ43" s="212"/>
      <c r="AK43" s="212"/>
      <c r="AL43" s="220"/>
      <c r="AM43" s="213"/>
      <c r="AN43" s="212"/>
      <c r="AO43" s="212"/>
      <c r="AP43" s="212"/>
      <c r="AQ43" s="212"/>
      <c r="AR43" s="220"/>
    </row>
    <row r="44" spans="1:44" ht="14.25" customHeight="1">
      <c r="A44" s="44" t="s">
        <v>37</v>
      </c>
      <c r="B44" s="65" t="s">
        <v>655</v>
      </c>
      <c r="D44" s="208"/>
      <c r="E44" s="208"/>
      <c r="F44" s="208"/>
      <c r="G44" s="208"/>
      <c r="H44" s="220"/>
      <c r="I44" s="210"/>
      <c r="J44" s="208"/>
      <c r="K44" s="208"/>
      <c r="L44" s="208"/>
      <c r="M44" s="208"/>
      <c r="N44" s="220"/>
      <c r="O44" s="210"/>
      <c r="P44" s="208"/>
      <c r="Q44" s="208"/>
      <c r="R44" s="208"/>
      <c r="S44" s="208"/>
      <c r="T44" s="220"/>
      <c r="U44" s="210"/>
      <c r="V44" s="208"/>
      <c r="W44" s="208"/>
      <c r="X44" s="208"/>
      <c r="Y44" s="208"/>
      <c r="Z44" s="220"/>
      <c r="AA44" s="213"/>
      <c r="AB44" s="208"/>
      <c r="AC44" s="208"/>
      <c r="AD44" s="208"/>
      <c r="AE44" s="208"/>
      <c r="AF44" s="220"/>
      <c r="AG44" s="211"/>
      <c r="AH44" s="208"/>
      <c r="AI44" s="208"/>
      <c r="AJ44" s="212"/>
      <c r="AK44" s="212"/>
      <c r="AL44" s="220"/>
      <c r="AM44" s="213"/>
      <c r="AN44" s="212"/>
      <c r="AO44" s="212"/>
      <c r="AP44" s="212"/>
      <c r="AQ44" s="212"/>
      <c r="AR44" s="220"/>
    </row>
    <row r="45" spans="1:44" ht="14.25" customHeight="1">
      <c r="A45" s="84"/>
      <c r="B45" s="70" t="s">
        <v>656</v>
      </c>
      <c r="D45" s="208"/>
      <c r="E45" s="208"/>
      <c r="F45" s="208"/>
      <c r="G45" s="208"/>
      <c r="H45" s="220" t="str">
        <f>IF(ROUND(SUM(IS!D45:G45),1)=ROUND(IS!H45,1),"OK","ERROR")</f>
        <v>ERROR</v>
      </c>
      <c r="I45" s="210"/>
      <c r="J45" s="208"/>
      <c r="K45" s="208"/>
      <c r="L45" s="208"/>
      <c r="M45" s="208"/>
      <c r="N45" s="220" t="str">
        <f>IF(ROUND(SUM(IS!J45:M45),1)=ROUND(IS!N45,1),"OK","ERROR")</f>
        <v>OK</v>
      </c>
      <c r="O45" s="210"/>
      <c r="P45" s="208"/>
      <c r="Q45" s="208"/>
      <c r="R45" s="208"/>
      <c r="S45" s="208"/>
      <c r="T45" s="220" t="str">
        <f>IF(ROUND(SUM(IS!P45:S45),1)=ROUND(IS!T45,1),"OK","ERROR")</f>
        <v>ERROR</v>
      </c>
      <c r="U45" s="210"/>
      <c r="V45" s="208"/>
      <c r="W45" s="208"/>
      <c r="X45" s="208"/>
      <c r="Y45" s="208"/>
      <c r="Z45" s="220" t="str">
        <f>IF(ROUND(SUM(IS!V45:Y45),1)=ROUND(IS!Z45,1),"OK","ERROR")</f>
        <v>ERROR</v>
      </c>
      <c r="AA45" s="224"/>
      <c r="AB45" s="208"/>
      <c r="AC45" s="208"/>
      <c r="AD45" s="208"/>
      <c r="AE45" s="208"/>
      <c r="AF45" s="220" t="str">
        <f>IF(ROUND(SUM(IS!AB45:AE45),1)=ROUND(IS!AF45,1),"OK","ERROR")</f>
        <v>ERROR</v>
      </c>
      <c r="AG45" s="211"/>
      <c r="AH45" s="208"/>
      <c r="AI45" s="208"/>
      <c r="AJ45" s="212"/>
      <c r="AK45" s="212"/>
      <c r="AL45" s="220" t="str">
        <f>IF(ROUND(SUM(IS!AH45:AK45),1)=ROUND(IS!AL45,1),"OK","ERROR")</f>
        <v>ERROR</v>
      </c>
      <c r="AM45" s="235"/>
      <c r="AN45" s="212"/>
      <c r="AO45" s="212"/>
      <c r="AP45" s="212"/>
      <c r="AQ45" s="212"/>
      <c r="AR45" s="220" t="str">
        <f>IF(ROUND(SUM(IS!AN45:AQ45),1)=ROUND(IS!AR45,1),"OK","ERROR")</f>
        <v>OK</v>
      </c>
    </row>
    <row r="46" spans="1:44" ht="14.25" customHeight="1">
      <c r="A46" s="84"/>
      <c r="B46" s="70" t="s">
        <v>657</v>
      </c>
      <c r="D46" s="208"/>
      <c r="E46" s="208"/>
      <c r="F46" s="208"/>
      <c r="G46" s="208"/>
      <c r="H46" s="220" t="str">
        <f>IF(ROUND(SUM(IS!D46:G46),1)=ROUND(IS!H46,1),"OK","ERROR")</f>
        <v>OK</v>
      </c>
      <c r="I46" s="210"/>
      <c r="J46" s="208"/>
      <c r="K46" s="208"/>
      <c r="L46" s="208"/>
      <c r="M46" s="208"/>
      <c r="N46" s="220" t="str">
        <f>IF(ROUND(SUM(IS!J46:M46),1)=ROUND(IS!N46,1),"OK","ERROR")</f>
        <v>OK</v>
      </c>
      <c r="O46" s="210"/>
      <c r="P46" s="208"/>
      <c r="Q46" s="208"/>
      <c r="R46" s="208"/>
      <c r="S46" s="208"/>
      <c r="T46" s="220" t="str">
        <f>IF(ROUND(SUM(IS!P46:S46),1)=ROUND(IS!T46,1),"OK","ERROR")</f>
        <v>OK</v>
      </c>
      <c r="U46" s="210"/>
      <c r="V46" s="208"/>
      <c r="W46" s="208"/>
      <c r="X46" s="208"/>
      <c r="Y46" s="208"/>
      <c r="Z46" s="220" t="str">
        <f>IF(ROUND(SUM(IS!V46:Y46),1)=ROUND(IS!Z46,1),"OK","ERROR")</f>
        <v>OK</v>
      </c>
      <c r="AA46" s="213"/>
      <c r="AB46" s="208"/>
      <c r="AC46" s="208"/>
      <c r="AD46" s="208"/>
      <c r="AE46" s="208"/>
      <c r="AF46" s="220" t="str">
        <f>IF(ROUND(SUM(IS!AB46:AE46),1)=ROUND(IS!AF46,1),"OK","ERROR")</f>
        <v>OK</v>
      </c>
      <c r="AG46" s="211"/>
      <c r="AH46" s="208"/>
      <c r="AI46" s="208"/>
      <c r="AJ46" s="212"/>
      <c r="AK46" s="212"/>
      <c r="AL46" s="220" t="str">
        <f>IF(ROUND(SUM(IS!AH46:AK46),1)=ROUND(IS!AL46,1),"OK","ERROR")</f>
        <v>OK</v>
      </c>
      <c r="AM46" s="236"/>
      <c r="AN46" s="212"/>
      <c r="AO46" s="212"/>
      <c r="AP46" s="212"/>
      <c r="AQ46" s="212"/>
      <c r="AR46" s="220" t="str">
        <f>IF(ROUND(SUM(IS!AN46:AQ46),1)=ROUND(IS!AR46,1),"OK","ERROR")</f>
        <v>OK</v>
      </c>
    </row>
    <row r="47" spans="1:44" ht="14.25" customHeight="1" thickBot="1">
      <c r="A47" s="73"/>
      <c r="B47" s="70" t="s">
        <v>658</v>
      </c>
      <c r="D47" s="208"/>
      <c r="E47" s="208"/>
      <c r="F47" s="208"/>
      <c r="G47" s="208"/>
      <c r="H47" s="237" t="str">
        <f>IF(ROUND(SUM(IS!D47:G47),1)=ROUND(IS!H47,1),"OK","ERROR")</f>
        <v>OK</v>
      </c>
      <c r="I47" s="210"/>
      <c r="J47" s="208"/>
      <c r="K47" s="208"/>
      <c r="L47" s="208"/>
      <c r="M47" s="208"/>
      <c r="N47" s="237" t="str">
        <f>IF(ROUND(SUM(IS!J47:M47),1)=ROUND(IS!N47,1),"OK","ERROR")</f>
        <v>OK</v>
      </c>
      <c r="O47" s="210"/>
      <c r="P47" s="208"/>
      <c r="Q47" s="208"/>
      <c r="R47" s="208"/>
      <c r="S47" s="208"/>
      <c r="T47" s="237" t="str">
        <f>IF(ROUND(SUM(IS!P47:S47),1)=ROUND(IS!T47,1),"OK","ERROR")</f>
        <v>OK</v>
      </c>
      <c r="U47" s="210"/>
      <c r="V47" s="208"/>
      <c r="W47" s="208"/>
      <c r="X47" s="208"/>
      <c r="Y47" s="208"/>
      <c r="Z47" s="237" t="str">
        <f>IF(ROUND(SUM(IS!V47:Y47),1)=ROUND(IS!Z47,1),"OK","ERROR")</f>
        <v>ERROR</v>
      </c>
      <c r="AA47" s="213"/>
      <c r="AB47" s="208"/>
      <c r="AC47" s="208"/>
      <c r="AD47" s="208"/>
      <c r="AE47" s="208"/>
      <c r="AF47" s="237" t="str">
        <f>IF(ROUND(SUM(IS!AB47:AE47),1)=ROUND(IS!AF47,1),"OK","ERROR")</f>
        <v>ERROR</v>
      </c>
      <c r="AG47" s="211"/>
      <c r="AH47" s="208"/>
      <c r="AI47" s="208"/>
      <c r="AJ47" s="212"/>
      <c r="AK47" s="212"/>
      <c r="AL47" s="237" t="str">
        <f>IF(ROUND(SUM(IS!AH47:AK47),1)=ROUND(IS!AL47,1),"OK","ERROR")</f>
        <v>ERROR</v>
      </c>
      <c r="AM47" s="236"/>
      <c r="AN47" s="212"/>
      <c r="AO47" s="212"/>
      <c r="AP47" s="212"/>
      <c r="AQ47" s="212"/>
      <c r="AR47" s="237" t="str">
        <f>IF(ROUND(SUM(IS!AN47:AQ47),1)=ROUND(IS!AR47,1),"OK","ERROR")</f>
        <v>OK</v>
      </c>
    </row>
    <row r="49" spans="1:50" ht="14.25" customHeight="1">
      <c r="A49" s="44" t="s">
        <v>37</v>
      </c>
      <c r="B49" s="65" t="s">
        <v>659</v>
      </c>
      <c r="D49" s="208"/>
      <c r="E49" s="208"/>
      <c r="F49" s="208"/>
      <c r="G49" s="208"/>
      <c r="H49" s="220"/>
      <c r="I49" s="210"/>
      <c r="J49" s="208"/>
      <c r="K49" s="208"/>
      <c r="L49" s="208"/>
      <c r="M49" s="208"/>
      <c r="N49" s="220"/>
      <c r="O49" s="210"/>
      <c r="P49" s="208"/>
      <c r="Q49" s="208"/>
      <c r="R49" s="208"/>
      <c r="S49" s="208"/>
      <c r="T49" s="220"/>
      <c r="U49" s="210"/>
      <c r="V49" s="208"/>
      <c r="W49" s="208"/>
      <c r="X49" s="208"/>
      <c r="Y49" s="208"/>
      <c r="Z49" s="220"/>
      <c r="AA49" s="210"/>
      <c r="AB49" s="208"/>
      <c r="AC49" s="208"/>
      <c r="AD49" s="208"/>
      <c r="AE49" s="208"/>
      <c r="AF49" s="220"/>
      <c r="AG49" s="238"/>
      <c r="AH49" s="208"/>
      <c r="AI49" s="208"/>
      <c r="AJ49" s="212"/>
      <c r="AK49" s="212"/>
      <c r="AL49" s="220"/>
      <c r="AM49" s="210"/>
      <c r="AN49" s="212"/>
      <c r="AO49" s="212"/>
      <c r="AP49" s="212"/>
      <c r="AQ49" s="212"/>
      <c r="AR49" s="220"/>
      <c r="AS49" s="210"/>
      <c r="AT49" s="220"/>
      <c r="AU49" s="239"/>
      <c r="AV49" s="220"/>
      <c r="AW49" s="239"/>
      <c r="AX49" s="220"/>
    </row>
    <row r="50" spans="1:50" ht="14.25" customHeight="1">
      <c r="A50" s="73"/>
      <c r="B50" s="70" t="s">
        <v>660</v>
      </c>
      <c r="D50" s="208"/>
      <c r="E50" s="208"/>
      <c r="F50" s="208"/>
      <c r="G50" s="208"/>
      <c r="H50" s="220" t="str">
        <f>IF(ROUND(SUM(IS!D50:G50),1)=ROUND(IS!H50,1),"OK","ERROR")</f>
        <v>OK</v>
      </c>
      <c r="I50" s="210"/>
      <c r="J50" s="208"/>
      <c r="K50" s="208"/>
      <c r="L50" s="208"/>
      <c r="M50" s="208"/>
      <c r="N50" s="220" t="str">
        <f>IF(ROUND(SUM(IS!J50:M50),1)=ROUND(IS!N50,1),"OK","ERROR")</f>
        <v>OK</v>
      </c>
      <c r="O50" s="210"/>
      <c r="P50" s="208"/>
      <c r="Q50" s="208"/>
      <c r="R50" s="208"/>
      <c r="S50" s="208"/>
      <c r="T50" s="220" t="str">
        <f>IF(ROUND(SUM(IS!P50:S50),1)=ROUND(IS!T50,1),"OK","ERROR")</f>
        <v>OK</v>
      </c>
      <c r="U50" s="210"/>
      <c r="V50" s="208"/>
      <c r="W50" s="208"/>
      <c r="X50" s="208"/>
      <c r="Y50" s="208"/>
      <c r="Z50" s="220" t="str">
        <f>IF(ROUND(SUM(IS!V50:Y50),1)=ROUND(IS!Z50,1),"OK","ERROR")</f>
        <v>OK</v>
      </c>
      <c r="AA50" s="228"/>
      <c r="AB50" s="208"/>
      <c r="AC50" s="208"/>
      <c r="AD50" s="208"/>
      <c r="AE50" s="208"/>
      <c r="AF50" s="220" t="str">
        <f>IF(ROUND(SUM(IS!AB50:AE50),1)=ROUND(IS!AF50,1),"OK","ERROR")</f>
        <v>OK</v>
      </c>
      <c r="AG50" s="229"/>
      <c r="AH50" s="208"/>
      <c r="AI50" s="208"/>
      <c r="AJ50" s="212"/>
      <c r="AK50" s="212"/>
      <c r="AL50" s="220" t="str">
        <f>IF(ROUND(SUM(IS!AH50:AK50),1)=ROUND(IS!AL50,1),"OK","ERROR")</f>
        <v>OK</v>
      </c>
      <c r="AM50" s="228"/>
      <c r="AN50" s="212"/>
      <c r="AO50" s="212"/>
      <c r="AP50" s="212"/>
      <c r="AQ50" s="212"/>
      <c r="AR50" s="220" t="str">
        <f>IF(ROUND(SUM(IS!AN50:AQ50),1)=ROUND(IS!AR50,1),"OK","ERROR")</f>
        <v>OK</v>
      </c>
      <c r="AS50" s="228"/>
      <c r="AT50" s="220"/>
      <c r="AU50" s="230"/>
      <c r="AV50" s="220"/>
      <c r="AW50" s="230"/>
      <c r="AX50" s="220"/>
    </row>
    <row r="51" spans="1:50" ht="14.25" customHeight="1">
      <c r="A51" s="55"/>
      <c r="B51" s="70" t="s">
        <v>661</v>
      </c>
      <c r="D51" s="208"/>
      <c r="E51" s="208"/>
      <c r="F51" s="208"/>
      <c r="G51" s="208"/>
      <c r="H51" s="226" t="str">
        <f>IF(ROUND(SUM(IS!D51:G51),1)=ROUND(IS!H51,1),"OK","ERROR")</f>
        <v>OK</v>
      </c>
      <c r="I51" s="210"/>
      <c r="J51" s="208"/>
      <c r="K51" s="208"/>
      <c r="L51" s="208"/>
      <c r="M51" s="208"/>
      <c r="N51" s="226" t="str">
        <f>IF(ROUND(SUM(IS!J51:M51),1)=ROUND(IS!N51,1),"OK","ERROR")</f>
        <v>OK</v>
      </c>
      <c r="O51" s="210"/>
      <c r="P51" s="208"/>
      <c r="Q51" s="208"/>
      <c r="R51" s="208"/>
      <c r="S51" s="208"/>
      <c r="T51" s="226" t="str">
        <f>IF(ROUND(SUM(IS!P51:S51),1)=ROUND(IS!T51,1),"OK","ERROR")</f>
        <v>OK</v>
      </c>
      <c r="U51" s="210"/>
      <c r="V51" s="208"/>
      <c r="W51" s="208"/>
      <c r="X51" s="208"/>
      <c r="Y51" s="208"/>
      <c r="Z51" s="226" t="str">
        <f>IF(ROUND(SUM(IS!V51:Y51),1)=ROUND(IS!Z51,1),"OK","ERROR")</f>
        <v>OK</v>
      </c>
      <c r="AA51" s="210"/>
      <c r="AB51" s="208"/>
      <c r="AC51" s="208"/>
      <c r="AD51" s="208"/>
      <c r="AE51" s="208"/>
      <c r="AF51" s="226" t="str">
        <f>IF(ROUND(SUM(IS!AB51:AE51),1)=ROUND(IS!AF51,1),"OK","ERROR")</f>
        <v>OK</v>
      </c>
      <c r="AG51" s="238"/>
      <c r="AH51" s="208"/>
      <c r="AI51" s="208"/>
      <c r="AJ51" s="212"/>
      <c r="AK51" s="212"/>
      <c r="AL51" s="226" t="str">
        <f>IF(ROUND(SUM(IS!AH51:AK51),1)=ROUND(IS!AL51,1),"OK","ERROR")</f>
        <v>OK</v>
      </c>
      <c r="AM51" s="210"/>
      <c r="AN51" s="212"/>
      <c r="AO51" s="212"/>
      <c r="AP51" s="212"/>
      <c r="AQ51" s="212"/>
      <c r="AR51" s="226" t="str">
        <f>IF(ROUND(SUM(IS!AN51:AQ51),1)=ROUND(IS!AR51,1),"OK","ERROR")</f>
        <v>OK</v>
      </c>
      <c r="AS51" s="210"/>
      <c r="AT51" s="226"/>
      <c r="AU51" s="239"/>
      <c r="AV51" s="226"/>
      <c r="AW51" s="239"/>
      <c r="AX51" s="226"/>
    </row>
    <row r="52" spans="1:50" ht="14.25" customHeight="1" thickBot="1">
      <c r="A52" s="73"/>
      <c r="B52" s="76" t="s">
        <v>662</v>
      </c>
      <c r="D52" s="208"/>
      <c r="E52" s="208"/>
      <c r="F52" s="208"/>
      <c r="G52" s="208"/>
      <c r="H52" s="237" t="str">
        <f>IF(ROUND(SUM(IS!D52:G52),1)=ROUND(IS!H52,1),"OK","ERROR")</f>
        <v>OK</v>
      </c>
      <c r="I52" s="210"/>
      <c r="J52" s="208"/>
      <c r="K52" s="208"/>
      <c r="L52" s="208"/>
      <c r="M52" s="208"/>
      <c r="N52" s="237" t="str">
        <f>IF(ROUND(SUM(IS!J52:M52),1)=ROUND(IS!N52,1),"OK","ERROR")</f>
        <v>OK</v>
      </c>
      <c r="O52" s="210"/>
      <c r="P52" s="208"/>
      <c r="Q52" s="208"/>
      <c r="R52" s="208"/>
      <c r="S52" s="208"/>
      <c r="T52" s="237" t="str">
        <f>IF(ROUND(SUM(IS!P52:S52),1)=ROUND(IS!T52,1),"OK","ERROR")</f>
        <v>OK</v>
      </c>
      <c r="U52" s="210"/>
      <c r="V52" s="208"/>
      <c r="W52" s="208"/>
      <c r="X52" s="208"/>
      <c r="Y52" s="208"/>
      <c r="Z52" s="237" t="str">
        <f>IF(ROUND(SUM(IS!V52:Y52),1)=ROUND(IS!Z52,1),"OK","ERROR")</f>
        <v>ERROR</v>
      </c>
      <c r="AA52" s="210"/>
      <c r="AB52" s="208"/>
      <c r="AC52" s="208"/>
      <c r="AD52" s="208"/>
      <c r="AE52" s="208"/>
      <c r="AF52" s="237" t="str">
        <f>IF(ROUND(SUM(IS!AB52:AE52),1)=ROUND(IS!AF52,1),"OK","ERROR")</f>
        <v>ERROR</v>
      </c>
      <c r="AG52" s="238"/>
      <c r="AH52" s="208"/>
      <c r="AI52" s="208"/>
      <c r="AJ52" s="212"/>
      <c r="AK52" s="212"/>
      <c r="AL52" s="237" t="str">
        <f>IF(ROUND(SUM(IS!AH52:AK52),1)=ROUND(IS!AL52,1),"OK","ERROR")</f>
        <v>ERROR</v>
      </c>
      <c r="AM52" s="210"/>
      <c r="AN52" s="212"/>
      <c r="AO52" s="212"/>
      <c r="AP52" s="212"/>
      <c r="AQ52" s="212"/>
      <c r="AR52" s="237" t="str">
        <f>IF(ROUND(SUM(IS!AN52:AQ52),1)=ROUND(IS!AR52,1),"OK","ERROR")</f>
        <v>OK</v>
      </c>
      <c r="AS52" s="210"/>
      <c r="AT52" s="237"/>
      <c r="AU52" s="239"/>
      <c r="AV52" s="237"/>
      <c r="AW52" s="239"/>
      <c r="AX52" s="237"/>
    </row>
    <row r="53" spans="1:50" ht="14.25" customHeight="1" thickTop="1">
      <c r="A53" s="55"/>
      <c r="B53" s="207"/>
      <c r="D53" s="208"/>
      <c r="E53" s="208"/>
      <c r="F53" s="208"/>
      <c r="G53" s="208"/>
      <c r="H53" s="220"/>
      <c r="I53" s="210"/>
      <c r="J53" s="208"/>
      <c r="K53" s="208"/>
      <c r="L53" s="208"/>
      <c r="M53" s="208"/>
      <c r="N53" s="220"/>
      <c r="O53" s="210"/>
      <c r="P53" s="208"/>
      <c r="Q53" s="208"/>
      <c r="R53" s="208"/>
      <c r="S53" s="208"/>
      <c r="T53" s="220"/>
      <c r="U53" s="210"/>
      <c r="V53" s="208"/>
      <c r="W53" s="208"/>
      <c r="X53" s="208"/>
      <c r="Y53" s="208"/>
      <c r="Z53" s="220"/>
      <c r="AA53" s="210"/>
      <c r="AB53" s="208"/>
      <c r="AC53" s="208"/>
      <c r="AD53" s="208"/>
      <c r="AE53" s="208"/>
      <c r="AF53" s="220"/>
      <c r="AG53" s="238"/>
      <c r="AH53" s="208"/>
      <c r="AI53" s="208"/>
      <c r="AJ53" s="212"/>
      <c r="AK53" s="212"/>
      <c r="AL53" s="220"/>
      <c r="AM53" s="210"/>
      <c r="AN53" s="212"/>
      <c r="AO53" s="212"/>
      <c r="AP53" s="212"/>
      <c r="AQ53" s="212"/>
      <c r="AR53" s="220"/>
      <c r="AS53" s="210"/>
      <c r="AT53" s="220"/>
      <c r="AU53" s="239"/>
      <c r="AV53" s="220"/>
      <c r="AW53" s="239"/>
      <c r="AX53" s="220"/>
    </row>
    <row r="54" spans="1:50" ht="14.25" customHeight="1">
      <c r="A54" s="44" t="s">
        <v>37</v>
      </c>
      <c r="B54" s="65" t="s">
        <v>663</v>
      </c>
      <c r="D54" s="208"/>
      <c r="E54" s="208"/>
      <c r="F54" s="208"/>
      <c r="G54" s="208"/>
      <c r="H54" s="220"/>
      <c r="I54" s="210"/>
      <c r="J54" s="208"/>
      <c r="K54" s="208"/>
      <c r="L54" s="208"/>
      <c r="M54" s="208"/>
      <c r="N54" s="220"/>
      <c r="O54" s="210"/>
      <c r="P54" s="208"/>
      <c r="Q54" s="208"/>
      <c r="R54" s="208"/>
      <c r="S54" s="208"/>
      <c r="T54" s="220"/>
      <c r="U54" s="210"/>
      <c r="V54" s="208"/>
      <c r="W54" s="208"/>
      <c r="X54" s="208"/>
      <c r="Y54" s="208"/>
      <c r="Z54" s="220"/>
      <c r="AA54" s="210"/>
      <c r="AB54" s="208"/>
      <c r="AC54" s="208"/>
      <c r="AD54" s="208"/>
      <c r="AE54" s="208"/>
      <c r="AF54" s="220"/>
      <c r="AG54" s="238"/>
      <c r="AH54" s="208"/>
      <c r="AI54" s="208"/>
      <c r="AJ54" s="212"/>
      <c r="AK54" s="212"/>
      <c r="AL54" s="220"/>
      <c r="AM54" s="210"/>
      <c r="AN54" s="212"/>
      <c r="AO54" s="212"/>
      <c r="AP54" s="212"/>
      <c r="AQ54" s="212"/>
      <c r="AR54" s="220"/>
      <c r="AS54" s="210"/>
      <c r="AT54" s="220"/>
      <c r="AU54" s="239"/>
      <c r="AV54" s="220"/>
      <c r="AW54" s="239"/>
      <c r="AX54" s="220"/>
    </row>
    <row r="55" spans="1:50" ht="14.25" customHeight="1">
      <c r="A55" s="55"/>
      <c r="B55" s="76" t="s">
        <v>664</v>
      </c>
      <c r="D55" s="240"/>
      <c r="E55" s="240"/>
      <c r="F55" s="240"/>
      <c r="G55" s="240"/>
      <c r="H55" s="241" t="str">
        <f>IF(ROUND(AVERAGE(IS!D55:G55),0)-ROUND(IS!H55,0)&lt;0.01*ROUND(IS!H55,0),"OK","ERROR")</f>
        <v>OK</v>
      </c>
      <c r="I55" s="242"/>
      <c r="J55" s="240"/>
      <c r="K55" s="240"/>
      <c r="L55" s="240"/>
      <c r="M55" s="240"/>
      <c r="N55" s="241" t="str">
        <f>IF(ROUND(AVERAGE(IS!J55:M55),0)-ROUND(IS!N55,0)&lt;0.01*ROUND(IS!N55,0),"OK","ERROR")</f>
        <v>OK</v>
      </c>
      <c r="O55" s="242"/>
      <c r="P55" s="240"/>
      <c r="Q55" s="240"/>
      <c r="R55" s="240"/>
      <c r="S55" s="240"/>
      <c r="T55" s="241" t="str">
        <f>IF(ROUND(AVERAGE(IS!P55:S55),0)-ROUND(IS!T55,0)&lt;0.01*ROUND(IS!T55,0),"OK","ERROR")</f>
        <v>OK</v>
      </c>
      <c r="U55" s="242"/>
      <c r="V55" s="240"/>
      <c r="W55" s="240"/>
      <c r="X55" s="240"/>
      <c r="Y55" s="240"/>
      <c r="Z55" s="241" t="str">
        <f>IF(ROUND(AVERAGE(IS!V55:Y55),0)-ROUND(IS!Z55,0)&lt;0.01*ROUND(IS!Z55,0),"OK","ERROR")</f>
        <v>OK</v>
      </c>
      <c r="AA55" s="242"/>
      <c r="AB55" s="240"/>
      <c r="AC55" s="240"/>
      <c r="AD55" s="240"/>
      <c r="AE55" s="240"/>
      <c r="AF55" s="241" t="str">
        <f>IF(ROUND(AVERAGE(IS!AB55:AE55),0)-ROUND(IS!AF55,0)&lt;0.01*ROUND(IS!AF55,0),"OK","ERROR")</f>
        <v>OK</v>
      </c>
      <c r="AG55" s="243"/>
      <c r="AH55" s="240"/>
      <c r="AI55" s="240"/>
      <c r="AJ55" s="244"/>
      <c r="AK55" s="244"/>
      <c r="AL55" s="241" t="str">
        <f>IF(ROUND(AVERAGE(IS!AH55:AK55),0)-ROUND(IS!AL55,0)&lt;0.01*ROUND(IS!AL55,0),"OK","ERROR")</f>
        <v>ERROR</v>
      </c>
      <c r="AM55" s="242"/>
      <c r="AN55" s="244"/>
      <c r="AO55" s="244"/>
      <c r="AP55" s="244"/>
      <c r="AQ55" s="244"/>
      <c r="AR55" s="241" t="e">
        <f>IF(ROUND(AVERAGE(IS!AN55:AQ55),0)-ROUND(IS!AR55,0)&lt;0.01*ROUND(IS!AR55,0),"OK","ERROR")</f>
        <v>#DIV/0!</v>
      </c>
      <c r="AS55" s="242"/>
      <c r="AT55" s="241"/>
      <c r="AU55" s="245"/>
      <c r="AV55" s="241"/>
      <c r="AW55" s="245"/>
      <c r="AX55" s="241"/>
    </row>
    <row r="56" spans="1:50" ht="14.25" customHeight="1">
      <c r="A56" s="73"/>
      <c r="B56" s="76" t="s">
        <v>665</v>
      </c>
      <c r="D56" s="240"/>
      <c r="E56" s="240"/>
      <c r="F56" s="240"/>
      <c r="G56" s="240"/>
      <c r="H56" s="241" t="str">
        <f>IF(ROUND(AVERAGE(IS!D56:G56),0)-ROUND(IS!H56,0)&lt;0.01*ROUND(IS!H56,0),"OK","ERROR")</f>
        <v>OK</v>
      </c>
      <c r="I56" s="242"/>
      <c r="J56" s="240"/>
      <c r="K56" s="240"/>
      <c r="L56" s="240"/>
      <c r="M56" s="240"/>
      <c r="N56" s="241" t="str">
        <f>IF(ROUND(AVERAGE(IS!J56:M56),0)-ROUND(IS!N56,0)&lt;0.01*ROUND(IS!N56,0),"OK","ERROR")</f>
        <v>OK</v>
      </c>
      <c r="O56" s="242"/>
      <c r="P56" s="240"/>
      <c r="Q56" s="240"/>
      <c r="R56" s="240"/>
      <c r="S56" s="240"/>
      <c r="T56" s="241" t="str">
        <f>IF(ROUND(AVERAGE(IS!P56:S56),0)-ROUND(IS!T56,0)&lt;0.01*ROUND(IS!T56,0),"OK","ERROR")</f>
        <v>OK</v>
      </c>
      <c r="U56" s="242"/>
      <c r="V56" s="240"/>
      <c r="W56" s="240"/>
      <c r="X56" s="240"/>
      <c r="Y56" s="240"/>
      <c r="Z56" s="241" t="str">
        <f>IF(ROUND(AVERAGE(IS!V56:Y56),0)-ROUND(IS!Z56,0)&lt;0.01*ROUND(IS!Z56,0),"OK","ERROR")</f>
        <v>OK</v>
      </c>
      <c r="AA56" s="242"/>
      <c r="AB56" s="240"/>
      <c r="AC56" s="240"/>
      <c r="AD56" s="240"/>
      <c r="AE56" s="240"/>
      <c r="AF56" s="241" t="str">
        <f>IF(ROUND(AVERAGE(IS!AB56:AE56),0)-ROUND(IS!AF56,0)&lt;0.01*ROUND(IS!AF56,0),"OK","ERROR")</f>
        <v>OK</v>
      </c>
      <c r="AG56" s="243"/>
      <c r="AH56" s="240"/>
      <c r="AI56" s="240"/>
      <c r="AJ56" s="244"/>
      <c r="AK56" s="244"/>
      <c r="AL56" s="241" t="str">
        <f>IF(ROUND(AVERAGE(IS!AH56:AK56),0)-ROUND(IS!AL56,0)&lt;0.01*ROUND(IS!AL56,0),"OK","ERROR")</f>
        <v>ERROR</v>
      </c>
      <c r="AM56" s="242"/>
      <c r="AN56" s="244"/>
      <c r="AO56" s="244"/>
      <c r="AP56" s="244"/>
      <c r="AQ56" s="244"/>
      <c r="AR56" s="241" t="e">
        <f>IF(ROUND(AVERAGE(IS!AN56:AQ56),0)-ROUND(IS!AR56,0)&lt;0.01*ROUND(IS!AR56,0),"OK","ERROR")</f>
        <v>#DIV/0!</v>
      </c>
      <c r="AS56" s="242"/>
      <c r="AT56" s="241"/>
      <c r="AU56" s="245"/>
      <c r="AV56" s="241"/>
      <c r="AW56" s="245"/>
      <c r="AX56" s="241"/>
    </row>
    <row r="57" spans="1:50" ht="14.25" customHeight="1">
      <c r="A57" s="55"/>
      <c r="B57" s="207"/>
      <c r="D57" s="208"/>
      <c r="E57" s="208"/>
      <c r="F57" s="208"/>
      <c r="G57" s="208"/>
      <c r="H57" s="220"/>
      <c r="I57" s="210"/>
      <c r="J57" s="208"/>
      <c r="K57" s="208"/>
      <c r="L57" s="208"/>
      <c r="M57" s="208"/>
      <c r="N57" s="220"/>
      <c r="O57" s="210"/>
      <c r="P57" s="208"/>
      <c r="Q57" s="208"/>
      <c r="R57" s="208"/>
      <c r="S57" s="208"/>
      <c r="T57" s="220"/>
      <c r="U57" s="210"/>
      <c r="V57" s="208"/>
      <c r="W57" s="208"/>
      <c r="X57" s="208"/>
      <c r="Y57" s="208"/>
      <c r="Z57" s="220"/>
      <c r="AA57" s="210"/>
      <c r="AB57" s="208"/>
      <c r="AC57" s="208"/>
      <c r="AD57" s="208"/>
      <c r="AE57" s="208"/>
      <c r="AF57" s="220"/>
      <c r="AG57" s="238"/>
      <c r="AH57" s="208"/>
      <c r="AI57" s="208"/>
      <c r="AJ57" s="212"/>
      <c r="AK57" s="212"/>
      <c r="AL57" s="220"/>
      <c r="AM57" s="210"/>
      <c r="AN57" s="212"/>
      <c r="AO57" s="212"/>
      <c r="AP57" s="212"/>
      <c r="AQ57" s="212"/>
      <c r="AR57" s="220"/>
      <c r="AS57" s="210"/>
      <c r="AT57" s="220"/>
      <c r="AU57" s="239"/>
      <c r="AV57" s="220"/>
      <c r="AW57" s="239"/>
      <c r="AX57" s="220"/>
    </row>
    <row r="58" spans="1:50" ht="14.25" customHeight="1">
      <c r="A58" s="44" t="s">
        <v>37</v>
      </c>
      <c r="B58" s="65" t="s">
        <v>666</v>
      </c>
      <c r="D58" s="208"/>
      <c r="E58" s="208"/>
      <c r="F58" s="208"/>
      <c r="G58" s="208"/>
      <c r="H58" s="220"/>
      <c r="I58" s="210"/>
      <c r="J58" s="208"/>
      <c r="K58" s="208"/>
      <c r="L58" s="208"/>
      <c r="M58" s="208"/>
      <c r="N58" s="220"/>
      <c r="O58" s="210"/>
      <c r="P58" s="208"/>
      <c r="Q58" s="208"/>
      <c r="R58" s="208"/>
      <c r="S58" s="208"/>
      <c r="T58" s="220"/>
      <c r="U58" s="210"/>
      <c r="V58" s="208"/>
      <c r="W58" s="208"/>
      <c r="X58" s="208"/>
      <c r="Y58" s="208"/>
      <c r="Z58" s="220"/>
      <c r="AA58" s="210"/>
      <c r="AB58" s="208"/>
      <c r="AC58" s="208"/>
      <c r="AD58" s="208"/>
      <c r="AE58" s="208"/>
      <c r="AF58" s="220"/>
      <c r="AG58" s="238"/>
      <c r="AH58" s="208"/>
      <c r="AI58" s="208"/>
      <c r="AJ58" s="212"/>
      <c r="AK58" s="212"/>
      <c r="AL58" s="220"/>
      <c r="AM58" s="210"/>
      <c r="AN58" s="212"/>
      <c r="AO58" s="212"/>
      <c r="AP58" s="212"/>
      <c r="AQ58" s="212"/>
      <c r="AR58" s="220"/>
      <c r="AS58" s="210"/>
      <c r="AT58" s="220"/>
      <c r="AU58" s="239"/>
      <c r="AV58" s="220"/>
      <c r="AW58" s="239"/>
      <c r="AX58" s="220"/>
    </row>
    <row r="59" spans="1:50" ht="14.25" customHeight="1">
      <c r="B59" s="70" t="s">
        <v>667</v>
      </c>
      <c r="D59" s="208"/>
      <c r="E59" s="208"/>
      <c r="F59" s="208"/>
      <c r="G59" s="208"/>
      <c r="H59" s="220" t="str">
        <f>IF(ROUND(AVERAGE(IS!D59:G59),0)-ROUND(IS!H59,0)&lt;0.01*ROUND(IS!H59,0),"OK","ERROR")</f>
        <v>OK</v>
      </c>
      <c r="I59" s="210"/>
      <c r="J59" s="208"/>
      <c r="K59" s="208"/>
      <c r="L59" s="208"/>
      <c r="M59" s="208"/>
      <c r="N59" s="220" t="str">
        <f>IF(ROUND(AVERAGE(IS!J59:M59),0)-ROUND(IS!N59,0)&lt;0.01*ROUND(IS!N59,0),"OK","ERROR")</f>
        <v>OK</v>
      </c>
      <c r="O59" s="210"/>
      <c r="P59" s="208"/>
      <c r="Q59" s="208"/>
      <c r="R59" s="208"/>
      <c r="S59" s="208"/>
      <c r="T59" s="220" t="str">
        <f>IF(ROUND(AVERAGE(IS!P59:S59),0)-ROUND(IS!T59,0)&lt;0.01*ROUND(IS!T59,0),"OK","ERROR")</f>
        <v>OK</v>
      </c>
      <c r="U59" s="210"/>
      <c r="V59" s="208"/>
      <c r="W59" s="208"/>
      <c r="X59" s="208"/>
      <c r="Y59" s="208"/>
      <c r="Z59" s="220" t="str">
        <f>IF(ROUND(AVERAGE(IS!V59:Y59),0)-ROUND(IS!Z59,0)&lt;0.01*ROUND(IS!Z59,0),"OK","ERROR")</f>
        <v>OK</v>
      </c>
      <c r="AA59" s="210"/>
      <c r="AB59" s="208"/>
      <c r="AC59" s="208"/>
      <c r="AD59" s="208"/>
      <c r="AE59" s="208"/>
      <c r="AF59" s="220" t="str">
        <f>IF(ROUND(AVERAGE(IS!AB59:AE59),0)-ROUND(IS!AF59,0)&lt;0.01*ROUND(IS!AF59,0),"OK","ERROR")</f>
        <v>OK</v>
      </c>
      <c r="AG59" s="238"/>
      <c r="AH59" s="208"/>
      <c r="AI59" s="208"/>
      <c r="AJ59" s="212"/>
      <c r="AK59" s="212"/>
      <c r="AL59" s="220" t="str">
        <f>IF(ROUND(AVERAGE(IS!AH59:AK59),0)-ROUND(IS!AL59,0)&lt;0.01*ROUND(IS!AL59,0),"OK","ERROR")</f>
        <v>ERROR</v>
      </c>
      <c r="AM59" s="210"/>
      <c r="AN59" s="212"/>
      <c r="AO59" s="212"/>
      <c r="AP59" s="212"/>
      <c r="AQ59" s="212"/>
      <c r="AR59" s="220" t="e">
        <f>IF(ROUND(AVERAGE(IS!AN59:AQ59),0)-ROUND(IS!AR59,0)&lt;0.01*ROUND(IS!AR59,0),"OK","ERROR")</f>
        <v>#DIV/0!</v>
      </c>
      <c r="AS59" s="210"/>
      <c r="AT59" s="220"/>
      <c r="AU59" s="239"/>
      <c r="AV59" s="220"/>
      <c r="AW59" s="239"/>
      <c r="AX59" s="220"/>
    </row>
    <row r="60" spans="1:50" ht="14.25" customHeight="1">
      <c r="B60" s="70" t="s">
        <v>668</v>
      </c>
      <c r="D60" s="208"/>
      <c r="E60" s="208"/>
      <c r="F60" s="208"/>
      <c r="G60" s="208"/>
      <c r="H60" s="220" t="str">
        <f>IF(ROUND(AVERAGE(IS!D60:G60),0)-ROUND(IS!H60,0)&lt;0.01*ROUND(IS!H60,0),"OK","ERROR")</f>
        <v>OK</v>
      </c>
      <c r="I60" s="210"/>
      <c r="J60" s="208"/>
      <c r="K60" s="208"/>
      <c r="L60" s="208"/>
      <c r="M60" s="208"/>
      <c r="N60" s="220" t="str">
        <f>IF(ROUND(AVERAGE(IS!J60:M60),0)-ROUND(IS!N60,0)&lt;0.01*ROUND(IS!N60,0),"OK","ERROR")</f>
        <v>OK</v>
      </c>
      <c r="O60" s="210"/>
      <c r="P60" s="208"/>
      <c r="Q60" s="208"/>
      <c r="R60" s="208"/>
      <c r="S60" s="208"/>
      <c r="T60" s="220" t="str">
        <f>IF(ROUND(AVERAGE(IS!P60:S60),0)-ROUND(IS!T60,0)&lt;0.01*ROUND(IS!T60,0),"OK","ERROR")</f>
        <v>OK</v>
      </c>
      <c r="U60" s="210"/>
      <c r="V60" s="208"/>
      <c r="W60" s="208"/>
      <c r="X60" s="208"/>
      <c r="Y60" s="208"/>
      <c r="Z60" s="220" t="str">
        <f>IF(ROUND(AVERAGE(IS!V60:Y60),0)-ROUND(IS!Z60,0)&lt;0.01*ROUND(IS!Z60,0),"OK","ERROR")</f>
        <v>OK</v>
      </c>
      <c r="AA60" s="210"/>
      <c r="AB60" s="208"/>
      <c r="AC60" s="208"/>
      <c r="AD60" s="208"/>
      <c r="AE60" s="208"/>
      <c r="AF60" s="220" t="str">
        <f>IF(ROUND(AVERAGE(IS!AB60:AE60),0)-ROUND(IS!AF60,0)&lt;0.01*ROUND(IS!AF60,0),"OK","ERROR")</f>
        <v>OK</v>
      </c>
      <c r="AG60" s="238"/>
      <c r="AH60" s="208"/>
      <c r="AI60" s="208"/>
      <c r="AJ60" s="212"/>
      <c r="AK60" s="212"/>
      <c r="AL60" s="220" t="str">
        <f>IF(ROUND(AVERAGE(IS!AH60:AK60),0)-ROUND(IS!AL60,0)&lt;0.01*ROUND(IS!AL60,0),"OK","ERROR")</f>
        <v>ERROR</v>
      </c>
      <c r="AM60" s="210"/>
      <c r="AN60" s="212"/>
      <c r="AO60" s="212"/>
      <c r="AP60" s="212"/>
      <c r="AQ60" s="212"/>
      <c r="AR60" s="220" t="e">
        <f>IF(ROUND(AVERAGE(IS!AN60:AQ60),0)-ROUND(IS!AR60,0)&lt;0.01*ROUND(IS!AR60,0),"OK","ERROR")</f>
        <v>#DIV/0!</v>
      </c>
      <c r="AS60" s="210"/>
      <c r="AT60" s="220"/>
      <c r="AU60" s="239"/>
      <c r="AV60" s="220"/>
      <c r="AW60" s="239"/>
      <c r="AX60" s="220"/>
    </row>
    <row r="62" spans="1:50" s="41" customFormat="1" ht="15" customHeight="1">
      <c r="B62" s="161" t="s">
        <v>739</v>
      </c>
      <c r="C62" s="18"/>
      <c r="D62" s="202">
        <f>F62</f>
        <v>2020</v>
      </c>
      <c r="E62" s="202">
        <f>F62</f>
        <v>2020</v>
      </c>
      <c r="F62" s="202">
        <v>2020</v>
      </c>
      <c r="G62" s="202">
        <f>F62</f>
        <v>2020</v>
      </c>
      <c r="H62" s="202">
        <f>F62</f>
        <v>2020</v>
      </c>
      <c r="I62" s="18"/>
      <c r="J62" s="202">
        <f>L62</f>
        <v>2021</v>
      </c>
      <c r="K62" s="202">
        <f>L62</f>
        <v>2021</v>
      </c>
      <c r="L62" s="202">
        <v>2021</v>
      </c>
      <c r="M62" s="202">
        <f>L62</f>
        <v>2021</v>
      </c>
      <c r="N62" s="202">
        <f>L62</f>
        <v>2021</v>
      </c>
      <c r="O62" s="169"/>
      <c r="P62" s="202">
        <f>R62</f>
        <v>2022</v>
      </c>
      <c r="Q62" s="202">
        <f>R62</f>
        <v>2022</v>
      </c>
      <c r="R62" s="202">
        <v>2022</v>
      </c>
      <c r="S62" s="202">
        <f>R62</f>
        <v>2022</v>
      </c>
      <c r="T62" s="202">
        <f>R62</f>
        <v>2022</v>
      </c>
      <c r="U62" s="169"/>
      <c r="V62" s="202">
        <f>X62</f>
        <v>2023</v>
      </c>
      <c r="W62" s="202">
        <f>X62</f>
        <v>2023</v>
      </c>
      <c r="X62" s="202">
        <v>2023</v>
      </c>
      <c r="Y62" s="202">
        <f>X62</f>
        <v>2023</v>
      </c>
      <c r="Z62" s="202">
        <f>X62</f>
        <v>2023</v>
      </c>
      <c r="AA62" s="170"/>
      <c r="AB62" s="202">
        <f>AD62</f>
        <v>2024</v>
      </c>
      <c r="AC62" s="202">
        <f>AD62</f>
        <v>2024</v>
      </c>
      <c r="AD62" s="202">
        <v>2024</v>
      </c>
      <c r="AE62" s="202">
        <f>AD62</f>
        <v>2024</v>
      </c>
      <c r="AF62" s="202">
        <f>AD62</f>
        <v>2024</v>
      </c>
      <c r="AG62" s="170"/>
      <c r="AH62" s="202">
        <f>AJ62</f>
        <v>2025</v>
      </c>
      <c r="AI62" s="202">
        <f>AJ62</f>
        <v>2025</v>
      </c>
      <c r="AJ62" s="203">
        <v>2025</v>
      </c>
      <c r="AK62" s="202">
        <f>AJ62</f>
        <v>2025</v>
      </c>
      <c r="AL62" s="202">
        <f>AJ62</f>
        <v>2025</v>
      </c>
      <c r="AM62" s="171"/>
      <c r="AN62" s="202">
        <f>AP62</f>
        <v>2025</v>
      </c>
      <c r="AO62" s="202">
        <f>AP62</f>
        <v>2025</v>
      </c>
      <c r="AP62" s="203">
        <v>2025</v>
      </c>
      <c r="AQ62" s="202">
        <f>AP62</f>
        <v>2025</v>
      </c>
      <c r="AR62" s="202">
        <f>AP62</f>
        <v>2025</v>
      </c>
      <c r="AS62" s="18"/>
      <c r="AT62" s="162"/>
      <c r="AU62" s="18"/>
      <c r="AV62" s="163"/>
      <c r="AW62" s="18"/>
      <c r="AX62" s="163"/>
    </row>
    <row r="63" spans="1:50" s="41" customFormat="1" ht="15" customHeight="1">
      <c r="B63" s="164"/>
      <c r="C63" s="18"/>
      <c r="D63" s="779">
        <v>2020</v>
      </c>
      <c r="E63" s="779"/>
      <c r="F63" s="779"/>
      <c r="G63" s="779"/>
      <c r="H63" s="779"/>
      <c r="I63" s="169"/>
      <c r="J63" s="779">
        <f>D63+1</f>
        <v>2021</v>
      </c>
      <c r="K63" s="779"/>
      <c r="L63" s="779"/>
      <c r="M63" s="779"/>
      <c r="N63" s="779"/>
      <c r="O63" s="169"/>
      <c r="P63" s="779">
        <f>J63+1</f>
        <v>2022</v>
      </c>
      <c r="Q63" s="779"/>
      <c r="R63" s="779"/>
      <c r="S63" s="779"/>
      <c r="T63" s="779"/>
      <c r="U63" s="169"/>
      <c r="V63" s="779">
        <f>P63+1</f>
        <v>2023</v>
      </c>
      <c r="W63" s="779"/>
      <c r="X63" s="779"/>
      <c r="Y63" s="779"/>
      <c r="Z63" s="779"/>
      <c r="AA63" s="169"/>
      <c r="AB63" s="779">
        <f>V63+1</f>
        <v>2024</v>
      </c>
      <c r="AC63" s="779"/>
      <c r="AD63" s="779"/>
      <c r="AE63" s="779"/>
      <c r="AF63" s="779"/>
      <c r="AG63" s="169"/>
      <c r="AH63" s="777">
        <f>AB63+1</f>
        <v>2025</v>
      </c>
      <c r="AI63" s="777"/>
      <c r="AJ63" s="777"/>
      <c r="AK63" s="777"/>
      <c r="AL63" s="777"/>
      <c r="AM63" s="169"/>
      <c r="AN63" s="777">
        <f>AH63+1</f>
        <v>2026</v>
      </c>
      <c r="AO63" s="777"/>
      <c r="AP63" s="777"/>
      <c r="AQ63" s="777"/>
      <c r="AR63" s="777"/>
      <c r="AS63" s="171"/>
      <c r="AT63" s="166">
        <f>AN63+1</f>
        <v>2027</v>
      </c>
      <c r="AU63" s="167"/>
      <c r="AV63" s="166">
        <f>+AT63+1</f>
        <v>2028</v>
      </c>
      <c r="AW63" s="167"/>
      <c r="AX63" s="166">
        <f>+AV63+1</f>
        <v>2029</v>
      </c>
    </row>
    <row r="64" spans="1:50" s="41" customFormat="1" ht="14.25" customHeight="1">
      <c r="B64" s="164"/>
      <c r="C64" s="18"/>
      <c r="D64" s="168" t="s">
        <v>243</v>
      </c>
      <c r="E64" s="168" t="s">
        <v>244</v>
      </c>
      <c r="F64" s="168" t="s">
        <v>245</v>
      </c>
      <c r="G64" s="168" t="s">
        <v>246</v>
      </c>
      <c r="H64" s="168" t="s">
        <v>247</v>
      </c>
      <c r="I64" s="18"/>
      <c r="J64" s="168" t="s">
        <v>243</v>
      </c>
      <c r="K64" s="168" t="s">
        <v>244</v>
      </c>
      <c r="L64" s="168" t="s">
        <v>245</v>
      </c>
      <c r="M64" s="168" t="s">
        <v>246</v>
      </c>
      <c r="N64" s="168" t="s">
        <v>247</v>
      </c>
      <c r="O64" s="165"/>
      <c r="P64" s="168" t="s">
        <v>243</v>
      </c>
      <c r="Q64" s="168" t="s">
        <v>244</v>
      </c>
      <c r="R64" s="168" t="s">
        <v>245</v>
      </c>
      <c r="S64" s="168" t="s">
        <v>246</v>
      </c>
      <c r="T64" s="168" t="s">
        <v>247</v>
      </c>
      <c r="U64" s="165"/>
      <c r="V64" s="168" t="s">
        <v>243</v>
      </c>
      <c r="W64" s="168" t="s">
        <v>244</v>
      </c>
      <c r="X64" s="168" t="s">
        <v>245</v>
      </c>
      <c r="Y64" s="168" t="s">
        <v>246</v>
      </c>
      <c r="Z64" s="168" t="s">
        <v>247</v>
      </c>
      <c r="AA64" s="165"/>
      <c r="AB64" s="168" t="s">
        <v>243</v>
      </c>
      <c r="AC64" s="168" t="s">
        <v>244</v>
      </c>
      <c r="AD64" s="168" t="s">
        <v>245</v>
      </c>
      <c r="AE64" s="168" t="s">
        <v>246</v>
      </c>
      <c r="AF64" s="168" t="s">
        <v>247</v>
      </c>
      <c r="AG64" s="165"/>
      <c r="AH64" s="168" t="s">
        <v>243</v>
      </c>
      <c r="AI64" s="168" t="s">
        <v>244</v>
      </c>
      <c r="AJ64" s="168" t="s">
        <v>245</v>
      </c>
      <c r="AK64" s="168" t="s">
        <v>246</v>
      </c>
      <c r="AL64" s="168" t="s">
        <v>247</v>
      </c>
      <c r="AM64" s="165"/>
      <c r="AN64" s="168" t="s">
        <v>243</v>
      </c>
      <c r="AO64" s="168" t="s">
        <v>244</v>
      </c>
      <c r="AP64" s="168" t="s">
        <v>245</v>
      </c>
      <c r="AQ64" s="168" t="s">
        <v>246</v>
      </c>
      <c r="AR64" s="168" t="s">
        <v>247</v>
      </c>
      <c r="AS64" s="165"/>
      <c r="AT64" s="168" t="s">
        <v>247</v>
      </c>
      <c r="AU64" s="165"/>
      <c r="AV64" s="168" t="s">
        <v>247</v>
      </c>
      <c r="AW64" s="165"/>
      <c r="AX64" s="168" t="s">
        <v>247</v>
      </c>
    </row>
    <row r="67" spans="1:50" ht="14.25" customHeight="1">
      <c r="A67" s="44" t="s">
        <v>37</v>
      </c>
      <c r="B67" s="65" t="s">
        <v>629</v>
      </c>
      <c r="D67" s="46"/>
      <c r="E67" s="46"/>
      <c r="F67" s="46"/>
      <c r="G67" s="46"/>
      <c r="H67" s="47"/>
      <c r="I67" s="48"/>
      <c r="J67" s="46"/>
      <c r="K67" s="46"/>
      <c r="L67" s="46"/>
      <c r="M67" s="46"/>
      <c r="N67" s="47"/>
      <c r="O67" s="47"/>
      <c r="P67" s="46"/>
      <c r="Q67" s="46"/>
      <c r="R67" s="46"/>
      <c r="S67" s="46"/>
      <c r="T67" s="47"/>
      <c r="U67" s="47"/>
      <c r="V67" s="46"/>
      <c r="W67" s="46"/>
      <c r="X67" s="46"/>
      <c r="Y67" s="46"/>
      <c r="Z67" s="47"/>
      <c r="AA67" s="47"/>
      <c r="AB67" s="46"/>
      <c r="AC67" s="46"/>
      <c r="AD67" s="46"/>
      <c r="AE67" s="46"/>
      <c r="AF67" s="47"/>
      <c r="AG67" s="49"/>
      <c r="AH67" s="46"/>
      <c r="AI67" s="46"/>
      <c r="AJ67" s="50"/>
      <c r="AK67" s="50"/>
      <c r="AL67" s="47"/>
      <c r="AM67" s="51"/>
      <c r="AN67" s="50"/>
      <c r="AO67" s="50"/>
      <c r="AP67" s="50"/>
      <c r="AQ67" s="50"/>
      <c r="AR67" s="47"/>
      <c r="AS67" s="51"/>
      <c r="AT67" s="52"/>
      <c r="AU67" s="53"/>
      <c r="AV67" s="52"/>
      <c r="AW67" s="53"/>
      <c r="AX67" s="52"/>
    </row>
    <row r="68" spans="1:50" ht="14.25" customHeight="1">
      <c r="A68" s="55"/>
      <c r="B68" s="76" t="s">
        <v>255</v>
      </c>
      <c r="D68" s="217" t="str">
        <f>IF(ROUND(SUM(IS!D13:D17),0)=IS!D18,"OK","ERROR")</f>
        <v>ERROR</v>
      </c>
      <c r="E68" s="217" t="str">
        <f>IF(ROUND(SUM(IS!E13:E17),0)=IS!E18,"OK","ERROR")</f>
        <v>ERROR</v>
      </c>
      <c r="F68" s="217" t="str">
        <f>IF(ROUND(SUM(IS!F13:F17),0)=IS!F18,"OK","ERROR")</f>
        <v>ERROR</v>
      </c>
      <c r="G68" s="217" t="str">
        <f>IF(ROUND(SUM(IS!G13:G17),0)=IS!G18,"OK","ERROR")</f>
        <v>ERROR</v>
      </c>
      <c r="H68" s="218" t="str">
        <f>IF(ROUND(SUM(IS!H13:H17),0)=IS!H18,"OK","ERROR")</f>
        <v>ERROR</v>
      </c>
      <c r="I68" s="210"/>
      <c r="J68" s="217" t="str">
        <f>IF(ROUND(SUM(IS!J13:J17),0)=IS!J18,"OK","ERROR")</f>
        <v>ERROR</v>
      </c>
      <c r="K68" s="217" t="str">
        <f>IF(ROUND(SUM(IS!K13:K17),0)=IS!K18,"OK","ERROR")</f>
        <v>ERROR</v>
      </c>
      <c r="L68" s="217" t="str">
        <f>IF(ROUND(SUM(IS!L13:L17),0)=IS!L18,"OK","ERROR")</f>
        <v>ERROR</v>
      </c>
      <c r="M68" s="217" t="str">
        <f>IF(ROUND(SUM(IS!M13:M17),0)=IS!M18,"OK","ERROR")</f>
        <v>ERROR</v>
      </c>
      <c r="N68" s="218" t="str">
        <f>IF(ROUND(SUM(IS!N13:N17),0)=IS!N18,"OK","ERROR")</f>
        <v>ERROR</v>
      </c>
      <c r="O68" s="209"/>
      <c r="P68" s="217" t="str">
        <f>IF(ROUND(SUM(IS!P13:P17),0)=IS!P18,"OK","ERROR")</f>
        <v>ERROR</v>
      </c>
      <c r="Q68" s="217" t="str">
        <f>IF(ROUND(SUM(IS!Q13:Q17),0)=IS!Q18,"OK","ERROR")</f>
        <v>ERROR</v>
      </c>
      <c r="R68" s="217" t="str">
        <f>IF(ROUND(SUM(IS!R13:R17),0)=IS!R18,"OK","ERROR")</f>
        <v>ERROR</v>
      </c>
      <c r="S68" s="217" t="str">
        <f>IF(ROUND(SUM(IS!S13:S17),0)=IS!S18,"OK","ERROR")</f>
        <v>ERROR</v>
      </c>
      <c r="T68" s="218" t="str">
        <f>IF(ROUND(SUM(IS!T13:T17),0)=IS!T18,"OK","ERROR")</f>
        <v>ERROR</v>
      </c>
      <c r="U68" s="209"/>
      <c r="V68" s="217" t="str">
        <f>IF(ROUND(SUM(IS!V13:V17),0)=IS!V18,"OK","ERROR")</f>
        <v>ERROR</v>
      </c>
      <c r="W68" s="217" t="str">
        <f>IF(ROUND(SUM(IS!W13:W17),0)=IS!W18,"OK","ERROR")</f>
        <v>ERROR</v>
      </c>
      <c r="X68" s="217" t="str">
        <f>IF(ROUND(SUM(IS!X13:X17),0)=IS!X18,"OK","ERROR")</f>
        <v>ERROR</v>
      </c>
      <c r="Y68" s="217" t="str">
        <f>IF(ROUND(SUM(IS!Y13:Y17),0)=IS!Y18,"OK","ERROR")</f>
        <v>ERROR</v>
      </c>
      <c r="Z68" s="218" t="str">
        <f>IF(ROUND(SUM(IS!Z13:Z17),0)=IS!Z18,"OK","ERROR")</f>
        <v>ERROR</v>
      </c>
      <c r="AA68" s="209"/>
      <c r="AB68" s="217" t="str">
        <f>IF(ROUND(SUM(IS!AB13:AB17),0)=IS!AB18,"OK","ERROR")</f>
        <v>ERROR</v>
      </c>
      <c r="AC68" s="217" t="str">
        <f>IF(ROUND(SUM(IS!AC13:AC17),0)=IS!AC18,"OK","ERROR")</f>
        <v>ERROR</v>
      </c>
      <c r="AD68" s="217" t="str">
        <f>IF(ROUND(SUM(IS!AD13:AD17),0)=IS!AD18,"OK","ERROR")</f>
        <v>ERROR</v>
      </c>
      <c r="AE68" s="217" t="str">
        <f>IF(ROUND(SUM(IS!AE13:AE17),0)=IS!AE18,"OK","ERROR")</f>
        <v>ERROR</v>
      </c>
      <c r="AF68" s="218" t="str">
        <f>IF(ROUND(SUM(IS!AF13:AF17),0)=IS!AF18,"OK","ERROR")</f>
        <v>ERROR</v>
      </c>
      <c r="AG68" s="211"/>
      <c r="AH68" s="217" t="str">
        <f>IF(ROUND(SUM(IS!AH13:AH17),0)=IS!AH18,"OK","ERROR")</f>
        <v>ERROR</v>
      </c>
      <c r="AI68" s="217" t="str">
        <f>IF(ROUND(SUM(IS!AI13:AI17),0)=IS!AI18,"OK","ERROR")</f>
        <v>ERROR</v>
      </c>
      <c r="AJ68" s="217" t="str">
        <f>IF(ROUND(SUM(IS!AJ13:AJ17),0)=IS!AJ18,"OK","ERROR")</f>
        <v>OK</v>
      </c>
      <c r="AK68" s="217" t="str">
        <f>IF(ROUND(SUM(IS!AK13:AK17),0)=IS!AK18,"OK","ERROR")</f>
        <v>OK</v>
      </c>
      <c r="AL68" s="218" t="str">
        <f>IF(ROUND(SUM(IS!AL13:AL17),0)=IS!AL18,"OK","ERROR")</f>
        <v>OK</v>
      </c>
      <c r="AM68" s="213"/>
      <c r="AN68" s="217" t="str">
        <f>IF(ROUND(SUM(IS!AN13:AN17),0)=IS!AN18,"OK","ERROR")</f>
        <v>OK</v>
      </c>
      <c r="AO68" s="217" t="str">
        <f>IF(ROUND(SUM(IS!AO13:AO17),0)=IS!AO18,"OK","ERROR")</f>
        <v>OK</v>
      </c>
      <c r="AP68" s="217" t="str">
        <f>IF(ROUND(SUM(IS!AP13:AP17),0)=IS!AP18,"OK","ERROR")</f>
        <v>OK</v>
      </c>
      <c r="AQ68" s="217" t="str">
        <f>IF(ROUND(SUM(IS!AQ13:AQ17),0)=IS!AQ18,"OK","ERROR")</f>
        <v>OK</v>
      </c>
      <c r="AR68" s="218" t="str">
        <f>IF(ROUND(SUM(IS!AR13:AR17),0)=IS!AR18,"OK","ERROR")</f>
        <v>OK</v>
      </c>
      <c r="AS68" s="213"/>
      <c r="AT68" s="218" t="str">
        <f>IF(ROUND(SUM(IS!AT13:AT17),0)=IS!AT18,"OK","ERROR")</f>
        <v>OK</v>
      </c>
      <c r="AU68" s="215"/>
      <c r="AV68" s="218" t="str">
        <f>IF(ROUND(SUM(IS!AV13:AV17),0)=IS!AV18,"OK","ERROR")</f>
        <v>OK</v>
      </c>
      <c r="AW68" s="215"/>
      <c r="AX68" s="218" t="str">
        <f>IF(ROUND(SUM(IS!AX13:AX17),0)=IS!AX18,"OK","ERROR")</f>
        <v>OK</v>
      </c>
    </row>
    <row r="69" spans="1:50" ht="14.25" customHeight="1">
      <c r="A69" s="55"/>
      <c r="B69" s="64"/>
      <c r="D69" s="208"/>
      <c r="E69" s="208"/>
      <c r="F69" s="208"/>
      <c r="G69" s="208"/>
      <c r="H69" s="209"/>
      <c r="I69" s="210"/>
      <c r="J69" s="208"/>
      <c r="K69" s="208"/>
      <c r="L69" s="208"/>
      <c r="M69" s="208"/>
      <c r="N69" s="209"/>
      <c r="O69" s="209"/>
      <c r="P69" s="208"/>
      <c r="Q69" s="208"/>
      <c r="R69" s="208"/>
      <c r="S69" s="208"/>
      <c r="T69" s="209"/>
      <c r="U69" s="209"/>
      <c r="V69" s="208"/>
      <c r="W69" s="208"/>
      <c r="X69" s="208"/>
      <c r="Y69" s="208"/>
      <c r="Z69" s="209"/>
      <c r="AA69" s="209"/>
      <c r="AB69" s="208"/>
      <c r="AC69" s="208"/>
      <c r="AD69" s="208"/>
      <c r="AE69" s="208"/>
      <c r="AF69" s="209"/>
      <c r="AG69" s="211"/>
      <c r="AH69" s="208"/>
      <c r="AI69" s="208"/>
      <c r="AJ69" s="208"/>
      <c r="AK69" s="208"/>
      <c r="AL69" s="209"/>
      <c r="AM69" s="213"/>
      <c r="AN69" s="208"/>
      <c r="AO69" s="208"/>
      <c r="AP69" s="208"/>
      <c r="AQ69" s="208"/>
      <c r="AR69" s="209"/>
      <c r="AS69" s="213"/>
      <c r="AT69" s="209"/>
      <c r="AU69" s="215"/>
      <c r="AV69" s="209"/>
      <c r="AW69" s="215"/>
      <c r="AX69" s="209"/>
    </row>
    <row r="70" spans="1:50" ht="14.25" customHeight="1">
      <c r="A70" s="44" t="s">
        <v>37</v>
      </c>
      <c r="B70" s="65" t="s">
        <v>635</v>
      </c>
      <c r="D70" s="208"/>
      <c r="E70" s="208"/>
      <c r="F70" s="208"/>
      <c r="G70" s="208"/>
      <c r="H70" s="220"/>
      <c r="I70" s="210"/>
      <c r="J70" s="208"/>
      <c r="K70" s="208"/>
      <c r="L70" s="208"/>
      <c r="M70" s="208"/>
      <c r="N70" s="220"/>
      <c r="O70" s="210"/>
      <c r="P70" s="208"/>
      <c r="Q70" s="208"/>
      <c r="R70" s="208"/>
      <c r="S70" s="208"/>
      <c r="T70" s="220"/>
      <c r="U70" s="210"/>
      <c r="V70" s="208"/>
      <c r="W70" s="208"/>
      <c r="X70" s="208"/>
      <c r="Y70" s="208"/>
      <c r="Z70" s="220"/>
      <c r="AA70" s="213"/>
      <c r="AB70" s="208"/>
      <c r="AC70" s="208"/>
      <c r="AD70" s="208"/>
      <c r="AE70" s="208"/>
      <c r="AF70" s="220"/>
      <c r="AG70" s="211"/>
      <c r="AH70" s="208"/>
      <c r="AI70" s="208"/>
      <c r="AJ70" s="208"/>
      <c r="AK70" s="208"/>
      <c r="AL70" s="220"/>
      <c r="AM70" s="221"/>
      <c r="AN70" s="208"/>
      <c r="AO70" s="208"/>
      <c r="AP70" s="208"/>
      <c r="AQ70" s="208"/>
      <c r="AR70" s="220"/>
      <c r="AS70" s="221"/>
      <c r="AT70" s="220"/>
      <c r="AU70" s="223"/>
      <c r="AV70" s="220"/>
      <c r="AW70" s="223"/>
      <c r="AX70" s="220"/>
    </row>
    <row r="71" spans="1:50" ht="14.25" customHeight="1">
      <c r="A71" s="73"/>
      <c r="B71" s="79" t="s">
        <v>363</v>
      </c>
      <c r="D71" s="208" t="str">
        <f>IF(ROUND(IS!D18,0)-ROUND(SUM(IS!D21:D22),0)=ROUND(IS!D24,0),"OK","ERROR")</f>
        <v>OK</v>
      </c>
      <c r="E71" s="208" t="str">
        <f>IF(ROUND(IS!E18,0)-ROUND(SUM(IS!E21:E22),0)=ROUND(IS!E24,0),"OK","ERROR")</f>
        <v>OK</v>
      </c>
      <c r="F71" s="208" t="str">
        <f>IF(ROUND(IS!F18,0)-ROUND(SUM(IS!F21:F22),0)=ROUND(IS!F24,0),"OK","ERROR")</f>
        <v>OK</v>
      </c>
      <c r="G71" s="208" t="str">
        <f>IF(ROUND(IS!G18,0)-ROUND(SUM(IS!G21:G22),0)=ROUND(IS!G24,0),"OK","ERROR")</f>
        <v>OK</v>
      </c>
      <c r="H71" s="227" t="str">
        <f>IF(ROUND(IS!H18,0)-ROUND(SUM(IS!H21:H22),0)=ROUND(IS!H24,0),"OK","ERROR")</f>
        <v>OK</v>
      </c>
      <c r="I71" s="210"/>
      <c r="J71" s="208" t="str">
        <f>IF(ROUND(IS!J18,0)-ROUND(SUM(IS!J21:J22),0)=ROUND(IS!J24,0),"OK","ERROR")</f>
        <v>OK</v>
      </c>
      <c r="K71" s="208" t="str">
        <f>IF(ROUND(IS!K18,0)-ROUND(SUM(IS!K21:K22),0)=ROUND(IS!K24,0),"OK","ERROR")</f>
        <v>OK</v>
      </c>
      <c r="L71" s="208" t="str">
        <f>IF(ROUND(IS!L18,0)-ROUND(SUM(IS!L21:L22),0)=ROUND(IS!L24,0),"OK","ERROR")</f>
        <v>OK</v>
      </c>
      <c r="M71" s="208" t="str">
        <f>IF(ROUND(IS!M18,0)-ROUND(SUM(IS!M21:M22),0)=ROUND(IS!M24,0),"OK","ERROR")</f>
        <v>OK</v>
      </c>
      <c r="N71" s="227" t="str">
        <f>IF(ROUND(IS!N18,0)-ROUND(SUM(IS!N21:N22),0)=ROUND(IS!N24,0),"OK","ERROR")</f>
        <v>OK</v>
      </c>
      <c r="O71" s="210"/>
      <c r="P71" s="208" t="str">
        <f>IF(ROUND(IS!P18,0)-ROUND(SUM(IS!P21:P22),0)=ROUND(IS!P24,0),"OK","ERROR")</f>
        <v>OK</v>
      </c>
      <c r="Q71" s="208" t="str">
        <f>IF(ROUND(IS!Q18,0)-ROUND(SUM(IS!Q21:Q22),0)=ROUND(IS!Q24,0),"OK","ERROR")</f>
        <v>OK</v>
      </c>
      <c r="R71" s="208" t="str">
        <f>IF(ROUND(IS!R18,0)-ROUND(SUM(IS!R21:R22),0)=ROUND(IS!R24,0),"OK","ERROR")</f>
        <v>OK</v>
      </c>
      <c r="S71" s="208" t="str">
        <f>IF(ROUND(IS!S18,0)-ROUND(SUM(IS!S21:S22),0)=ROUND(IS!S24,0),"OK","ERROR")</f>
        <v>OK</v>
      </c>
      <c r="T71" s="227" t="str">
        <f>IF(ROUND(IS!T18,0)-ROUND(SUM(IS!T21:T22),0)=ROUND(IS!T24,0),"OK","ERROR")</f>
        <v>OK</v>
      </c>
      <c r="U71" s="210"/>
      <c r="V71" s="208" t="str">
        <f>IF(ROUND(IS!V18,0)-ROUND(SUM(IS!V21:V22),0)=ROUND(IS!V24,0),"OK","ERROR")</f>
        <v>OK</v>
      </c>
      <c r="W71" s="208" t="str">
        <f>IF(ROUND(IS!W18,0)-ROUND(SUM(IS!W21:W22),0)=ROUND(IS!W24,0),"OK","ERROR")</f>
        <v>OK</v>
      </c>
      <c r="X71" s="208" t="str">
        <f>IF(ROUND(IS!X18,0)-ROUND(SUM(IS!X21:X22),0)=ROUND(IS!X24,0),"OK","ERROR")</f>
        <v>OK</v>
      </c>
      <c r="Y71" s="208" t="str">
        <f>IF(ROUND(IS!Y18,0)-ROUND(SUM(IS!Y21:Y22),0)=ROUND(IS!Y24,0),"OK","ERROR")</f>
        <v>OK</v>
      </c>
      <c r="Z71" s="227" t="str">
        <f>IF(ROUND(IS!Z18,0)-ROUND(SUM(IS!Z21:Z22),0)=ROUND(IS!Z24,0),"OK","ERROR")</f>
        <v>OK</v>
      </c>
      <c r="AA71" s="213"/>
      <c r="AB71" s="208" t="str">
        <f>IF(ROUND(IS!AB18,0)-ROUND(SUM(IS!AB21:AB22),0)=ROUND(IS!AB24,0),"OK","ERROR")</f>
        <v>OK</v>
      </c>
      <c r="AC71" s="208" t="str">
        <f>IF(ROUND(IS!AC18,0)-ROUND(SUM(IS!AC21:AC22),0)=ROUND(IS!AC24,0),"OK","ERROR")</f>
        <v>OK</v>
      </c>
      <c r="AD71" s="208" t="str">
        <f>IF(ROUND(IS!AD18,0)-ROUND(SUM(IS!AD21:AD22),0)=ROUND(IS!AD24,0),"OK","ERROR")</f>
        <v>OK</v>
      </c>
      <c r="AE71" s="208" t="str">
        <f>IF(ROUND(IS!AE18,0)-ROUND(SUM(IS!AE21:AE22),0)=ROUND(IS!AE24,0),"OK","ERROR")</f>
        <v>OK</v>
      </c>
      <c r="AF71" s="227" t="str">
        <f>IF(ROUND(IS!AF18,0)-ROUND(SUM(IS!AF21:AF22),0)=ROUND(IS!AF24,0),"OK","ERROR")</f>
        <v>OK</v>
      </c>
      <c r="AG71" s="211"/>
      <c r="AH71" s="208" t="str">
        <f>IF(ROUND(IS!AH18,0)-ROUND(SUM(IS!AH21:AH22),0)=ROUND(IS!AH24,0),"OK","ERROR")</f>
        <v>OK</v>
      </c>
      <c r="AI71" s="208" t="str">
        <f>IF(ROUND(IS!AI18,0)-ROUND(SUM(IS!AI21:AI22),0)=ROUND(IS!AI24,0),"OK","ERROR")</f>
        <v>OK</v>
      </c>
      <c r="AJ71" s="208" t="str">
        <f>IF(ROUND(IS!AJ18,0)-ROUND(SUM(IS!AJ21:AJ22),0)=ROUND(IS!AJ24,0),"OK","ERROR")</f>
        <v>OK</v>
      </c>
      <c r="AK71" s="208" t="str">
        <f>IF(ROUND(IS!AK18,0)-ROUND(SUM(IS!AK21:AK22),0)=ROUND(IS!AK24,0),"OK","ERROR")</f>
        <v>OK</v>
      </c>
      <c r="AL71" s="227" t="str">
        <f>IF(ROUND(IS!AL18,0)-ROUND(SUM(IS!AL21:AL22),0)=ROUND(IS!AL24,0),"OK","ERROR")</f>
        <v>OK</v>
      </c>
      <c r="AM71" s="224"/>
      <c r="AN71" s="208" t="str">
        <f>IF(ROUND(IS!AN18,0)-ROUND(SUM(IS!AN21:AN22),0)=ROUND(IS!AN24,0),"OK","ERROR")</f>
        <v>OK</v>
      </c>
      <c r="AO71" s="208" t="str">
        <f>IF(ROUND(IS!AO18,0)-ROUND(SUM(IS!AO21:AO22),0)=ROUND(IS!AO24,0),"OK","ERROR")</f>
        <v>OK</v>
      </c>
      <c r="AP71" s="208" t="str">
        <f>IF(ROUND(IS!AP18,0)-ROUND(SUM(IS!AP21:AP22),0)=ROUND(IS!AP24,0),"OK","ERROR")</f>
        <v>OK</v>
      </c>
      <c r="AQ71" s="208" t="str">
        <f>IF(ROUND(IS!AQ18,0)-ROUND(SUM(IS!AQ21:AQ22),0)=ROUND(IS!AQ24,0),"OK","ERROR")</f>
        <v>OK</v>
      </c>
      <c r="AR71" s="227" t="str">
        <f>IF(ROUND(IS!AR18,0)-ROUND(SUM(IS!AR21:AR22),0)=ROUND(IS!AR24,0),"OK","ERROR")</f>
        <v>OK</v>
      </c>
      <c r="AS71" s="224"/>
      <c r="AT71" s="227" t="str">
        <f>IF(ROUND(IS!AT18,0)-ROUND(SUM(IS!AT21:AT22),0)=ROUND(IS!AT24,0),"OK","ERROR")</f>
        <v>OK</v>
      </c>
      <c r="AU71" s="225"/>
      <c r="AV71" s="227" t="str">
        <f>IF(ROUND(IS!AV18,0)-ROUND(SUM(IS!AV21:AV22),0)=ROUND(IS!AV24,0),"OK","ERROR")</f>
        <v>OK</v>
      </c>
      <c r="AW71" s="225"/>
      <c r="AX71" s="227" t="str">
        <f>IF(ROUND(IS!AX18,0)-ROUND(SUM(IS!AX21:AX22),0)=ROUND(IS!AX24,0),"OK","ERROR")</f>
        <v>OK</v>
      </c>
    </row>
    <row r="72" spans="1:50" ht="14.25" customHeight="1">
      <c r="A72" s="55"/>
      <c r="B72" s="80"/>
      <c r="D72" s="208"/>
      <c r="E72" s="208"/>
      <c r="F72" s="208"/>
      <c r="G72" s="208"/>
      <c r="H72" s="220"/>
      <c r="I72" s="210"/>
      <c r="J72" s="208"/>
      <c r="K72" s="208"/>
      <c r="L72" s="208"/>
      <c r="M72" s="208"/>
      <c r="N72" s="220"/>
      <c r="O72" s="210"/>
      <c r="P72" s="208"/>
      <c r="Q72" s="208"/>
      <c r="R72" s="208"/>
      <c r="S72" s="208"/>
      <c r="T72" s="220"/>
      <c r="U72" s="210"/>
      <c r="V72" s="208"/>
      <c r="W72" s="208"/>
      <c r="X72" s="208"/>
      <c r="Y72" s="208"/>
      <c r="Z72" s="220"/>
      <c r="AA72" s="213"/>
      <c r="AB72" s="208"/>
      <c r="AC72" s="208"/>
      <c r="AD72" s="208"/>
      <c r="AE72" s="208"/>
      <c r="AF72" s="220"/>
      <c r="AG72" s="211"/>
      <c r="AH72" s="208"/>
      <c r="AI72" s="208"/>
      <c r="AJ72" s="208"/>
      <c r="AK72" s="208"/>
      <c r="AL72" s="220"/>
      <c r="AM72" s="224"/>
      <c r="AN72" s="208"/>
      <c r="AO72" s="208"/>
      <c r="AP72" s="208"/>
      <c r="AQ72" s="208"/>
      <c r="AR72" s="220"/>
      <c r="AS72" s="224"/>
      <c r="AT72" s="220"/>
      <c r="AU72" s="225"/>
      <c r="AV72" s="220"/>
      <c r="AW72" s="225"/>
      <c r="AX72" s="220"/>
    </row>
    <row r="73" spans="1:50" ht="14.25" customHeight="1">
      <c r="A73" s="44" t="s">
        <v>37</v>
      </c>
      <c r="B73" s="65" t="s">
        <v>639</v>
      </c>
      <c r="D73" s="208"/>
      <c r="E73" s="208"/>
      <c r="F73" s="208"/>
      <c r="G73" s="208"/>
      <c r="H73" s="220"/>
      <c r="I73" s="210"/>
      <c r="J73" s="208"/>
      <c r="K73" s="208"/>
      <c r="L73" s="208"/>
      <c r="M73" s="208"/>
      <c r="N73" s="220"/>
      <c r="O73" s="210"/>
      <c r="P73" s="208"/>
      <c r="Q73" s="208"/>
      <c r="R73" s="208"/>
      <c r="S73" s="208"/>
      <c r="T73" s="220"/>
      <c r="U73" s="210"/>
      <c r="V73" s="208"/>
      <c r="W73" s="208"/>
      <c r="X73" s="208"/>
      <c r="Y73" s="208"/>
      <c r="Z73" s="220"/>
      <c r="AA73" s="228"/>
      <c r="AB73" s="208"/>
      <c r="AC73" s="208"/>
      <c r="AD73" s="208"/>
      <c r="AE73" s="208"/>
      <c r="AF73" s="220"/>
      <c r="AG73" s="229"/>
      <c r="AH73" s="208"/>
      <c r="AI73" s="208"/>
      <c r="AJ73" s="208"/>
      <c r="AK73" s="208"/>
      <c r="AL73" s="220"/>
      <c r="AM73" s="228"/>
      <c r="AN73" s="208"/>
      <c r="AO73" s="208"/>
      <c r="AP73" s="208"/>
      <c r="AQ73" s="208"/>
      <c r="AR73" s="220"/>
      <c r="AS73" s="228"/>
      <c r="AT73" s="220"/>
      <c r="AU73" s="230"/>
      <c r="AV73" s="220"/>
      <c r="AW73" s="230"/>
      <c r="AX73" s="220"/>
    </row>
    <row r="74" spans="1:50" ht="14.25" customHeight="1">
      <c r="A74" s="55"/>
      <c r="B74" s="79" t="s">
        <v>646</v>
      </c>
      <c r="D74" s="208" t="str">
        <f>IF(ROUND(IS!D24,0)-ROUND(SUM(IS!D31:D32),0)=ROUND(IS!D33,0),"OK","ERROR")</f>
        <v>OK</v>
      </c>
      <c r="E74" s="208" t="str">
        <f>IF(ROUND(IS!E24,0)-ROUND(SUM(IS!E31:E32),0)=ROUND(IS!E33,0),"OK","ERROR")</f>
        <v>OK</v>
      </c>
      <c r="F74" s="208" t="str">
        <f>IF(ROUND(IS!F24,0)-ROUND(SUM(IS!F31:F32),0)=ROUND(IS!F33,0),"OK","ERROR")</f>
        <v>OK</v>
      </c>
      <c r="G74" s="208" t="str">
        <f>IF(ROUND(IS!G24,0)-ROUND(SUM(IS!G31:G32),0)=ROUND(IS!G33,0),"OK","ERROR")</f>
        <v>OK</v>
      </c>
      <c r="H74" s="226" t="str">
        <f>IF(ROUND(IS!H24,0)-ROUND(SUM(IS!H31:H32),0)=ROUND(IS!H33,0),"OK","ERROR")</f>
        <v>OK</v>
      </c>
      <c r="I74" s="210"/>
      <c r="J74" s="208" t="str">
        <f>IF(ROUND(IS!J24,0)-ROUND(SUM(IS!J31:J32),0)=ROUND(IS!J33,0),"OK","ERROR")</f>
        <v>OK</v>
      </c>
      <c r="K74" s="208" t="str">
        <f>IF(ROUND(IS!K24,0)-ROUND(SUM(IS!K31:K32),0)=ROUND(IS!K33,0),"OK","ERROR")</f>
        <v>OK</v>
      </c>
      <c r="L74" s="208" t="str">
        <f>IF(ROUND(IS!L24,0)-ROUND(SUM(IS!L31:L32),0)=ROUND(IS!L33,0),"OK","ERROR")</f>
        <v>OK</v>
      </c>
      <c r="M74" s="208" t="str">
        <f>IF(ROUND(IS!M24,0)-ROUND(SUM(IS!M31:M32),0)=ROUND(IS!M33,0),"OK","ERROR")</f>
        <v>OK</v>
      </c>
      <c r="N74" s="226" t="str">
        <f>IF(ROUND(IS!N24,0)-ROUND(SUM(IS!N31:N32),0)=ROUND(IS!N33,0),"OK","ERROR")</f>
        <v>OK</v>
      </c>
      <c r="O74" s="210"/>
      <c r="P74" s="208" t="str">
        <f>IF(ROUND(IS!P24,0)-ROUND(SUM(IS!P31:P32),0)=ROUND(IS!P33,0),"OK","ERROR")</f>
        <v>OK</v>
      </c>
      <c r="Q74" s="208" t="str">
        <f>IF(ROUND(IS!Q24,0)-ROUND(SUM(IS!Q31:Q32),0)=ROUND(IS!Q33,0),"OK","ERROR")</f>
        <v>OK</v>
      </c>
      <c r="R74" s="208" t="str">
        <f>IF(ROUND(IS!R24,0)-ROUND(SUM(IS!R31:R32),0)=ROUND(IS!R33,0),"OK","ERROR")</f>
        <v>OK</v>
      </c>
      <c r="S74" s="208" t="str">
        <f>IF(ROUND(IS!S24,0)-ROUND(SUM(IS!S31:S32),0)=ROUND(IS!S33,0),"OK","ERROR")</f>
        <v>OK</v>
      </c>
      <c r="T74" s="226" t="str">
        <f>IF(ROUND(IS!T24,0)-ROUND(SUM(IS!T31:T32),0)=ROUND(IS!T33,0),"OK","ERROR")</f>
        <v>OK</v>
      </c>
      <c r="U74" s="210"/>
      <c r="V74" s="208" t="str">
        <f>IF(ROUND(IS!V24,0)-ROUND(SUM(IS!V31:V32),0)=ROUND(IS!V33,0),"OK","ERROR")</f>
        <v>OK</v>
      </c>
      <c r="W74" s="208" t="str">
        <f>IF(ROUND(IS!W24,0)-ROUND(SUM(IS!W31:W32),0)=ROUND(IS!W33,0),"OK","ERROR")</f>
        <v>OK</v>
      </c>
      <c r="X74" s="208" t="str">
        <f>IF(ROUND(IS!X24,0)-ROUND(SUM(IS!X31:X32),0)=ROUND(IS!X33,0),"OK","ERROR")</f>
        <v>OK</v>
      </c>
      <c r="Y74" s="208" t="str">
        <f>IF(ROUND(IS!Y24,0)-ROUND(SUM(IS!Y31:Y32),0)=ROUND(IS!Y33,0),"OK","ERROR")</f>
        <v>OK</v>
      </c>
      <c r="Z74" s="226" t="str">
        <f>IF(ROUND(IS!Z24,0)-ROUND(SUM(IS!Z31:Z32),0)=ROUND(IS!Z33,0),"OK","ERROR")</f>
        <v>OK</v>
      </c>
      <c r="AA74" s="213"/>
      <c r="AB74" s="208" t="str">
        <f>IF(ROUND(IS!AB24,0)-ROUND(SUM(IS!AB31:AB32),0)=ROUND(IS!AB33,0),"OK","ERROR")</f>
        <v>OK</v>
      </c>
      <c r="AC74" s="208" t="str">
        <f>IF(ROUND(IS!AC24,0)-ROUND(SUM(IS!AC31:AC32),0)=ROUND(IS!AC33,0),"OK","ERROR")</f>
        <v>OK</v>
      </c>
      <c r="AD74" s="208" t="str">
        <f>IF(ROUND(IS!AD24,0)-ROUND(SUM(IS!AD31:AD32),0)=ROUND(IS!AD33,0),"OK","ERROR")</f>
        <v>OK</v>
      </c>
      <c r="AE74" s="208" t="str">
        <f>IF(ROUND(IS!AE24,0)-ROUND(SUM(IS!AE31:AE32),0)=ROUND(IS!AE33,0),"OK","ERROR")</f>
        <v>OK</v>
      </c>
      <c r="AF74" s="226" t="str">
        <f>IF(ROUND(IS!AF24,0)-ROUND(SUM(IS!AF31:AF32),0)=ROUND(IS!AF33,0),"OK","ERROR")</f>
        <v>OK</v>
      </c>
      <c r="AG74" s="211"/>
      <c r="AH74" s="208" t="str">
        <f>IF(ROUND(IS!AH24,0)-ROUND(SUM(IS!AH31:AH32),0)=ROUND(IS!AH33,0),"OK","ERROR")</f>
        <v>OK</v>
      </c>
      <c r="AI74" s="208" t="str">
        <f>IF(ROUND(IS!AI24,0)-ROUND(SUM(IS!AI31:AI32),0)=ROUND(IS!AI33,0),"OK","ERROR")</f>
        <v>OK</v>
      </c>
      <c r="AJ74" s="208" t="str">
        <f>IF(ROUND(IS!AJ24,0)-ROUND(SUM(IS!AJ31:AJ32),0)=ROUND(IS!AJ33,0),"OK","ERROR")</f>
        <v>OK</v>
      </c>
      <c r="AK74" s="208" t="str">
        <f>IF(ROUND(IS!AK24,0)-ROUND(SUM(IS!AK31:AK32),0)=ROUND(IS!AK33,0),"OK","ERROR")</f>
        <v>OK</v>
      </c>
      <c r="AL74" s="226" t="str">
        <f>IF(ROUND(IS!AL24,0)-ROUND(SUM(IS!AL31:AL32),0)=ROUND(IS!AL33,0),"OK","ERROR")</f>
        <v>OK</v>
      </c>
      <c r="AM74" s="224"/>
      <c r="AN74" s="208" t="str">
        <f>IF(ROUND(IS!AN24,0)-ROUND(SUM(IS!AN31:AN32),0)=ROUND(IS!AN33,0),"OK","ERROR")</f>
        <v>OK</v>
      </c>
      <c r="AO74" s="208" t="str">
        <f>IF(ROUND(IS!AO24,0)-ROUND(SUM(IS!AO31:AO32),0)=ROUND(IS!AO33,0),"OK","ERROR")</f>
        <v>OK</v>
      </c>
      <c r="AP74" s="208" t="str">
        <f>IF(ROUND(IS!AP24,0)-ROUND(SUM(IS!AP31:AP32),0)=ROUND(IS!AP33,0),"OK","ERROR")</f>
        <v>OK</v>
      </c>
      <c r="AQ74" s="208" t="str">
        <f>IF(ROUND(IS!AQ24,0)-ROUND(SUM(IS!AQ31:AQ32),0)=ROUND(IS!AQ33,0),"OK","ERROR")</f>
        <v>OK</v>
      </c>
      <c r="AR74" s="226" t="str">
        <f>IF(ROUND(IS!AR24,0)-ROUND(SUM(IS!AR31:AR32),0)=ROUND(IS!AR33,0),"OK","ERROR")</f>
        <v>OK</v>
      </c>
      <c r="AS74" s="224"/>
      <c r="AT74" s="226" t="str">
        <f>IF(ROUND(IS!AT24,0)-ROUND(SUM(IS!AT31:AT32),0)=ROUND(IS!AT33,0),"OK","ERROR")</f>
        <v>OK</v>
      </c>
      <c r="AU74" s="225"/>
      <c r="AV74" s="226" t="str">
        <f>IF(ROUND(IS!AV24,0)-ROUND(SUM(IS!AV31:AV32),0)=ROUND(IS!AV33,0),"OK","ERROR")</f>
        <v>OK</v>
      </c>
      <c r="AW74" s="225"/>
      <c r="AX74" s="226" t="str">
        <f>IF(ROUND(IS!AX24,0)-ROUND(SUM(IS!AX31:AX32),0)=ROUND(IS!AX33,0),"OK","ERROR")</f>
        <v>OK</v>
      </c>
    </row>
    <row r="75" spans="1:50" ht="14.25" customHeight="1">
      <c r="A75" s="73"/>
      <c r="B75" s="73"/>
      <c r="D75" s="208"/>
      <c r="E75" s="208"/>
      <c r="F75" s="208"/>
      <c r="G75" s="208"/>
      <c r="H75" s="220"/>
      <c r="I75" s="210"/>
      <c r="J75" s="208"/>
      <c r="K75" s="208"/>
      <c r="L75" s="208"/>
      <c r="M75" s="208"/>
      <c r="N75" s="220"/>
      <c r="O75" s="210"/>
      <c r="P75" s="208"/>
      <c r="Q75" s="208"/>
      <c r="R75" s="208"/>
      <c r="S75" s="208"/>
      <c r="T75" s="220"/>
      <c r="U75" s="210"/>
      <c r="V75" s="208"/>
      <c r="W75" s="208"/>
      <c r="X75" s="208"/>
      <c r="Y75" s="208"/>
      <c r="Z75" s="220"/>
      <c r="AA75" s="228"/>
      <c r="AB75" s="208"/>
      <c r="AC75" s="208"/>
      <c r="AD75" s="208"/>
      <c r="AE75" s="208"/>
      <c r="AF75" s="220"/>
      <c r="AG75" s="229"/>
      <c r="AH75" s="208"/>
      <c r="AI75" s="208"/>
      <c r="AJ75" s="208"/>
      <c r="AK75" s="208"/>
      <c r="AL75" s="220"/>
      <c r="AM75" s="233"/>
      <c r="AN75" s="208"/>
      <c r="AO75" s="208"/>
      <c r="AP75" s="208"/>
      <c r="AQ75" s="208"/>
      <c r="AR75" s="220"/>
      <c r="AS75" s="233"/>
      <c r="AT75" s="220"/>
      <c r="AU75" s="234"/>
      <c r="AV75" s="220"/>
      <c r="AW75" s="234"/>
      <c r="AX75" s="220"/>
    </row>
    <row r="76" spans="1:50" ht="14.25" customHeight="1">
      <c r="A76" s="44" t="s">
        <v>37</v>
      </c>
      <c r="B76" s="65" t="s">
        <v>647</v>
      </c>
      <c r="D76" s="208"/>
      <c r="E76" s="208"/>
      <c r="F76" s="208"/>
      <c r="G76" s="208"/>
      <c r="H76" s="220"/>
      <c r="I76" s="210"/>
      <c r="J76" s="208"/>
      <c r="K76" s="208"/>
      <c r="L76" s="208"/>
      <c r="M76" s="208"/>
      <c r="N76" s="220"/>
      <c r="O76" s="210"/>
      <c r="P76" s="208"/>
      <c r="Q76" s="208"/>
      <c r="R76" s="208"/>
      <c r="S76" s="208"/>
      <c r="T76" s="220"/>
      <c r="U76" s="210"/>
      <c r="V76" s="208"/>
      <c r="W76" s="208"/>
      <c r="X76" s="208"/>
      <c r="Y76" s="208"/>
      <c r="Z76" s="220"/>
      <c r="AA76" s="213"/>
      <c r="AB76" s="208"/>
      <c r="AC76" s="208"/>
      <c r="AD76" s="208"/>
      <c r="AE76" s="208"/>
      <c r="AF76" s="220"/>
      <c r="AG76" s="211"/>
      <c r="AH76" s="208"/>
      <c r="AI76" s="208"/>
      <c r="AJ76" s="208"/>
      <c r="AK76" s="208"/>
      <c r="AL76" s="220"/>
      <c r="AM76" s="224"/>
      <c r="AN76" s="208"/>
      <c r="AO76" s="208"/>
      <c r="AP76" s="208"/>
      <c r="AQ76" s="208"/>
      <c r="AR76" s="220"/>
      <c r="AS76" s="224"/>
      <c r="AT76" s="220"/>
      <c r="AU76" s="225"/>
      <c r="AV76" s="220"/>
      <c r="AW76" s="225"/>
      <c r="AX76" s="220"/>
    </row>
    <row r="77" spans="1:50" ht="14.25" customHeight="1">
      <c r="A77" s="84"/>
      <c r="B77" s="90" t="s">
        <v>654</v>
      </c>
      <c r="D77" s="208" t="str">
        <f>IF(ROUND(IS!D33,0)-ROUND(IS!D41,0)=ROUND(IS!D42,0),"OK","ERROR")</f>
        <v>OK</v>
      </c>
      <c r="E77" s="208" t="str">
        <f>IF(ROUND(IS!E33,0)-ROUND(IS!E41,0)=ROUND(IS!E42,0),"OK","ERROR")</f>
        <v>OK</v>
      </c>
      <c r="F77" s="208" t="str">
        <f>IF(ROUND(IS!F33,0)-ROUND(IS!F41,0)=ROUND(IS!F42,0),"OK","ERROR")</f>
        <v>OK</v>
      </c>
      <c r="G77" s="208" t="str">
        <f>IF(ROUND(IS!G33,0)-ROUND(IS!G41,0)=ROUND(IS!G42,0),"OK","ERROR")</f>
        <v>OK</v>
      </c>
      <c r="H77" s="227" t="str">
        <f>IF(ROUND(IS!H33,0)-ROUND(IS!H41,0)=ROUND(IS!H42,0),"OK","ERROR")</f>
        <v>OK</v>
      </c>
      <c r="I77" s="210"/>
      <c r="J77" s="208" t="str">
        <f>IF(ROUND(IS!J33,0)-ROUND(IS!J41,0)=ROUND(IS!J42,0),"OK","ERROR")</f>
        <v>OK</v>
      </c>
      <c r="K77" s="208" t="str">
        <f>IF(ROUND(IS!K33,0)-ROUND(IS!K41,0)=ROUND(IS!K42,0),"OK","ERROR")</f>
        <v>OK</v>
      </c>
      <c r="L77" s="208" t="str">
        <f>IF(ROUND(IS!L33,0)-ROUND(IS!L41,0)=ROUND(IS!L42,0),"OK","ERROR")</f>
        <v>OK</v>
      </c>
      <c r="M77" s="208" t="str">
        <f>IF(ROUND(IS!M33,0)-ROUND(IS!M41,0)=ROUND(IS!M42,0),"OK","ERROR")</f>
        <v>OK</v>
      </c>
      <c r="N77" s="227" t="str">
        <f>IF(ROUND(IS!N33,0)-ROUND(IS!N41,0)=ROUND(IS!N42,0),"OK","ERROR")</f>
        <v>OK</v>
      </c>
      <c r="O77" s="210"/>
      <c r="P77" s="208" t="str">
        <f>IF(ROUND(IS!P33,0)-ROUND(IS!P41,0)=ROUND(IS!P42,0),"OK","ERROR")</f>
        <v>OK</v>
      </c>
      <c r="Q77" s="208" t="str">
        <f>IF(ROUND(IS!Q33,0)-ROUND(IS!Q41,0)=ROUND(IS!Q42,0),"OK","ERROR")</f>
        <v>OK</v>
      </c>
      <c r="R77" s="208" t="str">
        <f>IF(ROUND(IS!R33,0)-ROUND(IS!R41,0)=ROUND(IS!R42,0),"OK","ERROR")</f>
        <v>OK</v>
      </c>
      <c r="S77" s="208" t="str">
        <f>IF(ROUND(IS!S33,0)-ROUND(IS!S41,0)=ROUND(IS!S42,0),"OK","ERROR")</f>
        <v>OK</v>
      </c>
      <c r="T77" s="227" t="str">
        <f>IF(ROUND(IS!T33,0)-ROUND(IS!T41,0)=ROUND(IS!T42,0),"OK","ERROR")</f>
        <v>OK</v>
      </c>
      <c r="U77" s="210"/>
      <c r="V77" s="208" t="str">
        <f>IF(ROUND(IS!V33,0)-ROUND(IS!V41,0)=ROUND(IS!V42,0),"OK","ERROR")</f>
        <v>OK</v>
      </c>
      <c r="W77" s="208" t="str">
        <f>IF(ROUND(IS!W33,0)-ROUND(IS!W41,0)=ROUND(IS!W42,0),"OK","ERROR")</f>
        <v>OK</v>
      </c>
      <c r="X77" s="208" t="str">
        <f>IF(ROUND(IS!X33,0)-ROUND(IS!X41,0)=ROUND(IS!X42,0),"OK","ERROR")</f>
        <v>OK</v>
      </c>
      <c r="Y77" s="208" t="str">
        <f>IF(ROUND(IS!Y33,0)-ROUND(IS!Y41,0)=ROUND(IS!Y42,0),"OK","ERROR")</f>
        <v>OK</v>
      </c>
      <c r="Z77" s="227" t="str">
        <f>IF(ROUND(IS!Z33,0)-ROUND(IS!Z41,0)=ROUND(IS!Z42,0),"OK","ERROR")</f>
        <v>OK</v>
      </c>
      <c r="AA77" s="213"/>
      <c r="AB77" s="208" t="str">
        <f>IF(ROUND(IS!AB33,0)-ROUND(IS!AB41,0)=ROUND(IS!AB42,0),"OK","ERROR")</f>
        <v>OK</v>
      </c>
      <c r="AC77" s="208" t="str">
        <f>IF(ROUND(IS!AC33,0)-ROUND(IS!AC41,0)=ROUND(IS!AC42,0),"OK","ERROR")</f>
        <v>OK</v>
      </c>
      <c r="AD77" s="208" t="str">
        <f>IF(ROUND(IS!AD33,0)-ROUND(IS!AD41,0)=ROUND(IS!AD42,0),"OK","ERROR")</f>
        <v>OK</v>
      </c>
      <c r="AE77" s="208" t="str">
        <f>IF(ROUND(IS!AE33,0)-ROUND(IS!AE41,0)=ROUND(IS!AE42,0),"OK","ERROR")</f>
        <v>OK</v>
      </c>
      <c r="AF77" s="227" t="str">
        <f>IF(ROUND(IS!AF33,0)-ROUND(IS!AF41,0)=ROUND(IS!AF42,0),"OK","ERROR")</f>
        <v>OK</v>
      </c>
      <c r="AG77" s="211"/>
      <c r="AH77" s="208" t="str">
        <f>IF(ROUND(IS!AH33,0)-ROUND(IS!AH41,0)=ROUND(IS!AH42,0),"OK","ERROR")</f>
        <v>OK</v>
      </c>
      <c r="AI77" s="208" t="str">
        <f>IF(ROUND(IS!AI33,0)-ROUND(IS!AI41,0)=ROUND(IS!AI42,0),"OK","ERROR")</f>
        <v>OK</v>
      </c>
      <c r="AJ77" s="208" t="str">
        <f>IF(ROUND(IS!AJ33,0)-ROUND(IS!AJ41,0)=ROUND(IS!AJ42,0),"OK","ERROR")</f>
        <v>OK</v>
      </c>
      <c r="AK77" s="208" t="str">
        <f>IF(ROUND(IS!AK33,0)-ROUND(IS!AK41,0)=ROUND(IS!AK42,0),"OK","ERROR")</f>
        <v>OK</v>
      </c>
      <c r="AL77" s="227" t="str">
        <f>IF(ROUND(IS!AL33,0)-ROUND(IS!AL41,0)=ROUND(IS!AL42,0),"OK","ERROR")</f>
        <v>OK</v>
      </c>
      <c r="AM77" s="213"/>
      <c r="AN77" s="208" t="str">
        <f>IF(ROUND(IS!AN33,0)-ROUND(IS!AN41,0)=ROUND(IS!AN42,0),"OK","ERROR")</f>
        <v>OK</v>
      </c>
      <c r="AO77" s="208" t="str">
        <f>IF(ROUND(IS!AO33,0)-ROUND(IS!AO41,0)=ROUND(IS!AO42,0),"OK","ERROR")</f>
        <v>OK</v>
      </c>
      <c r="AP77" s="208" t="str">
        <f>IF(ROUND(IS!AP33,0)-ROUND(IS!AP41,0)=ROUND(IS!AP42,0),"OK","ERROR")</f>
        <v>OK</v>
      </c>
      <c r="AQ77" s="208" t="str">
        <f>IF(ROUND(IS!AQ33,0)-ROUND(IS!AQ41,0)=ROUND(IS!AQ42,0),"OK","ERROR")</f>
        <v>OK</v>
      </c>
      <c r="AR77" s="227" t="str">
        <f>IF(ROUND(IS!AR33,0)-ROUND(IS!AR41,0)=ROUND(IS!AR42,0),"OK","ERROR")</f>
        <v>OK</v>
      </c>
      <c r="AS77" s="213"/>
      <c r="AT77" s="227" t="str">
        <f>IF(ROUND(IS!AT33,0)-ROUND(IS!AT41,0)=ROUND(IS!AT42,0),"OK","ERROR")</f>
        <v>OK</v>
      </c>
      <c r="AU77" s="215"/>
      <c r="AV77" s="227" t="str">
        <f>IF(ROUND(IS!AV33,0)-ROUND(IS!AV41,0)=ROUND(IS!AV42,0),"OK","ERROR")</f>
        <v>OK</v>
      </c>
      <c r="AW77" s="215"/>
      <c r="AX77" s="227" t="str">
        <f>IF(ROUND(IS!AX33,0)-ROUND(IS!AX41,0)=ROUND(IS!AX42,0),"OK","ERROR")</f>
        <v>OK</v>
      </c>
    </row>
    <row r="78" spans="1:50" ht="14.25" customHeight="1">
      <c r="A78" s="73"/>
      <c r="B78" s="76"/>
      <c r="D78" s="208"/>
      <c r="E78" s="208"/>
      <c r="F78" s="208"/>
      <c r="G78" s="208"/>
      <c r="H78" s="220"/>
      <c r="I78" s="210"/>
      <c r="J78" s="208"/>
      <c r="K78" s="208"/>
      <c r="L78" s="208"/>
      <c r="M78" s="208"/>
      <c r="N78" s="220"/>
      <c r="O78" s="210"/>
      <c r="P78" s="208"/>
      <c r="Q78" s="208"/>
      <c r="R78" s="208"/>
      <c r="S78" s="208"/>
      <c r="T78" s="220"/>
      <c r="U78" s="210"/>
      <c r="V78" s="208"/>
      <c r="W78" s="208"/>
      <c r="X78" s="208"/>
      <c r="Y78" s="208"/>
      <c r="Z78" s="220"/>
      <c r="AA78" s="213"/>
      <c r="AB78" s="208"/>
      <c r="AC78" s="208"/>
      <c r="AD78" s="208"/>
      <c r="AE78" s="208"/>
      <c r="AF78" s="220"/>
      <c r="AG78" s="211"/>
      <c r="AH78" s="208"/>
      <c r="AI78" s="208"/>
      <c r="AJ78" s="208"/>
      <c r="AK78" s="208"/>
      <c r="AL78" s="220"/>
      <c r="AM78" s="213"/>
      <c r="AN78" s="208"/>
      <c r="AO78" s="208"/>
      <c r="AP78" s="208"/>
      <c r="AQ78" s="208"/>
      <c r="AR78" s="220"/>
      <c r="AS78" s="213"/>
      <c r="AT78" s="220"/>
      <c r="AU78" s="215"/>
      <c r="AV78" s="220"/>
      <c r="AW78" s="215"/>
      <c r="AX78" s="220"/>
    </row>
    <row r="79" spans="1:50" ht="14.25" customHeight="1">
      <c r="A79" s="44" t="s">
        <v>37</v>
      </c>
      <c r="B79" s="65" t="s">
        <v>655</v>
      </c>
      <c r="D79" s="208"/>
      <c r="E79" s="208"/>
      <c r="F79" s="208"/>
      <c r="G79" s="208"/>
      <c r="H79" s="220"/>
      <c r="I79" s="210"/>
      <c r="J79" s="208"/>
      <c r="K79" s="208"/>
      <c r="L79" s="208"/>
      <c r="M79" s="208"/>
      <c r="N79" s="220"/>
      <c r="O79" s="210"/>
      <c r="P79" s="208"/>
      <c r="Q79" s="208"/>
      <c r="R79" s="208"/>
      <c r="S79" s="208"/>
      <c r="T79" s="220"/>
      <c r="U79" s="210"/>
      <c r="V79" s="208"/>
      <c r="W79" s="208"/>
      <c r="X79" s="208"/>
      <c r="Y79" s="208"/>
      <c r="Z79" s="220"/>
      <c r="AA79" s="213"/>
      <c r="AB79" s="208"/>
      <c r="AC79" s="208"/>
      <c r="AD79" s="208"/>
      <c r="AE79" s="208"/>
      <c r="AF79" s="220"/>
      <c r="AG79" s="211"/>
      <c r="AH79" s="208"/>
      <c r="AI79" s="208"/>
      <c r="AJ79" s="208"/>
      <c r="AK79" s="208"/>
      <c r="AL79" s="220"/>
      <c r="AM79" s="213"/>
      <c r="AN79" s="208"/>
      <c r="AO79" s="208"/>
      <c r="AP79" s="208"/>
      <c r="AQ79" s="208"/>
      <c r="AR79" s="220"/>
      <c r="AS79" s="213"/>
      <c r="AT79" s="220"/>
      <c r="AU79" s="215"/>
      <c r="AV79" s="220"/>
      <c r="AW79" s="215"/>
      <c r="AX79" s="220"/>
    </row>
    <row r="80" spans="1:50" ht="14.25" customHeight="1" thickBot="1">
      <c r="A80" s="73"/>
      <c r="B80" s="70" t="s">
        <v>658</v>
      </c>
      <c r="D80" s="208" t="str">
        <f>IF(ROUND(IS!D42,0)-ROUND(SUM(IS!D45:D46),0)=ROUND(IS!D47,0),"OK","ERROR")</f>
        <v>OK</v>
      </c>
      <c r="E80" s="208" t="str">
        <f>IF(ROUND(IS!E42,0)-ROUND(SUM(IS!E45:E46),0)=ROUND(IS!E47,0),"OK","ERROR")</f>
        <v>OK</v>
      </c>
      <c r="F80" s="208" t="str">
        <f>IF(ROUND(IS!F42,0)-ROUND(SUM(IS!F45:F46),0)=ROUND(IS!F47,0),"OK","ERROR")</f>
        <v>OK</v>
      </c>
      <c r="G80" s="208" t="str">
        <f>IF(ROUND(IS!G42,0)-ROUND(SUM(IS!G45:G46),0)=ROUND(IS!G47,0),"OK","ERROR")</f>
        <v>OK</v>
      </c>
      <c r="H80" s="237" t="str">
        <f>IF(ROUND(IS!H42,0)-ROUND(SUM(IS!H45:H46),0)=ROUND(IS!H47,0),"OK","ERROR")</f>
        <v>OK</v>
      </c>
      <c r="I80" s="210"/>
      <c r="J80" s="208" t="str">
        <f>IF(ROUND(IS!J42,0)-ROUND(SUM(IS!J45:J46),0)=ROUND(IS!J47,0),"OK","ERROR")</f>
        <v>OK</v>
      </c>
      <c r="K80" s="208" t="str">
        <f>IF(ROUND(IS!K42,0)-ROUND(SUM(IS!K45:K46),0)=ROUND(IS!K47,0),"OK","ERROR")</f>
        <v>OK</v>
      </c>
      <c r="L80" s="208" t="str">
        <f>IF(ROUND(IS!L42,0)-ROUND(SUM(IS!L45:L46),0)=ROUND(IS!L47,0),"OK","ERROR")</f>
        <v>OK</v>
      </c>
      <c r="M80" s="208" t="str">
        <f>IF(ROUND(IS!M42,0)-ROUND(SUM(IS!M45:M46),0)=ROUND(IS!M47,0),"OK","ERROR")</f>
        <v>OK</v>
      </c>
      <c r="N80" s="237" t="str">
        <f>IF(ROUND(IS!N42,0)-ROUND(SUM(IS!N45:N46),0)=ROUND(IS!N47,0),"OK","ERROR")</f>
        <v>OK</v>
      </c>
      <c r="O80" s="210"/>
      <c r="P80" s="208" t="str">
        <f>IF(ROUND(IS!P42,0)-ROUND(SUM(IS!P45:P46),0)=ROUND(IS!P47,0),"OK","ERROR")</f>
        <v>OK</v>
      </c>
      <c r="Q80" s="208" t="str">
        <f>IF(ROUND(IS!Q42,0)-ROUND(SUM(IS!Q45:Q46),0)=ROUND(IS!Q47,0),"OK","ERROR")</f>
        <v>OK</v>
      </c>
      <c r="R80" s="208" t="str">
        <f>IF(ROUND(IS!R42,0)-ROUND(SUM(IS!R45:R46),0)=ROUND(IS!R47,0),"OK","ERROR")</f>
        <v>OK</v>
      </c>
      <c r="S80" s="208" t="str">
        <f>IF(ROUND(IS!S42,0)-ROUND(SUM(IS!S45:S46),0)=ROUND(IS!S47,0),"OK","ERROR")</f>
        <v>OK</v>
      </c>
      <c r="T80" s="237" t="str">
        <f>IF(ROUND(IS!T42,0)-ROUND(SUM(IS!T45:T46),0)=ROUND(IS!T47,0),"OK","ERROR")</f>
        <v>OK</v>
      </c>
      <c r="U80" s="210"/>
      <c r="V80" s="208" t="str">
        <f>IF(ROUND(IS!V42,0)-ROUND(SUM(IS!V45:V46),0)=ROUND(IS!V47,0),"OK","ERROR")</f>
        <v>OK</v>
      </c>
      <c r="W80" s="208" t="str">
        <f>IF(ROUND(IS!W42,0)-ROUND(SUM(IS!W45:W46),0)=ROUND(IS!W47,0),"OK","ERROR")</f>
        <v>OK</v>
      </c>
      <c r="X80" s="208" t="str">
        <f>IF(ROUND(IS!X42,0)-ROUND(SUM(IS!X45:X46),0)=ROUND(IS!X47,0),"OK","ERROR")</f>
        <v>OK</v>
      </c>
      <c r="Y80" s="208" t="str">
        <f>IF(ROUND(IS!Y42,0)-ROUND(SUM(IS!Y45:Y46),0)=ROUND(IS!Y47,0),"OK","ERROR")</f>
        <v>OK</v>
      </c>
      <c r="Z80" s="237" t="str">
        <f>IF(ROUND(IS!Z42,0)-ROUND(SUM(IS!Z45:Z46),0)=ROUND(IS!Z47,0),"OK","ERROR")</f>
        <v>OK</v>
      </c>
      <c r="AA80" s="213"/>
      <c r="AB80" s="208" t="str">
        <f>IF(ROUND(IS!AB42,0)-ROUND(SUM(IS!AB45:AB46),0)=ROUND(IS!AB47,0),"OK","ERROR")</f>
        <v>OK</v>
      </c>
      <c r="AC80" s="208" t="str">
        <f>IF(ROUND(IS!AC42,0)-ROUND(SUM(IS!AC45:AC46),0)=ROUND(IS!AC47,0),"OK","ERROR")</f>
        <v>OK</v>
      </c>
      <c r="AD80" s="208" t="str">
        <f>IF(ROUND(IS!AD42,0)-ROUND(SUM(IS!AD45:AD46),0)=ROUND(IS!AD47,0),"OK","ERROR")</f>
        <v>OK</v>
      </c>
      <c r="AE80" s="208" t="str">
        <f>IF(ROUND(IS!AE42,0)-ROUND(SUM(IS!AE45:AE46),0)=ROUND(IS!AE47,0),"OK","ERROR")</f>
        <v>OK</v>
      </c>
      <c r="AF80" s="237" t="str">
        <f>IF(ROUND(IS!AF42,0)-ROUND(SUM(IS!AF45:AF46),0)=ROUND(IS!AF47,0),"OK","ERROR")</f>
        <v>OK</v>
      </c>
      <c r="AG80" s="211"/>
      <c r="AH80" s="208" t="str">
        <f>IF(ROUND(IS!AH42,0)-ROUND(SUM(IS!AH45:AH46),0)=ROUND(IS!AH47,0),"OK","ERROR")</f>
        <v>OK</v>
      </c>
      <c r="AI80" s="208" t="str">
        <f>IF(ROUND(IS!AI42,0)-ROUND(SUM(IS!AI45:AI46),0)=ROUND(IS!AI47,0),"OK","ERROR")</f>
        <v>OK</v>
      </c>
      <c r="AJ80" s="208" t="str">
        <f>IF(ROUND(IS!AJ42,0)-ROUND(SUM(IS!AJ45:AJ46),0)=ROUND(IS!AJ47,0),"OK","ERROR")</f>
        <v>OK</v>
      </c>
      <c r="AK80" s="208" t="str">
        <f>IF(ROUND(IS!AK42,0)-ROUND(SUM(IS!AK45:AK46),0)=ROUND(IS!AK47,0),"OK","ERROR")</f>
        <v>OK</v>
      </c>
      <c r="AL80" s="237" t="str">
        <f>IF(ROUND(IS!AL42,0)-ROUND(SUM(IS!AL45:AL46),0)=ROUND(IS!AL47,0),"OK","ERROR")</f>
        <v>OK</v>
      </c>
      <c r="AM80" s="236"/>
      <c r="AN80" s="208" t="str">
        <f>IF(ROUND(IS!AN42,0)-ROUND(SUM(IS!AN45:AN46),0)=ROUND(IS!AN47,0),"OK","ERROR")</f>
        <v>OK</v>
      </c>
      <c r="AO80" s="208" t="str">
        <f>IF(ROUND(IS!AO42,0)-ROUND(SUM(IS!AO45:AO46),0)=ROUND(IS!AO47,0),"OK","ERROR")</f>
        <v>OK</v>
      </c>
      <c r="AP80" s="208" t="str">
        <f>IF(ROUND(IS!AP42,0)-ROUND(SUM(IS!AP45:AP46),0)=ROUND(IS!AP47,0),"OK","ERROR")</f>
        <v>OK</v>
      </c>
      <c r="AQ80" s="208" t="str">
        <f>IF(ROUND(IS!AQ42,0)-ROUND(SUM(IS!AQ45:AQ46),0)=ROUND(IS!AQ47,0),"OK","ERROR")</f>
        <v>OK</v>
      </c>
      <c r="AR80" s="237" t="str">
        <f>IF(ROUND(IS!AR42,0)-ROUND(SUM(IS!AR45:AR46),0)=ROUND(IS!AR47,0),"OK","ERROR")</f>
        <v>OK</v>
      </c>
      <c r="AS80" s="213"/>
      <c r="AT80" s="237" t="str">
        <f>IF(ROUND(IS!AT42,0)-ROUND(SUM(IS!AT45:AT46),0)=ROUND(IS!AT47,0),"OK","ERROR")</f>
        <v>OK</v>
      </c>
      <c r="AU80" s="215"/>
      <c r="AV80" s="237" t="str">
        <f>IF(ROUND(IS!AV42,0)-ROUND(SUM(IS!AV45:AV46),0)=ROUND(IS!AV47,0),"OK","ERROR")</f>
        <v>OK</v>
      </c>
      <c r="AW80" s="215"/>
      <c r="AX80" s="237" t="str">
        <f>IF(ROUND(IS!AX42,0)-ROUND(SUM(IS!AX45:AX46),0)=ROUND(IS!AX47,0),"OK","ERROR")</f>
        <v>OK</v>
      </c>
    </row>
    <row r="82" spans="1:50" ht="14.25" customHeight="1">
      <c r="A82" s="44" t="s">
        <v>37</v>
      </c>
      <c r="B82" s="65" t="s">
        <v>659</v>
      </c>
      <c r="D82" s="208"/>
      <c r="E82" s="208"/>
      <c r="F82" s="208"/>
      <c r="G82" s="208"/>
      <c r="H82" s="220"/>
      <c r="I82" s="210"/>
      <c r="J82" s="208"/>
      <c r="K82" s="208"/>
      <c r="L82" s="208"/>
      <c r="M82" s="208"/>
      <c r="N82" s="220"/>
      <c r="O82" s="210"/>
      <c r="P82" s="208"/>
      <c r="Q82" s="208"/>
      <c r="R82" s="208"/>
      <c r="S82" s="208"/>
      <c r="T82" s="220"/>
      <c r="U82" s="210"/>
      <c r="V82" s="208"/>
      <c r="W82" s="208"/>
      <c r="X82" s="208"/>
      <c r="Y82" s="208"/>
      <c r="Z82" s="220"/>
      <c r="AA82" s="210"/>
      <c r="AB82" s="208"/>
      <c r="AC82" s="208"/>
      <c r="AD82" s="208"/>
      <c r="AE82" s="208"/>
      <c r="AF82" s="220"/>
      <c r="AG82" s="238"/>
      <c r="AH82" s="208"/>
      <c r="AI82" s="208"/>
      <c r="AJ82" s="208"/>
      <c r="AK82" s="208"/>
      <c r="AL82" s="220"/>
      <c r="AM82" s="210"/>
      <c r="AN82" s="208"/>
      <c r="AO82" s="208"/>
      <c r="AP82" s="208"/>
      <c r="AQ82" s="208"/>
      <c r="AR82" s="220"/>
      <c r="AS82" s="210"/>
      <c r="AT82" s="220"/>
      <c r="AU82" s="239"/>
      <c r="AV82" s="220"/>
      <c r="AW82" s="239"/>
      <c r="AX82" s="220"/>
    </row>
    <row r="83" spans="1:50" ht="14.25" customHeight="1" thickBot="1">
      <c r="A83" s="73"/>
      <c r="B83" s="76" t="s">
        <v>662</v>
      </c>
      <c r="D83" s="208" t="str">
        <f>IF(ROUND(IS!D47,0)-ROUND(SUM(IS!D50:D51),0)=ROUND(IS!D52,0),"OK","ERROR")</f>
        <v>OK</v>
      </c>
      <c r="E83" s="208" t="str">
        <f>IF(ROUND(IS!E47,0)-ROUND(SUM(IS!E50:E51),0)=ROUND(IS!E52,0),"OK","ERROR")</f>
        <v>OK</v>
      </c>
      <c r="F83" s="208" t="str">
        <f>IF(ROUND(IS!F47,0)-ROUND(SUM(IS!F50:F51),0)=ROUND(IS!F52,0),"OK","ERROR")</f>
        <v>OK</v>
      </c>
      <c r="G83" s="208" t="str">
        <f>IF(ROUND(IS!G47,0)-ROUND(SUM(IS!G50:G51),0)=ROUND(IS!G52,0),"OK","ERROR")</f>
        <v>OK</v>
      </c>
      <c r="H83" s="237" t="str">
        <f>IF(ROUND(IS!H47,0)-ROUND(SUM(IS!H50:H51),0)=ROUND(IS!H52,0),"OK","ERROR")</f>
        <v>OK</v>
      </c>
      <c r="I83" s="210"/>
      <c r="J83" s="208" t="str">
        <f>IF(ROUND(IS!J47,0)-ROUND(SUM(IS!J50:J51),0)=ROUND(IS!J52,0),"OK","ERROR")</f>
        <v>OK</v>
      </c>
      <c r="K83" s="208" t="str">
        <f>IF(ROUND(IS!K47,0)-ROUND(SUM(IS!K50:K51),0)=ROUND(IS!K52,0),"OK","ERROR")</f>
        <v>OK</v>
      </c>
      <c r="L83" s="208" t="str">
        <f>IF(ROUND(IS!L47,0)-ROUND(SUM(IS!L50:L51),0)=ROUND(IS!L52,0),"OK","ERROR")</f>
        <v>OK</v>
      </c>
      <c r="M83" s="208" t="str">
        <f>IF(ROUND(IS!M47,0)-ROUND(SUM(IS!M50:M51),0)=ROUND(IS!M52,0),"OK","ERROR")</f>
        <v>OK</v>
      </c>
      <c r="N83" s="237" t="str">
        <f>IF(ROUND(IS!N47,0)-ROUND(SUM(IS!N50:N51),0)=ROUND(IS!N52,0),"OK","ERROR")</f>
        <v>OK</v>
      </c>
      <c r="O83" s="210"/>
      <c r="P83" s="208" t="str">
        <f>IF(ROUND(IS!P47,0)-ROUND(SUM(IS!P50:P51),0)=ROUND(IS!P52,0),"OK","ERROR")</f>
        <v>OK</v>
      </c>
      <c r="Q83" s="208" t="str">
        <f>IF(ROUND(IS!Q47,0)-ROUND(SUM(IS!Q50:Q51),0)=ROUND(IS!Q52,0),"OK","ERROR")</f>
        <v>OK</v>
      </c>
      <c r="R83" s="208" t="str">
        <f>IF(ROUND(IS!R47,0)-ROUND(SUM(IS!R50:R51),0)=ROUND(IS!R52,0),"OK","ERROR")</f>
        <v>OK</v>
      </c>
      <c r="S83" s="208" t="str">
        <f>IF(ROUND(IS!S47,0)-ROUND(SUM(IS!S50:S51),0)=ROUND(IS!S52,0),"OK","ERROR")</f>
        <v>OK</v>
      </c>
      <c r="T83" s="237" t="str">
        <f>IF(ROUND(IS!T47,0)-ROUND(SUM(IS!T50:T51),0)=ROUND(IS!T52,0),"OK","ERROR")</f>
        <v>OK</v>
      </c>
      <c r="U83" s="210"/>
      <c r="V83" s="208" t="str">
        <f>IF(ROUND(IS!V47,0)-ROUND(SUM(IS!V50:V51),0)=ROUND(IS!V52,0),"OK","ERROR")</f>
        <v>OK</v>
      </c>
      <c r="W83" s="208" t="str">
        <f>IF(ROUND(IS!W47,0)-ROUND(SUM(IS!W50:W51),0)=ROUND(IS!W52,0),"OK","ERROR")</f>
        <v>OK</v>
      </c>
      <c r="X83" s="208" t="str">
        <f>IF(ROUND(IS!X47,0)-ROUND(SUM(IS!X50:X51),0)=ROUND(IS!X52,0),"OK","ERROR")</f>
        <v>OK</v>
      </c>
      <c r="Y83" s="208" t="str">
        <f>IF(ROUND(IS!Y47,0)-ROUND(SUM(IS!Y50:Y51),0)=ROUND(IS!Y52,0),"OK","ERROR")</f>
        <v>OK</v>
      </c>
      <c r="Z83" s="237" t="str">
        <f>IF(ROUND(IS!Z47,0)-ROUND(SUM(IS!Z50:Z51),0)=ROUND(IS!Z52,0),"OK","ERROR")</f>
        <v>OK</v>
      </c>
      <c r="AA83" s="210"/>
      <c r="AB83" s="208" t="str">
        <f>IF(ROUND(IS!AB47,0)-ROUND(SUM(IS!AB50:AB51),0)=ROUND(IS!AB52,0),"OK","ERROR")</f>
        <v>OK</v>
      </c>
      <c r="AC83" s="208" t="str">
        <f>IF(ROUND(IS!AC47,0)-ROUND(SUM(IS!AC50:AC51),0)=ROUND(IS!AC52,0),"OK","ERROR")</f>
        <v>OK</v>
      </c>
      <c r="AD83" s="208" t="str">
        <f>IF(ROUND(IS!AD47,0)-ROUND(SUM(IS!AD50:AD51),0)=ROUND(IS!AD52,0),"OK","ERROR")</f>
        <v>OK</v>
      </c>
      <c r="AE83" s="208" t="str">
        <f>IF(ROUND(IS!AE47,0)-ROUND(SUM(IS!AE50:AE51),0)=ROUND(IS!AE52,0),"OK","ERROR")</f>
        <v>OK</v>
      </c>
      <c r="AF83" s="237" t="str">
        <f>IF(ROUND(IS!AF47,0)-ROUND(SUM(IS!AF50:AF51),0)=ROUND(IS!AF52,0),"OK","ERROR")</f>
        <v>OK</v>
      </c>
      <c r="AG83" s="238"/>
      <c r="AH83" s="208" t="str">
        <f>IF(ROUND(IS!AH47,0)-ROUND(SUM(IS!AH50:AH51),0)=ROUND(IS!AH52,0),"OK","ERROR")</f>
        <v>OK</v>
      </c>
      <c r="AI83" s="208" t="str">
        <f>IF(ROUND(IS!AI47,0)-ROUND(SUM(IS!AI50:AI51),0)=ROUND(IS!AI52,0),"OK","ERROR")</f>
        <v>OK</v>
      </c>
      <c r="AJ83" s="208" t="str">
        <f>IF(ROUND(IS!AJ47,0)-ROUND(SUM(IS!AJ50:AJ51),0)=ROUND(IS!AJ52,0),"OK","ERROR")</f>
        <v>OK</v>
      </c>
      <c r="AK83" s="208" t="str">
        <f>IF(ROUND(IS!AK47,0)-ROUND(SUM(IS!AK50:AK51),0)=ROUND(IS!AK52,0),"OK","ERROR")</f>
        <v>OK</v>
      </c>
      <c r="AL83" s="237" t="str">
        <f>IF(ROUND(IS!AL47,0)-ROUND(SUM(IS!AL50:AL51),0)=ROUND(IS!AL52,0),"OK","ERROR")</f>
        <v>OK</v>
      </c>
      <c r="AM83" s="210"/>
      <c r="AN83" s="208" t="str">
        <f>IF(ROUND(IS!AN47,0)-ROUND(SUM(IS!AN50:AN51),0)=ROUND(IS!AN52,0),"OK","ERROR")</f>
        <v>OK</v>
      </c>
      <c r="AO83" s="208" t="str">
        <f>IF(ROUND(IS!AO47,0)-ROUND(SUM(IS!AO50:AO51),0)=ROUND(IS!AO52,0),"OK","ERROR")</f>
        <v>OK</v>
      </c>
      <c r="AP83" s="208" t="str">
        <f>IF(ROUND(IS!AP47,0)-ROUND(SUM(IS!AP50:AP51),0)=ROUND(IS!AP52,0),"OK","ERROR")</f>
        <v>OK</v>
      </c>
      <c r="AQ83" s="208" t="str">
        <f>IF(ROUND(IS!AQ47,0)-ROUND(SUM(IS!AQ50:AQ51),0)=ROUND(IS!AQ52,0),"OK","ERROR")</f>
        <v>OK</v>
      </c>
      <c r="AR83" s="237" t="str">
        <f>IF(ROUND(IS!AR47,0)-ROUND(SUM(IS!AR50:AR51),0)=ROUND(IS!AR52,0),"OK","ERROR")</f>
        <v>OK</v>
      </c>
      <c r="AS83" s="210"/>
      <c r="AT83" s="237" t="str">
        <f>IF(ROUND(IS!AT47,0)-ROUND(SUM(IS!AT50:AT51),0)=ROUND(IS!AT52,0),"OK","ERROR")</f>
        <v>OK</v>
      </c>
      <c r="AU83" s="239"/>
      <c r="AV83" s="237" t="str">
        <f>IF(ROUND(IS!AV47,0)-ROUND(SUM(IS!AV50:AV51),0)=ROUND(IS!AV52,0),"OK","ERROR")</f>
        <v>OK</v>
      </c>
      <c r="AW83" s="239"/>
      <c r="AX83" s="237" t="str">
        <f>IF(ROUND(IS!AX47,0)-ROUND(SUM(IS!AX50:AX51),0)=ROUND(IS!AX52,0),"OK","ERROR")</f>
        <v>OK</v>
      </c>
    </row>
    <row r="84" spans="1:50" ht="14.25" customHeight="1" thickTop="1">
      <c r="A84" s="55"/>
      <c r="D84" s="208"/>
      <c r="E84" s="208"/>
      <c r="F84" s="208"/>
      <c r="G84" s="208"/>
      <c r="H84" s="220"/>
      <c r="I84" s="210"/>
      <c r="J84" s="208"/>
      <c r="K84" s="208"/>
      <c r="L84" s="208"/>
      <c r="M84" s="208"/>
      <c r="N84" s="220"/>
      <c r="O84" s="210"/>
      <c r="P84" s="208"/>
      <c r="Q84" s="208"/>
      <c r="R84" s="208"/>
      <c r="S84" s="208"/>
      <c r="T84" s="220"/>
      <c r="U84" s="210"/>
      <c r="V84" s="208"/>
      <c r="W84" s="208"/>
      <c r="X84" s="208"/>
      <c r="Y84" s="208"/>
      <c r="Z84" s="220"/>
      <c r="AA84" s="210"/>
      <c r="AB84" s="208"/>
      <c r="AC84" s="208"/>
      <c r="AD84" s="208"/>
      <c r="AE84" s="208"/>
      <c r="AF84" s="220"/>
      <c r="AG84" s="238"/>
      <c r="AH84" s="208"/>
      <c r="AI84" s="208"/>
      <c r="AJ84" s="208"/>
      <c r="AK84" s="208"/>
      <c r="AL84" s="220"/>
      <c r="AM84" s="210"/>
      <c r="AN84" s="208"/>
      <c r="AO84" s="208"/>
      <c r="AP84" s="208"/>
      <c r="AQ84" s="208"/>
      <c r="AR84" s="220"/>
      <c r="AS84" s="210"/>
      <c r="AT84" s="220"/>
      <c r="AU84" s="239"/>
      <c r="AV84" s="220"/>
      <c r="AW84" s="239"/>
      <c r="AX84" s="220"/>
    </row>
    <row r="85" spans="1:50" ht="14.25" customHeight="1">
      <c r="A85" s="44" t="s">
        <v>37</v>
      </c>
      <c r="B85" s="65" t="s">
        <v>663</v>
      </c>
      <c r="D85" s="208"/>
      <c r="E85" s="208"/>
      <c r="F85" s="208"/>
      <c r="G85" s="208"/>
      <c r="H85" s="220"/>
      <c r="I85" s="210"/>
      <c r="J85" s="208"/>
      <c r="K85" s="208"/>
      <c r="L85" s="208"/>
      <c r="M85" s="208"/>
      <c r="N85" s="220"/>
      <c r="O85" s="210"/>
      <c r="P85" s="208"/>
      <c r="Q85" s="208"/>
      <c r="R85" s="208"/>
      <c r="S85" s="208"/>
      <c r="T85" s="220"/>
      <c r="U85" s="210"/>
      <c r="V85" s="208"/>
      <c r="W85" s="208"/>
      <c r="X85" s="208"/>
      <c r="Y85" s="208"/>
      <c r="Z85" s="220"/>
      <c r="AA85" s="210"/>
      <c r="AB85" s="208"/>
      <c r="AC85" s="208"/>
      <c r="AD85" s="208"/>
      <c r="AE85" s="208"/>
      <c r="AF85" s="220"/>
      <c r="AG85" s="238"/>
      <c r="AH85" s="208"/>
      <c r="AI85" s="208"/>
      <c r="AJ85" s="208"/>
      <c r="AK85" s="208"/>
      <c r="AL85" s="220"/>
      <c r="AM85" s="210"/>
      <c r="AN85" s="208"/>
      <c r="AO85" s="208"/>
      <c r="AP85" s="208"/>
      <c r="AQ85" s="208"/>
      <c r="AR85" s="220"/>
      <c r="AS85" s="210"/>
      <c r="AT85" s="220"/>
      <c r="AU85" s="239"/>
      <c r="AV85" s="220"/>
      <c r="AW85" s="239"/>
      <c r="AX85" s="220"/>
    </row>
    <row r="86" spans="1:50" ht="14.25" customHeight="1">
      <c r="A86" s="55"/>
      <c r="B86" s="76" t="s">
        <v>664</v>
      </c>
      <c r="D86" s="240" t="str">
        <f>IF(ROUND(IS!D52/IS!D59,1)=ROUND(IS!D55,1),"OK","ERROR")</f>
        <v>OK</v>
      </c>
      <c r="E86" s="240" t="str">
        <f>IF(ROUND(IS!E52/IS!E59,1)=ROUND(IS!E55,1),"OK","ERROR")</f>
        <v>OK</v>
      </c>
      <c r="F86" s="240" t="str">
        <f>IF(ROUND(IS!F52/IS!F59,1)=ROUND(IS!F55,1),"OK","ERROR")</f>
        <v>OK</v>
      </c>
      <c r="G86" s="240" t="str">
        <f>IF(ROUND(IS!G52/IS!G59,1)=ROUND(IS!G55,1),"OK","ERROR")</f>
        <v>OK</v>
      </c>
      <c r="H86" s="241" t="str">
        <f>IF(ROUND(IS!H52/IS!H59,1)=ROUND(IS!H55,1),"OK","ERROR")</f>
        <v>OK</v>
      </c>
      <c r="I86" s="242"/>
      <c r="J86" s="240" t="str">
        <f>IF(ROUND(IS!J52/IS!J59,1)=ROUND(IS!J55,1),"OK","ERROR")</f>
        <v>OK</v>
      </c>
      <c r="K86" s="240" t="str">
        <f>IF(ROUND(IS!K52/IS!K59,1)=ROUND(IS!K55,1),"OK","ERROR")</f>
        <v>OK</v>
      </c>
      <c r="L86" s="240" t="str">
        <f>IF(ROUND(IS!L52/IS!L59,1)=ROUND(IS!L55,1),"OK","ERROR")</f>
        <v>OK</v>
      </c>
      <c r="M86" s="240" t="str">
        <f>IF(ROUND(IS!M52/IS!M59,1)=ROUND(IS!M55,1),"OK","ERROR")</f>
        <v>OK</v>
      </c>
      <c r="N86" s="241" t="str">
        <f>IF(ROUND(IS!N52/IS!N59,1)=ROUND(IS!N55,1),"OK","ERROR")</f>
        <v>OK</v>
      </c>
      <c r="O86" s="242"/>
      <c r="P86" s="240" t="str">
        <f>IF(ROUND(IS!P52/IS!P59,1)=ROUND(IS!P55,1),"OK","ERROR")</f>
        <v>OK</v>
      </c>
      <c r="Q86" s="240" t="str">
        <f>IF(ROUND(IS!Q52/IS!Q59,1)=ROUND(IS!Q55,1),"OK","ERROR")</f>
        <v>OK</v>
      </c>
      <c r="R86" s="240" t="str">
        <f>IF(ROUND(IS!R52/IS!R59,1)=ROUND(IS!R55,1),"OK","ERROR")</f>
        <v>OK</v>
      </c>
      <c r="S86" s="240" t="str">
        <f>IF(ROUND(IS!S52/IS!S59,1)=ROUND(IS!S55,1),"OK","ERROR")</f>
        <v>OK</v>
      </c>
      <c r="T86" s="241" t="str">
        <f>IF(ROUND(IS!T52/IS!T59,1)=ROUND(IS!T55,1),"OK","ERROR")</f>
        <v>OK</v>
      </c>
      <c r="U86" s="242"/>
      <c r="V86" s="240" t="str">
        <f>IF(ROUND(IS!V52/IS!V59,1)=ROUND(IS!V55,1),"OK","ERROR")</f>
        <v>OK</v>
      </c>
      <c r="W86" s="240" t="str">
        <f>IF(ROUND(IS!W52/IS!W59,1)=ROUND(IS!W55,1),"OK","ERROR")</f>
        <v>OK</v>
      </c>
      <c r="X86" s="240" t="str">
        <f>IF(ROUND(IS!X52/IS!X59,1)=ROUND(IS!X55,1),"OK","ERROR")</f>
        <v>OK</v>
      </c>
      <c r="Y86" s="240" t="str">
        <f>IF(ROUND(IS!Y52/IS!Y59,1)=ROUND(IS!Y55,1),"OK","ERROR")</f>
        <v>OK</v>
      </c>
      <c r="Z86" s="241" t="str">
        <f>IF(ROUND(IS!Z52/IS!Z59,1)=ROUND(IS!Z55,1),"OK","ERROR")</f>
        <v>OK</v>
      </c>
      <c r="AA86" s="242"/>
      <c r="AB86" s="240" t="str">
        <f>IF(ROUND(IS!AB52/IS!AB59,1)=ROUND(IS!AB55,1),"OK","ERROR")</f>
        <v>OK</v>
      </c>
      <c r="AC86" s="240" t="str">
        <f>IF(ROUND(IS!AC52/IS!AC59,1)=ROUND(IS!AC55,1),"OK","ERROR")</f>
        <v>OK</v>
      </c>
      <c r="AD86" s="240" t="str">
        <f>IF(ROUND(IS!AD52/IS!AD59,1)=ROUND(IS!AD55,1),"OK","ERROR")</f>
        <v>OK</v>
      </c>
      <c r="AE86" s="240" t="str">
        <f>IF(ROUND(IS!AE52/IS!AE59,1)=ROUND(IS!AE55,1),"OK","ERROR")</f>
        <v>OK</v>
      </c>
      <c r="AF86" s="241" t="str">
        <f>IF(ROUND(IS!AF52/IS!AF59,1)=ROUND(IS!AF55,1),"OK","ERROR")</f>
        <v>OK</v>
      </c>
      <c r="AG86" s="243"/>
      <c r="AH86" s="240" t="str">
        <f>IF(ROUND(IS!AH52/IS!AH59,1)=ROUND(IS!AH55,1),"OK","ERROR")</f>
        <v>OK</v>
      </c>
      <c r="AI86" s="240" t="str">
        <f>IF(ROUND(IS!AI52/IS!AI59,1)=ROUND(IS!AI55,1),"OK","ERROR")</f>
        <v>OK</v>
      </c>
      <c r="AJ86" s="240" t="e">
        <f>IF(ROUND(IS!AJ52/IS!AJ59,1)=ROUND(IS!AJ55,1),"OK","ERROR")</f>
        <v>#DIV/0!</v>
      </c>
      <c r="AK86" s="240" t="e">
        <f>IF(ROUND(IS!AK52/IS!AK59,1)=ROUND(IS!AK55,1),"OK","ERROR")</f>
        <v>#DIV/0!</v>
      </c>
      <c r="AL86" s="241" t="e">
        <f>IF(ROUND(IS!AL52/IS!AL59,1)=ROUND(IS!AL55,1),"OK","ERROR")</f>
        <v>#DIV/0!</v>
      </c>
      <c r="AM86" s="242"/>
      <c r="AN86" s="240" t="e">
        <f>IF(ROUND(IS!AN52/IS!AN59,1)=ROUND(IS!AN55,1),"OK","ERROR")</f>
        <v>#DIV/0!</v>
      </c>
      <c r="AO86" s="240" t="e">
        <f>IF(ROUND(IS!AO52/IS!AO59,1)=ROUND(IS!AO55,1),"OK","ERROR")</f>
        <v>#DIV/0!</v>
      </c>
      <c r="AP86" s="240" t="e">
        <f>IF(ROUND(IS!AP52/IS!AP59,1)=ROUND(IS!AP55,1),"OK","ERROR")</f>
        <v>#DIV/0!</v>
      </c>
      <c r="AQ86" s="240" t="e">
        <f>IF(ROUND(IS!AQ52/IS!AQ59,1)=ROUND(IS!AQ55,1),"OK","ERROR")</f>
        <v>#DIV/0!</v>
      </c>
      <c r="AR86" s="241" t="e">
        <f>IF(ROUND(IS!AR52/IS!AR59,1)=ROUND(IS!AR55,1),"OK","ERROR")</f>
        <v>#DIV/0!</v>
      </c>
      <c r="AS86" s="242"/>
      <c r="AT86" s="241" t="e">
        <f>IF(ROUND(IS!AT52/IS!AT59,1)=ROUND(IS!AT55,1),"OK","ERROR")</f>
        <v>#DIV/0!</v>
      </c>
      <c r="AU86" s="245"/>
      <c r="AV86" s="241" t="e">
        <f>IF(ROUND(IS!AV52/IS!AV59,1)=ROUND(IS!AV55,1),"OK","ERROR")</f>
        <v>#DIV/0!</v>
      </c>
      <c r="AW86" s="245"/>
      <c r="AX86" s="241" t="e">
        <f>IF(ROUND(IS!AX52/IS!AX59,1)=ROUND(IS!AX55,1),"OK","ERROR")</f>
        <v>#DIV/0!</v>
      </c>
    </row>
    <row r="87" spans="1:50" ht="14.25" customHeight="1">
      <c r="A87" s="73"/>
      <c r="B87" s="76" t="s">
        <v>665</v>
      </c>
      <c r="D87" s="240" t="str">
        <f>IF(ROUND(IS!D52/IS!D60,1)=ROUND(IS!D56,1),"OK","ERROR")</f>
        <v>ERROR</v>
      </c>
      <c r="E87" s="240" t="str">
        <f>IF(ROUND(IS!E52/IS!E60,1)=ROUND(IS!E56,1),"OK","ERROR")</f>
        <v>OK</v>
      </c>
      <c r="F87" s="240" t="str">
        <f>IF(ROUND(IS!F52/IS!F60,1)=ROUND(IS!F56,1),"OK","ERROR")</f>
        <v>OK</v>
      </c>
      <c r="G87" s="240" t="str">
        <f>IF(ROUND(IS!G52/IS!G60,1)=ROUND(IS!G56,1),"OK","ERROR")</f>
        <v>OK</v>
      </c>
      <c r="H87" s="241" t="str">
        <f>IF(ROUND(IS!H52/IS!H60,1)=ROUND(IS!H56,1),"OK","ERROR")</f>
        <v>OK</v>
      </c>
      <c r="I87" s="242"/>
      <c r="J87" s="240" t="str">
        <f>IF(ROUND(IS!J52/IS!J60,1)=ROUND(IS!J56,1),"OK","ERROR")</f>
        <v>OK</v>
      </c>
      <c r="K87" s="240" t="str">
        <f>IF(ROUND(IS!K52/IS!K60,1)=ROUND(IS!K56,1),"OK","ERROR")</f>
        <v>OK</v>
      </c>
      <c r="L87" s="240" t="str">
        <f>IF(ROUND(IS!L52/IS!L60,1)=ROUND(IS!L56,1),"OK","ERROR")</f>
        <v>OK</v>
      </c>
      <c r="M87" s="240" t="str">
        <f>IF(ROUND(IS!M52/IS!M60,1)=ROUND(IS!M56,1),"OK","ERROR")</f>
        <v>OK</v>
      </c>
      <c r="N87" s="241" t="str">
        <f>IF(ROUND(IS!N52/IS!N60,1)=ROUND(IS!N56,1),"OK","ERROR")</f>
        <v>OK</v>
      </c>
      <c r="O87" s="242"/>
      <c r="P87" s="240" t="str">
        <f>IF(ROUND(IS!P52/IS!P60,1)=ROUND(IS!P56,1),"OK","ERROR")</f>
        <v>OK</v>
      </c>
      <c r="Q87" s="240" t="str">
        <f>IF(ROUND(IS!Q52/IS!Q60,1)=ROUND(IS!Q56,1),"OK","ERROR")</f>
        <v>OK</v>
      </c>
      <c r="R87" s="240" t="str">
        <f>IF(ROUND(IS!R52/IS!R60,1)=ROUND(IS!R56,1),"OK","ERROR")</f>
        <v>OK</v>
      </c>
      <c r="S87" s="240" t="str">
        <f>IF(ROUND(IS!S52/IS!S60,1)=ROUND(IS!S56,1),"OK","ERROR")</f>
        <v>OK</v>
      </c>
      <c r="T87" s="241" t="str">
        <f>IF(ROUND(IS!T52/IS!T60,1)=ROUND(IS!T56,1),"OK","ERROR")</f>
        <v>ERROR</v>
      </c>
      <c r="U87" s="242"/>
      <c r="V87" s="240" t="str">
        <f>IF(ROUND(IS!V52/IS!V60,1)=ROUND(IS!V56,1),"OK","ERROR")</f>
        <v>ERROR</v>
      </c>
      <c r="W87" s="240" t="str">
        <f>IF(ROUND(IS!W52/IS!W60,1)=ROUND(IS!W56,1),"OK","ERROR")</f>
        <v>OK</v>
      </c>
      <c r="X87" s="240" t="str">
        <f>IF(ROUND(IS!X52/IS!X60,1)=ROUND(IS!X56,1),"OK","ERROR")</f>
        <v>OK</v>
      </c>
      <c r="Y87" s="240" t="str">
        <f>IF(ROUND(IS!Y52/IS!Y60,1)=ROUND(IS!Y56,1),"OK","ERROR")</f>
        <v>OK</v>
      </c>
      <c r="Z87" s="241" t="str">
        <f>IF(ROUND(IS!Z52/IS!Z60,1)=ROUND(IS!Z56,1),"OK","ERROR")</f>
        <v>OK</v>
      </c>
      <c r="AA87" s="242"/>
      <c r="AB87" s="240" t="str">
        <f>IF(ROUND(IS!AB52/IS!AB60,1)=ROUND(IS!AB56,1),"OK","ERROR")</f>
        <v>ERROR</v>
      </c>
      <c r="AC87" s="240" t="str">
        <f>IF(ROUND(IS!AC52/IS!AC60,1)=ROUND(IS!AC56,1),"OK","ERROR")</f>
        <v>OK</v>
      </c>
      <c r="AD87" s="240" t="str">
        <f>IF(ROUND(IS!AD52/IS!AD60,1)=ROUND(IS!AD56,1),"OK","ERROR")</f>
        <v>OK</v>
      </c>
      <c r="AE87" s="240" t="str">
        <f>IF(ROUND(IS!AE52/IS!AE60,1)=ROUND(IS!AE56,1),"OK","ERROR")</f>
        <v>OK</v>
      </c>
      <c r="AF87" s="241" t="str">
        <f>IF(ROUND(IS!AF52/IS!AF60,1)=ROUND(IS!AF56,1),"OK","ERROR")</f>
        <v>OK</v>
      </c>
      <c r="AG87" s="243"/>
      <c r="AH87" s="240" t="str">
        <f>IF(ROUND(IS!AH52/IS!AH60,1)=ROUND(IS!AH56,1),"OK","ERROR")</f>
        <v>OK</v>
      </c>
      <c r="AI87" s="240" t="str">
        <f>IF(ROUND(IS!AI52/IS!AI60,1)=ROUND(IS!AI56,1),"OK","ERROR")</f>
        <v>OK</v>
      </c>
      <c r="AJ87" s="240" t="e">
        <f>IF(ROUND(IS!AJ52/IS!AJ60,1)=ROUND(IS!AJ56,1),"OK","ERROR")</f>
        <v>#DIV/0!</v>
      </c>
      <c r="AK87" s="240" t="e">
        <f>IF(ROUND(IS!AK52/IS!AK60,1)=ROUND(IS!AK56,1),"OK","ERROR")</f>
        <v>#DIV/0!</v>
      </c>
      <c r="AL87" s="241" t="e">
        <f>IF(ROUND(IS!AL52/IS!AL60,1)=ROUND(IS!AL56,1),"OK","ERROR")</f>
        <v>#DIV/0!</v>
      </c>
      <c r="AM87" s="242"/>
      <c r="AN87" s="240" t="e">
        <f>IF(ROUND(IS!AN52/IS!AN60,1)=ROUND(IS!AN56,1),"OK","ERROR")</f>
        <v>#DIV/0!</v>
      </c>
      <c r="AO87" s="240" t="e">
        <f>IF(ROUND(IS!AO52/IS!AO60,1)=ROUND(IS!AO56,1),"OK","ERROR")</f>
        <v>#DIV/0!</v>
      </c>
      <c r="AP87" s="240" t="e">
        <f>IF(ROUND(IS!AP52/IS!AP60,1)=ROUND(IS!AP56,1),"OK","ERROR")</f>
        <v>#DIV/0!</v>
      </c>
      <c r="AQ87" s="240" t="e">
        <f>IF(ROUND(IS!AQ52/IS!AQ60,1)=ROUND(IS!AQ56,1),"OK","ERROR")</f>
        <v>#DIV/0!</v>
      </c>
      <c r="AR87" s="241" t="e">
        <f>IF(ROUND(IS!AR52/IS!AR60,1)=ROUND(IS!AR56,1),"OK","ERROR")</f>
        <v>#DIV/0!</v>
      </c>
      <c r="AS87" s="242"/>
      <c r="AT87" s="241" t="e">
        <f>IF(ROUND(IS!AT52/IS!AT60,1)=ROUND(IS!AT56,1),"OK","ERROR")</f>
        <v>#DIV/0!</v>
      </c>
      <c r="AU87" s="245"/>
      <c r="AV87" s="241" t="e">
        <f>IF(ROUND(IS!AV52/IS!AV60,1)=ROUND(IS!AV56,1),"OK","ERROR")</f>
        <v>#DIV/0!</v>
      </c>
      <c r="AW87" s="245"/>
      <c r="AX87" s="241" t="e">
        <f>IF(ROUND(IS!AX52/IS!AX60,1)=ROUND(IS!AX56,1),"OK","ERROR")</f>
        <v>#DIV/0!</v>
      </c>
    </row>
    <row r="89" spans="1:50" s="41" customFormat="1" ht="15" customHeight="1">
      <c r="B89" s="161" t="s">
        <v>740</v>
      </c>
      <c r="C89" s="18"/>
      <c r="D89" s="202">
        <f>F89</f>
        <v>2020</v>
      </c>
      <c r="E89" s="202">
        <f>F89</f>
        <v>2020</v>
      </c>
      <c r="F89" s="202">
        <v>2020</v>
      </c>
      <c r="G89" s="202">
        <f>F89</f>
        <v>2020</v>
      </c>
      <c r="H89" s="202">
        <f>F89</f>
        <v>2020</v>
      </c>
      <c r="I89" s="18"/>
      <c r="J89" s="202">
        <f>L89</f>
        <v>2021</v>
      </c>
      <c r="K89" s="202">
        <f>L89</f>
        <v>2021</v>
      </c>
      <c r="L89" s="202">
        <v>2021</v>
      </c>
      <c r="M89" s="202">
        <f>L89</f>
        <v>2021</v>
      </c>
      <c r="N89" s="202">
        <f>L89</f>
        <v>2021</v>
      </c>
      <c r="O89" s="169"/>
      <c r="P89" s="202">
        <f>R89</f>
        <v>2022</v>
      </c>
      <c r="Q89" s="202">
        <f>R89</f>
        <v>2022</v>
      </c>
      <c r="R89" s="202">
        <v>2022</v>
      </c>
      <c r="S89" s="202">
        <f>R89</f>
        <v>2022</v>
      </c>
      <c r="T89" s="202">
        <f>R89</f>
        <v>2022</v>
      </c>
      <c r="U89" s="169"/>
      <c r="V89" s="202">
        <f>X89</f>
        <v>2023</v>
      </c>
      <c r="W89" s="202">
        <f>X89</f>
        <v>2023</v>
      </c>
      <c r="X89" s="202">
        <v>2023</v>
      </c>
      <c r="Y89" s="202">
        <f>X89</f>
        <v>2023</v>
      </c>
      <c r="Z89" s="202">
        <f>X89</f>
        <v>2023</v>
      </c>
      <c r="AA89" s="170"/>
      <c r="AB89" s="202">
        <f>AD89</f>
        <v>2024</v>
      </c>
      <c r="AC89" s="202">
        <f>AD89</f>
        <v>2024</v>
      </c>
      <c r="AD89" s="202">
        <v>2024</v>
      </c>
      <c r="AE89" s="202">
        <f>AD89</f>
        <v>2024</v>
      </c>
      <c r="AF89" s="202">
        <f>AD89</f>
        <v>2024</v>
      </c>
      <c r="AG89" s="170"/>
      <c r="AH89" s="202">
        <f>AJ89</f>
        <v>2025</v>
      </c>
      <c r="AI89" s="202">
        <f>AJ89</f>
        <v>2025</v>
      </c>
      <c r="AJ89" s="203">
        <v>2025</v>
      </c>
      <c r="AK89" s="202">
        <f>AJ89</f>
        <v>2025</v>
      </c>
      <c r="AL89" s="202">
        <f>AJ89</f>
        <v>2025</v>
      </c>
      <c r="AM89" s="171"/>
      <c r="AN89" s="202">
        <f>AP89</f>
        <v>2025</v>
      </c>
      <c r="AO89" s="202">
        <f>AP89</f>
        <v>2025</v>
      </c>
      <c r="AP89" s="203">
        <v>2025</v>
      </c>
      <c r="AQ89" s="202">
        <f>AP89</f>
        <v>2025</v>
      </c>
      <c r="AR89" s="202">
        <f>AP89</f>
        <v>2025</v>
      </c>
      <c r="AS89" s="18"/>
      <c r="AT89" s="162"/>
      <c r="AU89" s="18"/>
      <c r="AV89" s="163"/>
      <c r="AW89" s="18"/>
      <c r="AX89" s="163"/>
    </row>
    <row r="90" spans="1:50" s="41" customFormat="1" ht="15" customHeight="1">
      <c r="B90" s="164"/>
      <c r="C90" s="18"/>
      <c r="D90" s="779">
        <v>2020</v>
      </c>
      <c r="E90" s="779"/>
      <c r="F90" s="779"/>
      <c r="G90" s="779"/>
      <c r="H90" s="779"/>
      <c r="I90" s="169"/>
      <c r="J90" s="779">
        <f>D90+1</f>
        <v>2021</v>
      </c>
      <c r="K90" s="779"/>
      <c r="L90" s="779"/>
      <c r="M90" s="779"/>
      <c r="N90" s="779"/>
      <c r="O90" s="169"/>
      <c r="P90" s="779">
        <f>J90+1</f>
        <v>2022</v>
      </c>
      <c r="Q90" s="779"/>
      <c r="R90" s="779"/>
      <c r="S90" s="779"/>
      <c r="T90" s="779"/>
      <c r="U90" s="169"/>
      <c r="V90" s="779">
        <f>P90+1</f>
        <v>2023</v>
      </c>
      <c r="W90" s="779"/>
      <c r="X90" s="779"/>
      <c r="Y90" s="779"/>
      <c r="Z90" s="779"/>
      <c r="AA90" s="169"/>
      <c r="AB90" s="779">
        <f>V90+1</f>
        <v>2024</v>
      </c>
      <c r="AC90" s="779"/>
      <c r="AD90" s="779"/>
      <c r="AE90" s="779"/>
      <c r="AF90" s="779"/>
      <c r="AG90" s="169"/>
      <c r="AH90" s="777">
        <f>AB90+1</f>
        <v>2025</v>
      </c>
      <c r="AI90" s="777"/>
      <c r="AJ90" s="777"/>
      <c r="AK90" s="777"/>
      <c r="AL90" s="777"/>
      <c r="AM90" s="169"/>
      <c r="AN90" s="777">
        <f>AH90+1</f>
        <v>2026</v>
      </c>
      <c r="AO90" s="777"/>
      <c r="AP90" s="777"/>
      <c r="AQ90" s="777"/>
      <c r="AR90" s="777"/>
      <c r="AS90" s="171"/>
      <c r="AT90" s="166">
        <f>AN90+1</f>
        <v>2027</v>
      </c>
      <c r="AU90" s="167"/>
      <c r="AV90" s="166">
        <f>+AT90+1</f>
        <v>2028</v>
      </c>
      <c r="AW90" s="167"/>
      <c r="AX90" s="166">
        <f>+AV90+1</f>
        <v>2029</v>
      </c>
    </row>
    <row r="91" spans="1:50" s="41" customFormat="1" ht="15" customHeight="1">
      <c r="B91" s="164"/>
      <c r="C91" s="18"/>
      <c r="D91" s="168" t="s">
        <v>243</v>
      </c>
      <c r="E91" s="168" t="s">
        <v>244</v>
      </c>
      <c r="F91" s="168" t="s">
        <v>245</v>
      </c>
      <c r="G91" s="168" t="s">
        <v>246</v>
      </c>
      <c r="H91" s="168" t="s">
        <v>247</v>
      </c>
      <c r="I91" s="18"/>
      <c r="J91" s="168" t="s">
        <v>243</v>
      </c>
      <c r="K91" s="168" t="s">
        <v>244</v>
      </c>
      <c r="L91" s="168" t="s">
        <v>245</v>
      </c>
      <c r="M91" s="168" t="s">
        <v>246</v>
      </c>
      <c r="N91" s="168" t="s">
        <v>247</v>
      </c>
      <c r="O91" s="165"/>
      <c r="P91" s="168" t="s">
        <v>243</v>
      </c>
      <c r="Q91" s="168" t="s">
        <v>244</v>
      </c>
      <c r="R91" s="168" t="s">
        <v>245</v>
      </c>
      <c r="S91" s="168" t="s">
        <v>246</v>
      </c>
      <c r="T91" s="168" t="s">
        <v>247</v>
      </c>
      <c r="U91" s="165"/>
      <c r="V91" s="168" t="s">
        <v>243</v>
      </c>
      <c r="W91" s="168" t="s">
        <v>244</v>
      </c>
      <c r="X91" s="168" t="s">
        <v>245</v>
      </c>
      <c r="Y91" s="168" t="s">
        <v>246</v>
      </c>
      <c r="Z91" s="168" t="s">
        <v>247</v>
      </c>
      <c r="AA91" s="165"/>
      <c r="AB91" s="168" t="s">
        <v>243</v>
      </c>
      <c r="AC91" s="168" t="s">
        <v>244</v>
      </c>
      <c r="AD91" s="168" t="s">
        <v>245</v>
      </c>
      <c r="AE91" s="168" t="s">
        <v>246</v>
      </c>
      <c r="AF91" s="168" t="s">
        <v>247</v>
      </c>
      <c r="AG91" s="165"/>
      <c r="AH91" s="168" t="s">
        <v>243</v>
      </c>
      <c r="AI91" s="168" t="s">
        <v>244</v>
      </c>
      <c r="AJ91" s="168" t="s">
        <v>245</v>
      </c>
      <c r="AK91" s="168" t="s">
        <v>246</v>
      </c>
      <c r="AL91" s="168" t="s">
        <v>247</v>
      </c>
      <c r="AM91" s="165"/>
      <c r="AN91" s="168" t="s">
        <v>243</v>
      </c>
      <c r="AO91" s="168" t="s">
        <v>244</v>
      </c>
      <c r="AP91" s="168" t="s">
        <v>245</v>
      </c>
      <c r="AQ91" s="168" t="s">
        <v>246</v>
      </c>
      <c r="AR91" s="168" t="s">
        <v>247</v>
      </c>
      <c r="AS91" s="165"/>
      <c r="AT91" s="168" t="s">
        <v>247</v>
      </c>
      <c r="AU91" s="165"/>
      <c r="AV91" s="168" t="s">
        <v>247</v>
      </c>
      <c r="AW91" s="165"/>
      <c r="AX91" s="168" t="s">
        <v>247</v>
      </c>
    </row>
    <row r="92" spans="1:50" s="41" customFormat="1" ht="4.3499999999999996" customHeight="1">
      <c r="A92" s="43"/>
      <c r="B92" s="176"/>
      <c r="C92" s="35"/>
      <c r="D92" s="177"/>
      <c r="E92" s="177"/>
      <c r="F92" s="177"/>
      <c r="G92" s="177"/>
      <c r="H92" s="177"/>
      <c r="I92" s="35"/>
      <c r="J92" s="177"/>
      <c r="K92" s="177"/>
      <c r="L92" s="177"/>
      <c r="M92" s="177"/>
      <c r="N92" s="177"/>
      <c r="O92" s="178"/>
      <c r="P92" s="177"/>
      <c r="Q92" s="177"/>
      <c r="R92" s="177"/>
      <c r="S92" s="177"/>
      <c r="T92" s="177"/>
      <c r="U92" s="178"/>
      <c r="V92" s="177"/>
      <c r="W92" s="177"/>
      <c r="X92" s="177"/>
      <c r="Y92" s="177"/>
      <c r="Z92" s="177"/>
      <c r="AA92" s="178"/>
      <c r="AB92" s="177"/>
      <c r="AC92" s="177"/>
      <c r="AD92" s="177"/>
      <c r="AE92" s="177"/>
      <c r="AF92" s="177"/>
      <c r="AG92" s="178"/>
      <c r="AH92" s="177"/>
      <c r="AI92" s="177"/>
      <c r="AJ92" s="177"/>
      <c r="AK92" s="177"/>
      <c r="AL92" s="179"/>
      <c r="AM92" s="180"/>
      <c r="AN92" s="179"/>
      <c r="AO92" s="179"/>
      <c r="AP92" s="179"/>
      <c r="AQ92" s="179"/>
      <c r="AR92" s="179"/>
      <c r="AS92" s="180"/>
      <c r="AT92" s="179"/>
      <c r="AU92" s="180"/>
      <c r="AV92" s="179"/>
      <c r="AW92" s="180"/>
      <c r="AX92" s="179"/>
    </row>
    <row r="93" spans="1:50" s="41" customFormat="1" ht="4.3499999999999996" customHeight="1">
      <c r="A93" s="43"/>
      <c r="B93" s="172"/>
      <c r="C93" s="19"/>
      <c r="D93" s="173"/>
      <c r="E93" s="173"/>
      <c r="F93" s="173"/>
      <c r="G93" s="173"/>
      <c r="H93" s="173"/>
      <c r="I93" s="19"/>
      <c r="J93" s="173"/>
      <c r="K93" s="173"/>
      <c r="L93" s="173"/>
      <c r="M93" s="173"/>
      <c r="N93" s="173"/>
      <c r="O93" s="174"/>
      <c r="P93" s="173"/>
      <c r="Q93" s="173"/>
      <c r="R93" s="173"/>
      <c r="S93" s="173"/>
      <c r="T93" s="173"/>
      <c r="U93" s="174"/>
      <c r="V93" s="173"/>
      <c r="W93" s="173"/>
      <c r="X93" s="173"/>
      <c r="Y93" s="173"/>
      <c r="Z93" s="173"/>
      <c r="AA93" s="174"/>
      <c r="AB93" s="173"/>
      <c r="AC93" s="173"/>
      <c r="AD93" s="173"/>
      <c r="AE93" s="173"/>
      <c r="AF93" s="173"/>
      <c r="AG93" s="204"/>
      <c r="AH93" s="173"/>
      <c r="AI93" s="173"/>
      <c r="AJ93" s="173"/>
      <c r="AK93" s="173"/>
      <c r="AL93" s="175"/>
      <c r="AM93" s="34"/>
      <c r="AN93" s="175"/>
      <c r="AO93" s="175"/>
      <c r="AP93" s="175"/>
      <c r="AQ93" s="175"/>
      <c r="AR93" s="175"/>
      <c r="AS93" s="34"/>
      <c r="AT93" s="175"/>
      <c r="AU93" s="34"/>
      <c r="AV93" s="175"/>
      <c r="AW93" s="34"/>
      <c r="AX93" s="175"/>
    </row>
    <row r="94" spans="1:50" s="41" customFormat="1" ht="15" customHeight="1">
      <c r="A94" s="44"/>
      <c r="B94" s="106" t="s">
        <v>672</v>
      </c>
      <c r="C94" s="17"/>
      <c r="D94" s="208"/>
      <c r="E94" s="208"/>
      <c r="F94" s="208"/>
      <c r="G94" s="208"/>
      <c r="H94" s="216"/>
      <c r="I94" s="248"/>
      <c r="J94" s="249"/>
      <c r="K94" s="249"/>
      <c r="L94" s="249"/>
      <c r="M94" s="249"/>
      <c r="N94" s="250"/>
      <c r="O94" s="250"/>
      <c r="P94" s="249"/>
      <c r="Q94" s="249"/>
      <c r="R94" s="249"/>
      <c r="S94" s="249"/>
      <c r="T94" s="250"/>
      <c r="U94" s="250"/>
      <c r="V94" s="249"/>
      <c r="W94" s="249"/>
      <c r="X94" s="249"/>
      <c r="Y94" s="249"/>
      <c r="Z94" s="250"/>
      <c r="AA94" s="250"/>
      <c r="AB94" s="251"/>
      <c r="AC94" s="251"/>
      <c r="AD94" s="251"/>
      <c r="AE94" s="251"/>
      <c r="AF94" s="250"/>
      <c r="AG94" s="252"/>
      <c r="AH94" s="253"/>
      <c r="AI94" s="253"/>
      <c r="AJ94" s="253"/>
      <c r="AK94" s="253"/>
      <c r="AL94" s="250"/>
      <c r="AM94" s="254"/>
      <c r="AN94" s="253"/>
      <c r="AO94" s="253"/>
      <c r="AP94" s="253"/>
      <c r="AQ94" s="253"/>
      <c r="AR94" s="250"/>
      <c r="AS94" s="254"/>
      <c r="AT94" s="250"/>
      <c r="AU94" s="254"/>
      <c r="AV94" s="250"/>
      <c r="AW94" s="255"/>
      <c r="AX94" s="255"/>
    </row>
    <row r="95" spans="1:50" s="113" customFormat="1" ht="15" customHeight="1">
      <c r="B95" s="114"/>
      <c r="C95" s="115"/>
      <c r="D95" s="208"/>
      <c r="E95" s="208"/>
      <c r="F95" s="208"/>
      <c r="G95" s="208"/>
      <c r="H95" s="216"/>
      <c r="I95" s="256"/>
      <c r="J95" s="249"/>
      <c r="K95" s="249"/>
      <c r="L95" s="249"/>
      <c r="M95" s="249"/>
      <c r="N95" s="250"/>
      <c r="O95" s="256"/>
      <c r="P95" s="249"/>
      <c r="Q95" s="249"/>
      <c r="R95" s="249"/>
      <c r="S95" s="249"/>
      <c r="T95" s="250"/>
      <c r="U95" s="256"/>
      <c r="V95" s="249"/>
      <c r="W95" s="249"/>
      <c r="X95" s="249"/>
      <c r="Y95" s="249"/>
      <c r="Z95" s="250"/>
      <c r="AA95" s="257"/>
      <c r="AB95" s="251"/>
      <c r="AC95" s="251"/>
      <c r="AD95" s="251"/>
      <c r="AE95" s="251"/>
      <c r="AF95" s="250"/>
      <c r="AG95" s="258"/>
      <c r="AH95" s="259"/>
      <c r="AI95" s="259"/>
      <c r="AJ95" s="259"/>
      <c r="AK95" s="259"/>
      <c r="AL95" s="250"/>
      <c r="AM95" s="260"/>
      <c r="AN95" s="259"/>
      <c r="AO95" s="259"/>
      <c r="AP95" s="259"/>
      <c r="AQ95" s="259"/>
      <c r="AR95" s="250"/>
      <c r="AS95" s="260"/>
      <c r="AT95" s="250"/>
      <c r="AU95" s="260"/>
      <c r="AV95" s="250"/>
      <c r="AW95" s="261"/>
      <c r="AX95" s="261"/>
    </row>
    <row r="96" spans="1:50" s="41" customFormat="1" ht="15" customHeight="1">
      <c r="A96" s="44" t="s">
        <v>37</v>
      </c>
      <c r="B96" s="114" t="s">
        <v>673</v>
      </c>
      <c r="C96" s="17"/>
      <c r="D96" s="208"/>
      <c r="E96" s="208"/>
      <c r="F96" s="208"/>
      <c r="G96" s="208"/>
      <c r="H96" s="220"/>
      <c r="I96" s="248"/>
      <c r="J96" s="262"/>
      <c r="K96" s="262"/>
      <c r="L96" s="262"/>
      <c r="M96" s="262"/>
      <c r="N96" s="250"/>
      <c r="O96" s="248"/>
      <c r="P96" s="262"/>
      <c r="Q96" s="262"/>
      <c r="R96" s="262"/>
      <c r="S96" s="262"/>
      <c r="T96" s="250"/>
      <c r="U96" s="248"/>
      <c r="V96" s="262"/>
      <c r="W96" s="262"/>
      <c r="X96" s="262"/>
      <c r="Y96" s="262"/>
      <c r="Z96" s="250"/>
      <c r="AA96" s="263"/>
      <c r="AB96" s="264"/>
      <c r="AC96" s="264"/>
      <c r="AD96" s="264"/>
      <c r="AE96" s="264"/>
      <c r="AF96" s="250"/>
      <c r="AG96" s="265"/>
      <c r="AH96" s="266"/>
      <c r="AI96" s="266"/>
      <c r="AJ96" s="266"/>
      <c r="AK96" s="266"/>
      <c r="AL96" s="250"/>
      <c r="AM96" s="267"/>
      <c r="AN96" s="266"/>
      <c r="AO96" s="266"/>
      <c r="AP96" s="266"/>
      <c r="AQ96" s="266"/>
      <c r="AR96" s="250"/>
      <c r="AS96" s="267"/>
      <c r="AT96" s="250"/>
      <c r="AU96" s="267"/>
      <c r="AV96" s="250"/>
      <c r="AW96" s="255"/>
      <c r="AX96" s="255"/>
    </row>
    <row r="97" spans="1:50" s="41" customFormat="1" ht="15" customHeight="1">
      <c r="A97" s="44"/>
      <c r="B97" s="127" t="s">
        <v>674</v>
      </c>
      <c r="C97" s="17"/>
      <c r="D97" s="208" t="str">
        <f>IF(ROUND(BS!D15,0)=ROUND(SUM(BS!D16:D17),0),"OK","ERROR")</f>
        <v>OK</v>
      </c>
      <c r="E97" s="208" t="str">
        <f>IF(ROUND(BS!E15,0)=ROUND(SUM(BS!E16:E17),0),"OK","ERROR")</f>
        <v>OK</v>
      </c>
      <c r="F97" s="208" t="str">
        <f>IF(ROUND(BS!F15,0)=ROUND(SUM(BS!F16:F17),0),"OK","ERROR")</f>
        <v>OK</v>
      </c>
      <c r="G97" s="208" t="str">
        <f>IF(ROUND(BS!G15,0)=ROUND(SUM(BS!G16:G17),0),"OK","ERROR")</f>
        <v>OK</v>
      </c>
      <c r="H97" s="220" t="str">
        <f>IF(ROUND(BS!H15,0)=ROUND(SUM(BS!H16:H17),0),"OK","ERROR")</f>
        <v>OK</v>
      </c>
      <c r="I97" s="248"/>
      <c r="J97" s="208" t="str">
        <f>IF(ROUND(BS!J15,0)=ROUND(SUM(BS!J16:J17),0),"OK","ERROR")</f>
        <v>OK</v>
      </c>
      <c r="K97" s="208" t="str">
        <f>IF(ROUND(BS!K15,0)=ROUND(SUM(BS!K16:K17),0),"OK","ERROR")</f>
        <v>OK</v>
      </c>
      <c r="L97" s="208" t="str">
        <f>IF(ROUND(BS!L15,0)=ROUND(SUM(BS!L16:L17),0),"OK","ERROR")</f>
        <v>OK</v>
      </c>
      <c r="M97" s="208" t="str">
        <f>IF(ROUND(BS!M15,0)=ROUND(SUM(BS!M16:M17),0),"OK","ERROR")</f>
        <v>OK</v>
      </c>
      <c r="N97" s="220" t="str">
        <f>IF(ROUND(BS!N15,0)=ROUND(SUM(BS!N16:N17),0),"OK","ERROR")</f>
        <v>OK</v>
      </c>
      <c r="O97" s="248"/>
      <c r="P97" s="208" t="str">
        <f>IF(ROUND(BS!P15,0)=ROUND(SUM(BS!P16:P17),0),"OK","ERROR")</f>
        <v>OK</v>
      </c>
      <c r="Q97" s="208" t="str">
        <f>IF(ROUND(BS!Q15,0)=ROUND(SUM(BS!Q16:Q17),0),"OK","ERROR")</f>
        <v>OK</v>
      </c>
      <c r="R97" s="208" t="str">
        <f>IF(ROUND(BS!R15,0)=ROUND(SUM(BS!R16:R17),0),"OK","ERROR")</f>
        <v>OK</v>
      </c>
      <c r="S97" s="208" t="str">
        <f>IF(ROUND(BS!S15,0)=ROUND(SUM(BS!S16:S17),0),"OK","ERROR")</f>
        <v>OK</v>
      </c>
      <c r="T97" s="220" t="str">
        <f>IF(ROUND(BS!T15,0)=ROUND(SUM(BS!T16:T17),0),"OK","ERROR")</f>
        <v>OK</v>
      </c>
      <c r="U97" s="248"/>
      <c r="V97" s="208" t="str">
        <f>IF(ROUND(BS!V15,0)=ROUND(SUM(BS!V16:V17),0),"OK","ERROR")</f>
        <v>OK</v>
      </c>
      <c r="W97" s="208" t="str">
        <f>IF(ROUND(BS!W15,0)=ROUND(SUM(BS!W16:W17),0),"OK","ERROR")</f>
        <v>OK</v>
      </c>
      <c r="X97" s="208" t="str">
        <f>IF(ROUND(BS!X15,0)=ROUND(SUM(BS!X16:X17),0),"OK","ERROR")</f>
        <v>OK</v>
      </c>
      <c r="Y97" s="208" t="str">
        <f>IF(ROUND(BS!Y15,0)=ROUND(SUM(BS!Y16:Y17),0),"OK","ERROR")</f>
        <v>OK</v>
      </c>
      <c r="Z97" s="220" t="str">
        <f>IF(ROUND(BS!Z15,0)=ROUND(SUM(BS!Z16:Z17),0),"OK","ERROR")</f>
        <v>OK</v>
      </c>
      <c r="AA97" s="263"/>
      <c r="AB97" s="208" t="str">
        <f>IF(ROUND(BS!AB15,0)=ROUND(SUM(BS!AB16:AB17),0),"OK","ERROR")</f>
        <v>OK</v>
      </c>
      <c r="AC97" s="208" t="str">
        <f>IF(ROUND(BS!AC15,0)=ROUND(SUM(BS!AC16:AC17),0),"OK","ERROR")</f>
        <v>OK</v>
      </c>
      <c r="AD97" s="208" t="str">
        <f>IF(ROUND(BS!AD15,0)=ROUND(SUM(BS!AD16:AD17),0),"OK","ERROR")</f>
        <v>OK</v>
      </c>
      <c r="AE97" s="208" t="str">
        <f>IF(ROUND(BS!AE15,0)=ROUND(SUM(BS!AE16:AE17),0),"OK","ERROR")</f>
        <v>OK</v>
      </c>
      <c r="AF97" s="220" t="str">
        <f>IF(ROUND(BS!AF15,0)=ROUND(SUM(BS!AF16:AF17),0),"OK","ERROR")</f>
        <v>OK</v>
      </c>
      <c r="AG97" s="265"/>
      <c r="AH97" s="208" t="str">
        <f>IF(ROUND(BS!AH15,0)=ROUND(SUM(BS!AH16:AH17),0),"OK","ERROR")</f>
        <v>OK</v>
      </c>
      <c r="AI97" s="208" t="str">
        <f>IF(ROUND(BS!AI15,0)=ROUND(SUM(BS!AI16:AI17),0),"OK","ERROR")</f>
        <v>OK</v>
      </c>
      <c r="AJ97" s="208" t="str">
        <f>IF(ROUND(BS!AJ15,0)=ROUND(SUM(BS!AJ16:AJ17),0),"OK","ERROR")</f>
        <v>OK</v>
      </c>
      <c r="AK97" s="208" t="str">
        <f>IF(ROUND(BS!AK15,0)=ROUND(SUM(BS!AK16:AK17),0),"OK","ERROR")</f>
        <v>OK</v>
      </c>
      <c r="AL97" s="220" t="str">
        <f>IF(ROUND(BS!AL15,0)=ROUND(SUM(BS!AL16:AL17),0),"OK","ERROR")</f>
        <v>OK</v>
      </c>
      <c r="AM97" s="267"/>
      <c r="AN97" s="208" t="str">
        <f>IF(ROUND(BS!AN15,0)=ROUND(SUM(BS!AN16:AN17),0),"OK","ERROR")</f>
        <v>OK</v>
      </c>
      <c r="AO97" s="208" t="str">
        <f>IF(ROUND(BS!AO15,0)=ROUND(SUM(BS!AO16:AO17),0),"OK","ERROR")</f>
        <v>OK</v>
      </c>
      <c r="AP97" s="208" t="str">
        <f>IF(ROUND(BS!AP15,0)=ROUND(SUM(BS!AP16:AP17),0),"OK","ERROR")</f>
        <v>OK</v>
      </c>
      <c r="AQ97" s="208" t="str">
        <f>IF(ROUND(BS!AQ15,0)=ROUND(SUM(BS!AQ16:AQ17),0),"OK","ERROR")</f>
        <v>OK</v>
      </c>
      <c r="AR97" s="220" t="str">
        <f>IF(ROUND(BS!AR15,0)=ROUND(SUM(BS!AR16:AR17),0),"OK","ERROR")</f>
        <v>OK</v>
      </c>
      <c r="AS97" s="267"/>
      <c r="AT97" s="220" t="str">
        <f>IF(ROUND(BS!AT15,0)=ROUND(SUM(BS!AT16:AT17),0),"OK","ERROR")</f>
        <v>OK</v>
      </c>
      <c r="AU97" s="267"/>
      <c r="AV97" s="220" t="str">
        <f>IF(ROUND(BS!AV15,0)=ROUND(SUM(BS!AV16:AV17),0),"OK","ERROR")</f>
        <v>OK</v>
      </c>
      <c r="AW97" s="255"/>
      <c r="AX97" s="220" t="str">
        <f>IF(ROUND(BS!AX15,0)=ROUND(SUM(BS!AX16:AX17),0),"OK","ERROR")</f>
        <v>OK</v>
      </c>
    </row>
    <row r="98" spans="1:50" s="135" customFormat="1" ht="15" customHeight="1">
      <c r="A98" s="84"/>
      <c r="B98" s="59" t="s">
        <v>679</v>
      </c>
      <c r="C98" s="26"/>
      <c r="D98" s="217" t="str">
        <f>IF(ROUND(BS!D21,0)=ROUND(SUM(BS!D16:D20),0),"OK","ERROR")</f>
        <v>OK</v>
      </c>
      <c r="E98" s="217" t="str">
        <f>IF(ROUND(BS!E21,0)=ROUND(SUM(BS!E16:E20),0),"OK","ERROR")</f>
        <v>OK</v>
      </c>
      <c r="F98" s="217" t="str">
        <f>IF(ROUND(BS!F21,0)=ROUND(SUM(BS!F16:F20),0),"OK","ERROR")</f>
        <v>OK</v>
      </c>
      <c r="G98" s="217" t="str">
        <f>IF(ROUND(BS!G21,0)=ROUND(SUM(BS!G16:G20),0),"OK","ERROR")</f>
        <v>OK</v>
      </c>
      <c r="H98" s="227" t="str">
        <f>IF(ROUND(BS!H21,0)=ROUND(SUM(BS!H16:H20),0),"OK","ERROR")</f>
        <v>OK</v>
      </c>
      <c r="I98" s="268"/>
      <c r="J98" s="217" t="str">
        <f>IF(ROUND(BS!J21,0)=ROUND(SUM(BS!J16:J20),0),"OK","ERROR")</f>
        <v>OK</v>
      </c>
      <c r="K98" s="217" t="str">
        <f>IF(ROUND(BS!K21,0)=ROUND(SUM(BS!K16:K20),0),"OK","ERROR")</f>
        <v>OK</v>
      </c>
      <c r="L98" s="217" t="str">
        <f>IF(ROUND(BS!L21,0)=ROUND(SUM(BS!L16:L20),0),"OK","ERROR")</f>
        <v>OK</v>
      </c>
      <c r="M98" s="217" t="str">
        <f>IF(ROUND(BS!M21,0)=ROUND(SUM(BS!M16:M20),0),"OK","ERROR")</f>
        <v>OK</v>
      </c>
      <c r="N98" s="227" t="str">
        <f>IF(ROUND(BS!N21,0)=ROUND(SUM(BS!N16:N20),0),"OK","ERROR")</f>
        <v>OK</v>
      </c>
      <c r="O98" s="268"/>
      <c r="P98" s="217" t="str">
        <f>IF(ROUND(BS!P21,0)=ROUND(SUM(BS!P16:P20),0),"OK","ERROR")</f>
        <v>OK</v>
      </c>
      <c r="Q98" s="217" t="str">
        <f>IF(ROUND(BS!Q21,0)=ROUND(SUM(BS!Q16:Q20),0),"OK","ERROR")</f>
        <v>OK</v>
      </c>
      <c r="R98" s="217" t="str">
        <f>IF(ROUND(BS!R21,0)=ROUND(SUM(BS!R16:R20),0),"OK","ERROR")</f>
        <v>OK</v>
      </c>
      <c r="S98" s="217" t="str">
        <f>IF(ROUND(BS!S21,0)=ROUND(SUM(BS!S16:S20),0),"OK","ERROR")</f>
        <v>OK</v>
      </c>
      <c r="T98" s="227" t="str">
        <f>IF(ROUND(BS!T21,0)=ROUND(SUM(BS!T16:T20),0),"OK","ERROR")</f>
        <v>OK</v>
      </c>
      <c r="U98" s="268"/>
      <c r="V98" s="217" t="str">
        <f>IF(ROUND(BS!V21,0)=ROUND(SUM(BS!V16:V20),0),"OK","ERROR")</f>
        <v>OK</v>
      </c>
      <c r="W98" s="217" t="str">
        <f>IF(ROUND(BS!W21,0)=ROUND(SUM(BS!W16:W20),0),"OK","ERROR")</f>
        <v>OK</v>
      </c>
      <c r="X98" s="217" t="str">
        <f>IF(ROUND(BS!X21,0)=ROUND(SUM(BS!X16:X20),0),"OK","ERROR")</f>
        <v>OK</v>
      </c>
      <c r="Y98" s="217" t="str">
        <f>IF(ROUND(BS!Y21,0)=ROUND(SUM(BS!Y16:Y20),0),"OK","ERROR")</f>
        <v>OK</v>
      </c>
      <c r="Z98" s="227" t="str">
        <f>IF(ROUND(BS!Z21,0)=ROUND(SUM(BS!Z16:Z20),0),"OK","ERROR")</f>
        <v>OK</v>
      </c>
      <c r="AA98" s="269"/>
      <c r="AB98" s="217" t="str">
        <f>IF(ROUND(BS!AB21,0)=ROUND(SUM(BS!AB16:AB20),0),"OK","ERROR")</f>
        <v>OK</v>
      </c>
      <c r="AC98" s="217" t="str">
        <f>IF(ROUND(BS!AC21,0)=ROUND(SUM(BS!AC16:AC20),0),"OK","ERROR")</f>
        <v>OK</v>
      </c>
      <c r="AD98" s="217" t="str">
        <f>IF(ROUND(BS!AD21,0)=ROUND(SUM(BS!AD16:AD20),0),"OK","ERROR")</f>
        <v>OK</v>
      </c>
      <c r="AE98" s="217" t="str">
        <f>IF(ROUND(BS!AE21,0)=ROUND(SUM(BS!AE16:AE20),0),"OK","ERROR")</f>
        <v>OK</v>
      </c>
      <c r="AF98" s="227" t="str">
        <f>IF(ROUND(BS!AF21,0)=ROUND(SUM(BS!AF16:AF20),0),"OK","ERROR")</f>
        <v>OK</v>
      </c>
      <c r="AG98" s="270"/>
      <c r="AH98" s="217" t="str">
        <f>IF(ROUND(BS!AH21,0)=ROUND(SUM(BS!AH16:AH20),0),"OK","ERROR")</f>
        <v>OK</v>
      </c>
      <c r="AI98" s="217" t="str">
        <f>IF(ROUND(BS!AI21,0)=ROUND(SUM(BS!AI16:AI20),0),"OK","ERROR")</f>
        <v>OK</v>
      </c>
      <c r="AJ98" s="217" t="str">
        <f>IF(ROUND(BS!AJ21,0)=ROUND(SUM(BS!AJ16:AJ20),0),"OK","ERROR")</f>
        <v>OK</v>
      </c>
      <c r="AK98" s="217" t="str">
        <f>IF(ROUND(BS!AK21,0)=ROUND(SUM(BS!AK16:AK20),0),"OK","ERROR")</f>
        <v>OK</v>
      </c>
      <c r="AL98" s="227" t="str">
        <f>IF(ROUND(BS!AL21,0)=ROUND(SUM(BS!AL16:AL20),0),"OK","ERROR")</f>
        <v>OK</v>
      </c>
      <c r="AM98" s="271"/>
      <c r="AN98" s="217" t="str">
        <f>IF(ROUND(BS!AN21,0)=ROUND(SUM(BS!AN16:AN20),0),"OK","ERROR")</f>
        <v>OK</v>
      </c>
      <c r="AO98" s="217" t="str">
        <f>IF(ROUND(BS!AO21,0)=ROUND(SUM(BS!AO16:AO20),0),"OK","ERROR")</f>
        <v>OK</v>
      </c>
      <c r="AP98" s="217" t="str">
        <f>IF(ROUND(BS!AP21,0)=ROUND(SUM(BS!AP16:AP20),0),"OK","ERROR")</f>
        <v>OK</v>
      </c>
      <c r="AQ98" s="217" t="str">
        <f>IF(ROUND(BS!AQ21,0)=ROUND(SUM(BS!AQ16:AQ20),0),"OK","ERROR")</f>
        <v>OK</v>
      </c>
      <c r="AR98" s="227" t="str">
        <f>IF(ROUND(BS!AR21,0)=ROUND(SUM(BS!AR16:AR20),0),"OK","ERROR")</f>
        <v>OK</v>
      </c>
      <c r="AS98" s="271"/>
      <c r="AT98" s="227" t="str">
        <f>IF(ROUND(BS!AT21,0)=ROUND(SUM(BS!AT16:AT20),0),"OK","ERROR")</f>
        <v>OK</v>
      </c>
      <c r="AU98" s="271"/>
      <c r="AV98" s="227" t="str">
        <f>IF(ROUND(BS!AV21,0)=ROUND(SUM(BS!AV16:AV20),0),"OK","ERROR")</f>
        <v>OK</v>
      </c>
      <c r="AW98" s="272"/>
      <c r="AX98" s="227" t="str">
        <f>IF(ROUND(BS!AX21,0)=ROUND(SUM(BS!AX16:AX20),0),"OK","ERROR")</f>
        <v>OK</v>
      </c>
    </row>
    <row r="99" spans="1:50" s="41" customFormat="1" ht="15" customHeight="1">
      <c r="A99" s="43"/>
      <c r="B99" s="136"/>
      <c r="C99" s="17"/>
      <c r="D99" s="208"/>
      <c r="E99" s="208"/>
      <c r="F99" s="208"/>
      <c r="G99" s="208"/>
      <c r="H99" s="220"/>
      <c r="I99" s="248"/>
      <c r="J99" s="208"/>
      <c r="K99" s="208"/>
      <c r="L99" s="208"/>
      <c r="M99" s="208"/>
      <c r="N99" s="220"/>
      <c r="O99" s="248"/>
      <c r="P99" s="208"/>
      <c r="Q99" s="208"/>
      <c r="R99" s="208"/>
      <c r="S99" s="208"/>
      <c r="T99" s="220"/>
      <c r="U99" s="248"/>
      <c r="V99" s="208"/>
      <c r="W99" s="208"/>
      <c r="X99" s="208"/>
      <c r="Y99" s="208"/>
      <c r="Z99" s="220"/>
      <c r="AA99" s="263"/>
      <c r="AB99" s="208"/>
      <c r="AC99" s="208"/>
      <c r="AD99" s="208"/>
      <c r="AE99" s="208"/>
      <c r="AF99" s="220"/>
      <c r="AG99" s="265"/>
      <c r="AH99" s="208"/>
      <c r="AI99" s="208"/>
      <c r="AJ99" s="208"/>
      <c r="AK99" s="208"/>
      <c r="AL99" s="220"/>
      <c r="AM99" s="267"/>
      <c r="AN99" s="208"/>
      <c r="AO99" s="208"/>
      <c r="AP99" s="208"/>
      <c r="AQ99" s="208"/>
      <c r="AR99" s="220"/>
      <c r="AS99" s="267"/>
      <c r="AT99" s="220"/>
      <c r="AU99" s="267"/>
      <c r="AV99" s="220"/>
      <c r="AW99" s="255"/>
      <c r="AX99" s="220"/>
    </row>
    <row r="100" spans="1:50" s="113" customFormat="1" ht="15" customHeight="1">
      <c r="A100" s="44" t="s">
        <v>37</v>
      </c>
      <c r="B100" s="45" t="s">
        <v>680</v>
      </c>
      <c r="C100" s="115"/>
      <c r="D100" s="208"/>
      <c r="E100" s="208"/>
      <c r="F100" s="208"/>
      <c r="G100" s="208"/>
      <c r="H100" s="220"/>
      <c r="I100" s="256"/>
      <c r="J100" s="208"/>
      <c r="K100" s="208"/>
      <c r="L100" s="208"/>
      <c r="M100" s="208"/>
      <c r="N100" s="220"/>
      <c r="O100" s="256"/>
      <c r="P100" s="208"/>
      <c r="Q100" s="208"/>
      <c r="R100" s="208"/>
      <c r="S100" s="208"/>
      <c r="T100" s="220"/>
      <c r="U100" s="256"/>
      <c r="V100" s="208"/>
      <c r="W100" s="208"/>
      <c r="X100" s="208"/>
      <c r="Y100" s="208"/>
      <c r="Z100" s="220"/>
      <c r="AA100" s="273"/>
      <c r="AB100" s="208"/>
      <c r="AC100" s="208"/>
      <c r="AD100" s="208"/>
      <c r="AE100" s="208"/>
      <c r="AF100" s="220"/>
      <c r="AG100" s="274"/>
      <c r="AH100" s="208"/>
      <c r="AI100" s="208"/>
      <c r="AJ100" s="208"/>
      <c r="AK100" s="208"/>
      <c r="AL100" s="220"/>
      <c r="AM100" s="273"/>
      <c r="AN100" s="208"/>
      <c r="AO100" s="208"/>
      <c r="AP100" s="208"/>
      <c r="AQ100" s="208"/>
      <c r="AR100" s="220"/>
      <c r="AS100" s="273"/>
      <c r="AT100" s="220"/>
      <c r="AU100" s="273"/>
      <c r="AV100" s="220"/>
      <c r="AW100" s="261"/>
      <c r="AX100" s="220"/>
    </row>
    <row r="101" spans="1:50" s="113" customFormat="1" ht="15" customHeight="1">
      <c r="A101" s="44"/>
      <c r="B101" s="127" t="s">
        <v>524</v>
      </c>
      <c r="C101" s="115"/>
      <c r="D101" s="208" t="str">
        <f>IF(ROUND(BS!D24,0)=ROUND(BS!D25-BS!D26,0),"OK","ERROR")</f>
        <v>OK</v>
      </c>
      <c r="E101" s="208" t="str">
        <f>IF(ROUND(BS!E24,0)=ROUND(BS!E25-BS!E26,0),"OK","ERROR")</f>
        <v>OK</v>
      </c>
      <c r="F101" s="208" t="str">
        <f>IF(ROUND(BS!F24,0)=ROUND(BS!F25-BS!F26,0),"OK","ERROR")</f>
        <v>OK</v>
      </c>
      <c r="G101" s="208" t="str">
        <f>IF(ROUND(BS!G24,0)=ROUND(BS!G25-BS!G26,0),"OK","ERROR")</f>
        <v>OK</v>
      </c>
      <c r="H101" s="220" t="str">
        <f>IF(ROUND(BS!H24,0)=ROUND(BS!H25-BS!H26,0),"OK","ERROR")</f>
        <v>OK</v>
      </c>
      <c r="I101" s="256"/>
      <c r="J101" s="208" t="str">
        <f>IF(ROUND(BS!J24,0)=ROUND(BS!J25-BS!J26,0),"OK","ERROR")</f>
        <v>OK</v>
      </c>
      <c r="K101" s="208" t="str">
        <f>IF(ROUND(BS!K24,0)=ROUND(BS!K25-BS!K26,0),"OK","ERROR")</f>
        <v>OK</v>
      </c>
      <c r="L101" s="208" t="str">
        <f>IF(ROUND(BS!L24,0)=ROUND(BS!L25-BS!L26,0),"OK","ERROR")</f>
        <v>OK</v>
      </c>
      <c r="M101" s="208" t="str">
        <f>IF(ROUND(BS!M24,0)=ROUND(BS!M25-BS!M26,0),"OK","ERROR")</f>
        <v>OK</v>
      </c>
      <c r="N101" s="220" t="str">
        <f>IF(ROUND(BS!N24,0)=ROUND(BS!N25-BS!N26,0),"OK","ERROR")</f>
        <v>OK</v>
      </c>
      <c r="O101" s="256"/>
      <c r="P101" s="208" t="str">
        <f>IF(ROUND(BS!P24,0)=ROUND(BS!P25-BS!P26,0),"OK","ERROR")</f>
        <v>OK</v>
      </c>
      <c r="Q101" s="208" t="str">
        <f>IF(ROUND(BS!Q24,0)=ROUND(BS!Q25-BS!Q26,0),"OK","ERROR")</f>
        <v>OK</v>
      </c>
      <c r="R101" s="208" t="str">
        <f>IF(ROUND(BS!R24,0)=ROUND(BS!R25-BS!R26,0),"OK","ERROR")</f>
        <v>OK</v>
      </c>
      <c r="S101" s="208" t="str">
        <f>IF(ROUND(BS!S24,0)=ROUND(BS!S25-BS!S26,0),"OK","ERROR")</f>
        <v>OK</v>
      </c>
      <c r="T101" s="220" t="str">
        <f>IF(ROUND(BS!T24,0)=ROUND(BS!T25-BS!T26,0),"OK","ERROR")</f>
        <v>OK</v>
      </c>
      <c r="U101" s="256"/>
      <c r="V101" s="208" t="str">
        <f>IF(ROUND(BS!V24,0)=ROUND(BS!V25-BS!V26,0),"OK","ERROR")</f>
        <v>OK</v>
      </c>
      <c r="W101" s="208" t="str">
        <f>IF(ROUND(BS!W24,0)=ROUND(BS!W25-BS!W26,0),"OK","ERROR")</f>
        <v>OK</v>
      </c>
      <c r="X101" s="208" t="str">
        <f>IF(ROUND(BS!X24,0)=ROUND(BS!X25-BS!X26,0),"OK","ERROR")</f>
        <v>OK</v>
      </c>
      <c r="Y101" s="208" t="str">
        <f>IF(ROUND(BS!Y24,0)=ROUND(BS!Y25-BS!Y26,0),"OK","ERROR")</f>
        <v>OK</v>
      </c>
      <c r="Z101" s="220" t="str">
        <f>IF(ROUND(BS!Z24,0)=ROUND(BS!Z25-BS!Z26,0),"OK","ERROR")</f>
        <v>OK</v>
      </c>
      <c r="AA101" s="273"/>
      <c r="AB101" s="208" t="str">
        <f>IF(ROUND(BS!AB24,0)=ROUND(BS!AB25-BS!AB26,0),"OK","ERROR")</f>
        <v>OK</v>
      </c>
      <c r="AC101" s="208" t="str">
        <f>IF(ROUND(BS!AC24,0)=ROUND(BS!AC25-BS!AC26,0),"OK","ERROR")</f>
        <v>OK</v>
      </c>
      <c r="AD101" s="208" t="str">
        <f>IF(ROUND(BS!AD24,0)=ROUND(BS!AD25-BS!AD26,0),"OK","ERROR")</f>
        <v>OK</v>
      </c>
      <c r="AE101" s="208" t="str">
        <f>IF(ROUND(BS!AE24,0)=ROUND(BS!AE25-BS!AE26,0),"OK","ERROR")</f>
        <v>OK</v>
      </c>
      <c r="AF101" s="220" t="str">
        <f>IF(ROUND(BS!AF24,0)=ROUND(BS!AF25-BS!AF26,0),"OK","ERROR")</f>
        <v>OK</v>
      </c>
      <c r="AG101" s="274"/>
      <c r="AH101" s="208" t="str">
        <f>IF(ROUND(BS!AH24,0)=ROUND(BS!AH25-BS!AH26,0),"OK","ERROR")</f>
        <v>OK</v>
      </c>
      <c r="AI101" s="208" t="str">
        <f>IF(ROUND(BS!AI24,0)=ROUND(BS!AI25-BS!AI26,0),"OK","ERROR")</f>
        <v>OK</v>
      </c>
      <c r="AJ101" s="208" t="str">
        <f>IF(ROUND(BS!AJ24,0)=ROUND(BS!AJ25-BS!AJ26,0),"OK","ERROR")</f>
        <v>OK</v>
      </c>
      <c r="AK101" s="208" t="str">
        <f>IF(ROUND(BS!AK24,0)=ROUND(BS!AK25-BS!AK26,0),"OK","ERROR")</f>
        <v>OK</v>
      </c>
      <c r="AL101" s="220" t="str">
        <f>IF(ROUND(BS!AL24,0)=ROUND(BS!AL25-BS!AL26,0),"OK","ERROR")</f>
        <v>OK</v>
      </c>
      <c r="AM101" s="273"/>
      <c r="AN101" s="208" t="str">
        <f>IF(ROUND(BS!AN24,0)=ROUND(BS!AN25-BS!AN26,0),"OK","ERROR")</f>
        <v>OK</v>
      </c>
      <c r="AO101" s="208" t="str">
        <f>IF(ROUND(BS!AO24,0)=ROUND(BS!AO25-BS!AO26,0),"OK","ERROR")</f>
        <v>OK</v>
      </c>
      <c r="AP101" s="208" t="str">
        <f>IF(ROUND(BS!AP24,0)=ROUND(BS!AP25-BS!AP26,0),"OK","ERROR")</f>
        <v>OK</v>
      </c>
      <c r="AQ101" s="208" t="str">
        <f>IF(ROUND(BS!AQ24,0)=ROUND(BS!AQ25-BS!AQ26,0),"OK","ERROR")</f>
        <v>OK</v>
      </c>
      <c r="AR101" s="220" t="str">
        <f>IF(ROUND(BS!AR24,0)=ROUND(BS!AR25-BS!AR26,0),"OK","ERROR")</f>
        <v>OK</v>
      </c>
      <c r="AS101" s="273"/>
      <c r="AT101" s="220" t="str">
        <f>IF(ROUND(BS!AT24,0)=ROUND(BS!AT25-BS!AT26,0),"OK","ERROR")</f>
        <v>OK</v>
      </c>
      <c r="AU101" s="273"/>
      <c r="AV101" s="220" t="str">
        <f>IF(ROUND(BS!AV24,0)=ROUND(BS!AV25-BS!AV26,0),"OK","ERROR")</f>
        <v>OK</v>
      </c>
      <c r="AW101" s="261"/>
      <c r="AX101" s="220" t="str">
        <f>IF(ROUND(BS!AX24,0)=ROUND(BS!AX25-BS!AX26,0),"OK","ERROR")</f>
        <v>OK</v>
      </c>
    </row>
    <row r="102" spans="1:50" s="113" customFormat="1" ht="15" customHeight="1">
      <c r="A102" s="44"/>
      <c r="B102" s="127" t="s">
        <v>526</v>
      </c>
      <c r="C102" s="115"/>
      <c r="D102" s="208" t="str">
        <f>IF(ROUND(BS!D27,0)=ROUND(SUM(BS!D27:D29),0),"OK","ERROR")</f>
        <v>ERROR</v>
      </c>
      <c r="E102" s="208" t="str">
        <f>IF(ROUND(BS!E27,0)=ROUND(SUM(BS!E27:E29),0),"OK","ERROR")</f>
        <v>ERROR</v>
      </c>
      <c r="F102" s="208" t="str">
        <f>IF(ROUND(BS!F27,0)=ROUND(SUM(BS!F27:F29),0),"OK","ERROR")</f>
        <v>ERROR</v>
      </c>
      <c r="G102" s="208" t="str">
        <f>IF(ROUND(BS!G27,0)=ROUND(SUM(BS!G27:G29),0),"OK","ERROR")</f>
        <v>ERROR</v>
      </c>
      <c r="H102" s="220" t="str">
        <f>IF(ROUND(BS!H27,0)=ROUND(SUM(BS!H27:H29),0),"OK","ERROR")</f>
        <v>ERROR</v>
      </c>
      <c r="I102" s="256"/>
      <c r="J102" s="208" t="str">
        <f>IF(ROUND(BS!J27,0)=ROUND(SUM(BS!J27:J29),0),"OK","ERROR")</f>
        <v>ERROR</v>
      </c>
      <c r="K102" s="208" t="str">
        <f>IF(ROUND(BS!K27,0)=ROUND(SUM(BS!K27:K29),0),"OK","ERROR")</f>
        <v>ERROR</v>
      </c>
      <c r="L102" s="208" t="str">
        <f>IF(ROUND(BS!L27,0)=ROUND(SUM(BS!L27:L29),0),"OK","ERROR")</f>
        <v>ERROR</v>
      </c>
      <c r="M102" s="208" t="str">
        <f>IF(ROUND(BS!M27,0)=ROUND(SUM(BS!M27:M29),0),"OK","ERROR")</f>
        <v>ERROR</v>
      </c>
      <c r="N102" s="220" t="str">
        <f>IF(ROUND(BS!N27,0)=ROUND(SUM(BS!N27:N29),0),"OK","ERROR")</f>
        <v>ERROR</v>
      </c>
      <c r="O102" s="256"/>
      <c r="P102" s="208" t="str">
        <f>IF(ROUND(BS!P27,0)=ROUND(SUM(BS!P27:P29),0),"OK","ERROR")</f>
        <v>ERROR</v>
      </c>
      <c r="Q102" s="208" t="str">
        <f>IF(ROUND(BS!Q27,0)=ROUND(SUM(BS!Q27:Q29),0),"OK","ERROR")</f>
        <v>ERROR</v>
      </c>
      <c r="R102" s="208" t="str">
        <f>IF(ROUND(BS!R27,0)=ROUND(SUM(BS!R27:R29),0),"OK","ERROR")</f>
        <v>ERROR</v>
      </c>
      <c r="S102" s="208" t="str">
        <f>IF(ROUND(BS!S27,0)=ROUND(SUM(BS!S27:S29),0),"OK","ERROR")</f>
        <v>ERROR</v>
      </c>
      <c r="T102" s="220" t="str">
        <f>IF(ROUND(BS!T27,0)=ROUND(SUM(BS!T27:T29),0),"OK","ERROR")</f>
        <v>ERROR</v>
      </c>
      <c r="U102" s="256"/>
      <c r="V102" s="208" t="str">
        <f>IF(ROUND(BS!V27,0)=ROUND(SUM(BS!V27:V29),0),"OK","ERROR")</f>
        <v>ERROR</v>
      </c>
      <c r="W102" s="208" t="str">
        <f>IF(ROUND(BS!W27,0)=ROUND(SUM(BS!W27:W29),0),"OK","ERROR")</f>
        <v>ERROR</v>
      </c>
      <c r="X102" s="208" t="str">
        <f>IF(ROUND(BS!X27,0)=ROUND(SUM(BS!X27:X29),0),"OK","ERROR")</f>
        <v>ERROR</v>
      </c>
      <c r="Y102" s="208" t="str">
        <f>IF(ROUND(BS!Y27,0)=ROUND(SUM(BS!Y27:Y29),0),"OK","ERROR")</f>
        <v>ERROR</v>
      </c>
      <c r="Z102" s="220" t="str">
        <f>IF(ROUND(BS!Z27,0)=ROUND(SUM(BS!Z27:Z29),0),"OK","ERROR")</f>
        <v>ERROR</v>
      </c>
      <c r="AA102" s="273"/>
      <c r="AB102" s="208" t="str">
        <f>IF(ROUND(BS!AB27,0)=ROUND(SUM(BS!AB27:AB29),0),"OK","ERROR")</f>
        <v>ERROR</v>
      </c>
      <c r="AC102" s="208" t="str">
        <f>IF(ROUND(BS!AC27,0)=ROUND(SUM(BS!AC27:AC29),0),"OK","ERROR")</f>
        <v>ERROR</v>
      </c>
      <c r="AD102" s="208" t="str">
        <f>IF(ROUND(BS!AD27,0)=ROUND(SUM(BS!AD27:AD29),0),"OK","ERROR")</f>
        <v>ERROR</v>
      </c>
      <c r="AE102" s="208" t="str">
        <f>IF(ROUND(BS!AE27,0)=ROUND(SUM(BS!AE27:AE29),0),"OK","ERROR")</f>
        <v>ERROR</v>
      </c>
      <c r="AF102" s="220" t="str">
        <f>IF(ROUND(BS!AF27,0)=ROUND(SUM(BS!AF27:AF29),0),"OK","ERROR")</f>
        <v>ERROR</v>
      </c>
      <c r="AG102" s="274"/>
      <c r="AH102" s="208" t="str">
        <f>IF(ROUND(BS!AH27,0)=ROUND(SUM(BS!AH27:AH29),0),"OK","ERROR")</f>
        <v>ERROR</v>
      </c>
      <c r="AI102" s="208" t="str">
        <f>IF(ROUND(BS!AI27,0)=ROUND(SUM(BS!AI27:AI29),0),"OK","ERROR")</f>
        <v>ERROR</v>
      </c>
      <c r="AJ102" s="208" t="str">
        <f>IF(ROUND(BS!AJ27,0)=ROUND(SUM(BS!AJ27:AJ29),0),"OK","ERROR")</f>
        <v>OK</v>
      </c>
      <c r="AK102" s="208" t="str">
        <f>IF(ROUND(BS!AK27,0)=ROUND(SUM(BS!AK27:AK29),0),"OK","ERROR")</f>
        <v>OK</v>
      </c>
      <c r="AL102" s="220" t="str">
        <f>IF(ROUND(BS!AL27,0)=ROUND(SUM(BS!AL27:AL29),0),"OK","ERROR")</f>
        <v>OK</v>
      </c>
      <c r="AM102" s="273"/>
      <c r="AN102" s="208" t="str">
        <f>IF(ROUND(BS!AN27,0)=ROUND(SUM(BS!AN27:AN29),0),"OK","ERROR")</f>
        <v>OK</v>
      </c>
      <c r="AO102" s="208" t="str">
        <f>IF(ROUND(BS!AO27,0)=ROUND(SUM(BS!AO27:AO29),0),"OK","ERROR")</f>
        <v>OK</v>
      </c>
      <c r="AP102" s="208" t="str">
        <f>IF(ROUND(BS!AP27,0)=ROUND(SUM(BS!AP27:AP29),0),"OK","ERROR")</f>
        <v>OK</v>
      </c>
      <c r="AQ102" s="208" t="str">
        <f>IF(ROUND(BS!AQ27,0)=ROUND(SUM(BS!AQ27:AQ29),0),"OK","ERROR")</f>
        <v>OK</v>
      </c>
      <c r="AR102" s="220" t="str">
        <f>IF(ROUND(BS!AR27,0)=ROUND(SUM(BS!AR27:AR29),0),"OK","ERROR")</f>
        <v>OK</v>
      </c>
      <c r="AS102" s="273"/>
      <c r="AT102" s="220" t="str">
        <f>IF(ROUND(BS!AT27,0)=ROUND(SUM(BS!AT27:AT29),0),"OK","ERROR")</f>
        <v>OK</v>
      </c>
      <c r="AU102" s="273"/>
      <c r="AV102" s="220" t="str">
        <f>IF(ROUND(BS!AV27,0)=ROUND(SUM(BS!AV27:AV29),0),"OK","ERROR")</f>
        <v>OK</v>
      </c>
      <c r="AW102" s="261"/>
      <c r="AX102" s="220" t="str">
        <f>IF(ROUND(BS!AX27,0)=ROUND(SUM(BS!AX27:AX29),0),"OK","ERROR")</f>
        <v>OK</v>
      </c>
    </row>
    <row r="103" spans="1:50" s="41" customFormat="1" ht="15" customHeight="1">
      <c r="A103" s="43"/>
      <c r="B103" s="138" t="s">
        <v>686</v>
      </c>
      <c r="C103" s="17"/>
      <c r="D103" s="217" t="str">
        <f>IF(ROUND(BS!D31,0)=ROUND(SUM(BS!D24,BS!D27,BS!D30),0),"OK","ERROR")</f>
        <v>OK</v>
      </c>
      <c r="E103" s="217" t="str">
        <f>IF(ROUND(BS!E31,0)=ROUND(SUM(BS!E24,BS!E27,BS!E30),0),"OK","ERROR")</f>
        <v>OK</v>
      </c>
      <c r="F103" s="217" t="str">
        <f>IF(ROUND(BS!F31,0)=ROUND(SUM(BS!F24,BS!F27,BS!F30),0),"OK","ERROR")</f>
        <v>OK</v>
      </c>
      <c r="G103" s="217" t="str">
        <f>IF(ROUND(BS!G31,0)=ROUND(SUM(BS!G24,BS!G27,BS!G30),0),"OK","ERROR")</f>
        <v>OK</v>
      </c>
      <c r="H103" s="226" t="str">
        <f>IF(ROUND(BS!H31,0)=ROUND(SUM(BS!H24,BS!H27,BS!H30),0),"OK","ERROR")</f>
        <v>OK</v>
      </c>
      <c r="I103" s="248"/>
      <c r="J103" s="217" t="str">
        <f>IF(ROUND(BS!J31,0)=ROUND(SUM(BS!J24,BS!J27,BS!J30),0),"OK","ERROR")</f>
        <v>OK</v>
      </c>
      <c r="K103" s="217" t="str">
        <f>IF(ROUND(BS!K31,0)=ROUND(SUM(BS!K24,BS!K27,BS!K30),0),"OK","ERROR")</f>
        <v>OK</v>
      </c>
      <c r="L103" s="217" t="str">
        <f>IF(ROUND(BS!L31,0)=ROUND(SUM(BS!L24,BS!L27,BS!L30),0),"OK","ERROR")</f>
        <v>OK</v>
      </c>
      <c r="M103" s="217" t="str">
        <f>IF(ROUND(BS!M31,0)=ROUND(SUM(BS!M24,BS!M27,BS!M30),0),"OK","ERROR")</f>
        <v>OK</v>
      </c>
      <c r="N103" s="226" t="str">
        <f>IF(ROUND(BS!N31,0)=ROUND(SUM(BS!N24,BS!N27,BS!N30),0),"OK","ERROR")</f>
        <v>OK</v>
      </c>
      <c r="O103" s="248"/>
      <c r="P103" s="217" t="str">
        <f>IF(ROUND(BS!P31,0)=ROUND(SUM(BS!P24,BS!P27,BS!P30),0),"OK","ERROR")</f>
        <v>OK</v>
      </c>
      <c r="Q103" s="217" t="str">
        <f>IF(ROUND(BS!Q31,0)=ROUND(SUM(BS!Q24,BS!Q27,BS!Q30),0),"OK","ERROR")</f>
        <v>OK</v>
      </c>
      <c r="R103" s="217" t="str">
        <f>IF(ROUND(BS!R31,0)=ROUND(SUM(BS!R24,BS!R27,BS!R30),0),"OK","ERROR")</f>
        <v>OK</v>
      </c>
      <c r="S103" s="217" t="str">
        <f>IF(ROUND(BS!S31,0)=ROUND(SUM(BS!S24,BS!S27,BS!S30),0),"OK","ERROR")</f>
        <v>OK</v>
      </c>
      <c r="T103" s="226" t="str">
        <f>IF(ROUND(BS!T31,0)=ROUND(SUM(BS!T24,BS!T27,BS!T30),0),"OK","ERROR")</f>
        <v>OK</v>
      </c>
      <c r="U103" s="248"/>
      <c r="V103" s="217" t="str">
        <f>IF(ROUND(BS!V31,0)=ROUND(SUM(BS!V24,BS!V27,BS!V30),0),"OK","ERROR")</f>
        <v>OK</v>
      </c>
      <c r="W103" s="217" t="str">
        <f>IF(ROUND(BS!W31,0)=ROUND(SUM(BS!W24,BS!W27,BS!W30),0),"OK","ERROR")</f>
        <v>OK</v>
      </c>
      <c r="X103" s="217" t="str">
        <f>IF(ROUND(BS!X31,0)=ROUND(SUM(BS!X24,BS!X27,BS!X30),0),"OK","ERROR")</f>
        <v>OK</v>
      </c>
      <c r="Y103" s="217" t="str">
        <f>IF(ROUND(BS!Y31,0)=ROUND(SUM(BS!Y24,BS!Y27,BS!Y30),0),"OK","ERROR")</f>
        <v>OK</v>
      </c>
      <c r="Z103" s="226" t="str">
        <f>IF(ROUND(BS!Z31,0)=ROUND(SUM(BS!Z24,BS!Z27,BS!Z30),0),"OK","ERROR")</f>
        <v>OK</v>
      </c>
      <c r="AA103" s="263"/>
      <c r="AB103" s="217" t="str">
        <f>IF(ROUND(BS!AB31,0)=ROUND(SUM(BS!AB24,BS!AB27,BS!AB30),0),"OK","ERROR")</f>
        <v>OK</v>
      </c>
      <c r="AC103" s="217" t="str">
        <f>IF(ROUND(BS!AC31,0)=ROUND(SUM(BS!AC24,BS!AC27,BS!AC30),0),"OK","ERROR")</f>
        <v>OK</v>
      </c>
      <c r="AD103" s="217" t="str">
        <f>IF(ROUND(BS!AD31,0)=ROUND(SUM(BS!AD24,BS!AD27,BS!AD30),0),"OK","ERROR")</f>
        <v>OK</v>
      </c>
      <c r="AE103" s="217" t="str">
        <f>IF(ROUND(BS!AE31,0)=ROUND(SUM(BS!AE24,BS!AE27,BS!AE30),0),"OK","ERROR")</f>
        <v>OK</v>
      </c>
      <c r="AF103" s="226" t="str">
        <f>IF(ROUND(BS!AF31,0)=ROUND(SUM(BS!AF24,BS!AF27,BS!AF30),0),"OK","ERROR")</f>
        <v>OK</v>
      </c>
      <c r="AG103" s="265"/>
      <c r="AH103" s="217" t="str">
        <f>IF(ROUND(BS!AH31,0)=ROUND(SUM(BS!AH24,BS!AH27,BS!AH30),0),"OK","ERROR")</f>
        <v>OK</v>
      </c>
      <c r="AI103" s="217" t="str">
        <f>IF(ROUND(BS!AI31,0)=ROUND(SUM(BS!AI24,BS!AI27,BS!AI30),0),"OK","ERROR")</f>
        <v>OK</v>
      </c>
      <c r="AJ103" s="217" t="str">
        <f>IF(ROUND(BS!AJ31,0)=ROUND(SUM(BS!AJ24,BS!AJ27,BS!AJ30),0),"OK","ERROR")</f>
        <v>OK</v>
      </c>
      <c r="AK103" s="217" t="str">
        <f>IF(ROUND(BS!AK31,0)=ROUND(SUM(BS!AK24,BS!AK27,BS!AK30),0),"OK","ERROR")</f>
        <v>OK</v>
      </c>
      <c r="AL103" s="226" t="str">
        <f>IF(ROUND(BS!AL31,0)=ROUND(SUM(BS!AL24,BS!AL27,BS!AL30),0),"OK","ERROR")</f>
        <v>OK</v>
      </c>
      <c r="AM103" s="275"/>
      <c r="AN103" s="217" t="str">
        <f>IF(ROUND(BS!AN31,0)=ROUND(SUM(BS!AN24,BS!AN27,BS!AN30),0),"OK","ERROR")</f>
        <v>OK</v>
      </c>
      <c r="AO103" s="217" t="str">
        <f>IF(ROUND(BS!AO31,0)=ROUND(SUM(BS!AO24,BS!AO27,BS!AO30),0),"OK","ERROR")</f>
        <v>OK</v>
      </c>
      <c r="AP103" s="217" t="str">
        <f>IF(ROUND(BS!AP31,0)=ROUND(SUM(BS!AP24,BS!AP27,BS!AP30),0),"OK","ERROR")</f>
        <v>OK</v>
      </c>
      <c r="AQ103" s="217" t="str">
        <f>IF(ROUND(BS!AQ31,0)=ROUND(SUM(BS!AQ24,BS!AQ27,BS!AQ30),0),"OK","ERROR")</f>
        <v>OK</v>
      </c>
      <c r="AR103" s="226" t="str">
        <f>IF(ROUND(BS!AR31,0)=ROUND(SUM(BS!AR24,BS!AR27,BS!AR30),0),"OK","ERROR")</f>
        <v>OK</v>
      </c>
      <c r="AS103" s="275"/>
      <c r="AT103" s="226" t="str">
        <f>IF(ROUND(BS!AT31,0)=ROUND(SUM(BS!AT24,BS!AT27,BS!AT30),0),"OK","ERROR")</f>
        <v>OK</v>
      </c>
      <c r="AU103" s="275"/>
      <c r="AV103" s="226" t="str">
        <f>IF(ROUND(BS!AV31,0)=ROUND(SUM(BS!AV24,BS!AV27,BS!AV30),0),"OK","ERROR")</f>
        <v>OK</v>
      </c>
      <c r="AW103" s="255"/>
      <c r="AX103" s="226" t="str">
        <f>IF(ROUND(BS!AX31,0)=ROUND(SUM(BS!AX24,BS!AX27,BS!AX30),0),"OK","ERROR")</f>
        <v>OK</v>
      </c>
    </row>
    <row r="104" spans="1:50" s="113" customFormat="1" ht="15" customHeight="1" thickBot="1">
      <c r="B104" s="140" t="s">
        <v>687</v>
      </c>
      <c r="C104" s="115"/>
      <c r="D104" s="217" t="str">
        <f>IF(ROUND(SUM(BS!D21,BS!D31),0)=ROUND(BS!D32,0),"OK","ERROR")</f>
        <v>OK</v>
      </c>
      <c r="E104" s="217" t="str">
        <f>IF(ROUND(SUM(BS!E21,BS!E31),0)=ROUND(BS!E32,0),"OK","ERROR")</f>
        <v>OK</v>
      </c>
      <c r="F104" s="217" t="str">
        <f>IF(ROUND(SUM(BS!F21,BS!F31),0)=ROUND(BS!F32,0),"OK","ERROR")</f>
        <v>OK</v>
      </c>
      <c r="G104" s="217" t="str">
        <f>IF(ROUND(SUM(BS!G21,BS!G31),0)=ROUND(BS!G32,0),"OK","ERROR")</f>
        <v>OK</v>
      </c>
      <c r="H104" s="237" t="str">
        <f>IF(ROUND(SUM(BS!H21,BS!H31),0)=ROUND(BS!H32,0),"OK","ERROR")</f>
        <v>OK</v>
      </c>
      <c r="I104" s="256"/>
      <c r="J104" s="217" t="str">
        <f>IF(ROUND(SUM(BS!J21,BS!J31),0)=ROUND(BS!J32,0),"OK","ERROR")</f>
        <v>OK</v>
      </c>
      <c r="K104" s="217" t="str">
        <f>IF(ROUND(SUM(BS!K21,BS!K31),0)=ROUND(BS!K32,0),"OK","ERROR")</f>
        <v>OK</v>
      </c>
      <c r="L104" s="217" t="str">
        <f>IF(ROUND(SUM(BS!L21,BS!L31),0)=ROUND(BS!L32,0),"OK","ERROR")</f>
        <v>OK</v>
      </c>
      <c r="M104" s="217" t="str">
        <f>IF(ROUND(SUM(BS!M21,BS!M31),0)=ROUND(BS!M32,0),"OK","ERROR")</f>
        <v>OK</v>
      </c>
      <c r="N104" s="237" t="str">
        <f>IF(ROUND(SUM(BS!N21,BS!N31),0)=ROUND(BS!N32,0),"OK","ERROR")</f>
        <v>OK</v>
      </c>
      <c r="O104" s="256"/>
      <c r="P104" s="217" t="str">
        <f>IF(ROUND(SUM(BS!P21,BS!P31),0)=ROUND(BS!P32,0),"OK","ERROR")</f>
        <v>OK</v>
      </c>
      <c r="Q104" s="217" t="str">
        <f>IF(ROUND(SUM(BS!Q21,BS!Q31),0)=ROUND(BS!Q32,0),"OK","ERROR")</f>
        <v>OK</v>
      </c>
      <c r="R104" s="217" t="str">
        <f>IF(ROUND(SUM(BS!R21,BS!R31),0)=ROUND(BS!R32,0),"OK","ERROR")</f>
        <v>OK</v>
      </c>
      <c r="S104" s="217" t="str">
        <f>IF(ROUND(SUM(BS!S21,BS!S31),0)=ROUND(BS!S32,0),"OK","ERROR")</f>
        <v>OK</v>
      </c>
      <c r="T104" s="237" t="str">
        <f>IF(ROUND(SUM(BS!T21,BS!T31),0)=ROUND(BS!T32,0),"OK","ERROR")</f>
        <v>OK</v>
      </c>
      <c r="U104" s="256"/>
      <c r="V104" s="217" t="str">
        <f>IF(ROUND(SUM(BS!V21,BS!V31),0)=ROUND(BS!V32,0),"OK","ERROR")</f>
        <v>OK</v>
      </c>
      <c r="W104" s="217" t="str">
        <f>IF(ROUND(SUM(BS!W21,BS!W31),0)=ROUND(BS!W32,0),"OK","ERROR")</f>
        <v>OK</v>
      </c>
      <c r="X104" s="217" t="str">
        <f>IF(ROUND(SUM(BS!X21,BS!X31),0)=ROUND(BS!X32,0),"OK","ERROR")</f>
        <v>OK</v>
      </c>
      <c r="Y104" s="217" t="str">
        <f>IF(ROUND(SUM(BS!Y21,BS!Y31),0)=ROUND(BS!Y32,0),"OK","ERROR")</f>
        <v>OK</v>
      </c>
      <c r="Z104" s="237" t="str">
        <f>IF(ROUND(SUM(BS!Z21,BS!Z31),0)=ROUND(BS!Z32,0),"OK","ERROR")</f>
        <v>OK</v>
      </c>
      <c r="AA104" s="276"/>
      <c r="AB104" s="217" t="str">
        <f>IF(ROUND(SUM(BS!AB21,BS!AB31),0)=ROUND(BS!AB32,0),"OK","ERROR")</f>
        <v>OK</v>
      </c>
      <c r="AC104" s="217" t="str">
        <f>IF(ROUND(SUM(BS!AC21,BS!AC31),0)=ROUND(BS!AC32,0),"OK","ERROR")</f>
        <v>OK</v>
      </c>
      <c r="AD104" s="217" t="str">
        <f>IF(ROUND(SUM(BS!AD21,BS!AD31),0)=ROUND(BS!AD32,0),"OK","ERROR")</f>
        <v>OK</v>
      </c>
      <c r="AE104" s="217" t="str">
        <f>IF(ROUND(SUM(BS!AE21,BS!AE31),0)=ROUND(BS!AE32,0),"OK","ERROR")</f>
        <v>OK</v>
      </c>
      <c r="AF104" s="237" t="str">
        <f>IF(ROUND(SUM(BS!AF21,BS!AF31),0)=ROUND(BS!AF32,0),"OK","ERROR")</f>
        <v>OK</v>
      </c>
      <c r="AG104" s="274"/>
      <c r="AH104" s="217" t="str">
        <f>IF(ROUND(SUM(BS!AH21,BS!AH31),0)=ROUND(BS!AH32,0),"OK","ERROR")</f>
        <v>OK</v>
      </c>
      <c r="AI104" s="217" t="str">
        <f>IF(ROUND(SUM(BS!AI21,BS!AI31),0)=ROUND(BS!AI32,0),"OK","ERROR")</f>
        <v>OK</v>
      </c>
      <c r="AJ104" s="217" t="str">
        <f>IF(ROUND(SUM(BS!AJ21,BS!AJ31),0)=ROUND(BS!AJ32,0),"OK","ERROR")</f>
        <v>OK</v>
      </c>
      <c r="AK104" s="217" t="str">
        <f>IF(ROUND(SUM(BS!AK21,BS!AK31),0)=ROUND(BS!AK32,0),"OK","ERROR")</f>
        <v>OK</v>
      </c>
      <c r="AL104" s="237" t="str">
        <f>IF(ROUND(SUM(BS!AL21,BS!AL31),0)=ROUND(BS!AL32,0),"OK","ERROR")</f>
        <v>OK</v>
      </c>
      <c r="AM104" s="273"/>
      <c r="AN104" s="217" t="str">
        <f>IF(ROUND(SUM(BS!AN21,BS!AN31),0)=ROUND(BS!AN32,0),"OK","ERROR")</f>
        <v>OK</v>
      </c>
      <c r="AO104" s="217" t="str">
        <f>IF(ROUND(SUM(BS!AO21,BS!AO31),0)=ROUND(BS!AO32,0),"OK","ERROR")</f>
        <v>OK</v>
      </c>
      <c r="AP104" s="217" t="str">
        <f>IF(ROUND(SUM(BS!AP21,BS!AP31),0)=ROUND(BS!AP32,0),"OK","ERROR")</f>
        <v>OK</v>
      </c>
      <c r="AQ104" s="217" t="str">
        <f>IF(ROUND(SUM(BS!AQ21,BS!AQ31),0)=ROUND(BS!AQ32,0),"OK","ERROR")</f>
        <v>OK</v>
      </c>
      <c r="AR104" s="237" t="str">
        <f>IF(ROUND(SUM(BS!AR21,BS!AR31),0)=ROUND(BS!AR32,0),"OK","ERROR")</f>
        <v>OK</v>
      </c>
      <c r="AS104" s="273"/>
      <c r="AT104" s="237" t="str">
        <f>IF(ROUND(SUM(BS!AT21,BS!AT31),0)=ROUND(BS!AT32,0),"OK","ERROR")</f>
        <v>OK</v>
      </c>
      <c r="AU104" s="273"/>
      <c r="AV104" s="237" t="str">
        <f>IF(ROUND(SUM(BS!AV21,BS!AV31),0)=ROUND(BS!AV32,0),"OK","ERROR")</f>
        <v>OK</v>
      </c>
      <c r="AW104" s="261"/>
      <c r="AX104" s="237" t="str">
        <f>IF(ROUND(SUM(BS!AX21,BS!AX31),0)=ROUND(BS!AX32,0),"OK","ERROR")</f>
        <v>OK</v>
      </c>
    </row>
    <row r="105" spans="1:50" s="147" customFormat="1" ht="15" customHeight="1" thickTop="1">
      <c r="A105" s="142"/>
      <c r="B105" s="143"/>
      <c r="C105" s="27"/>
      <c r="D105" s="208"/>
      <c r="E105" s="208"/>
      <c r="F105" s="208"/>
      <c r="G105" s="208"/>
      <c r="H105" s="220"/>
      <c r="I105" s="277"/>
      <c r="J105" s="208"/>
      <c r="K105" s="208"/>
      <c r="L105" s="208"/>
      <c r="M105" s="208"/>
      <c r="N105" s="220"/>
      <c r="O105" s="277"/>
      <c r="P105" s="208"/>
      <c r="Q105" s="208"/>
      <c r="R105" s="208"/>
      <c r="S105" s="208"/>
      <c r="T105" s="220"/>
      <c r="U105" s="277"/>
      <c r="V105" s="208"/>
      <c r="W105" s="208"/>
      <c r="X105" s="208"/>
      <c r="Y105" s="208"/>
      <c r="Z105" s="220"/>
      <c r="AA105" s="278"/>
      <c r="AB105" s="208"/>
      <c r="AC105" s="208"/>
      <c r="AD105" s="208"/>
      <c r="AE105" s="208"/>
      <c r="AF105" s="220"/>
      <c r="AG105" s="279"/>
      <c r="AH105" s="208"/>
      <c r="AI105" s="208"/>
      <c r="AJ105" s="208"/>
      <c r="AK105" s="208"/>
      <c r="AL105" s="220"/>
      <c r="AM105" s="280"/>
      <c r="AN105" s="208"/>
      <c r="AO105" s="208"/>
      <c r="AP105" s="208"/>
      <c r="AQ105" s="208"/>
      <c r="AR105" s="220"/>
      <c r="AS105" s="280"/>
      <c r="AT105" s="220"/>
      <c r="AU105" s="280"/>
      <c r="AV105" s="220"/>
      <c r="AW105" s="281"/>
      <c r="AX105" s="220"/>
    </row>
    <row r="106" spans="1:50" s="113" customFormat="1" ht="15" customHeight="1">
      <c r="A106" s="44"/>
      <c r="B106" s="64" t="s">
        <v>688</v>
      </c>
      <c r="C106" s="115"/>
      <c r="D106" s="208"/>
      <c r="E106" s="208"/>
      <c r="F106" s="208"/>
      <c r="G106" s="208"/>
      <c r="H106" s="220"/>
      <c r="I106" s="256"/>
      <c r="J106" s="208"/>
      <c r="K106" s="208"/>
      <c r="L106" s="208"/>
      <c r="M106" s="208"/>
      <c r="N106" s="220"/>
      <c r="O106" s="256"/>
      <c r="P106" s="208"/>
      <c r="Q106" s="208"/>
      <c r="R106" s="208"/>
      <c r="S106" s="208"/>
      <c r="T106" s="220"/>
      <c r="U106" s="256"/>
      <c r="V106" s="208"/>
      <c r="W106" s="208"/>
      <c r="X106" s="208"/>
      <c r="Y106" s="208"/>
      <c r="Z106" s="220"/>
      <c r="AA106" s="257"/>
      <c r="AB106" s="208"/>
      <c r="AC106" s="208"/>
      <c r="AD106" s="208"/>
      <c r="AE106" s="208"/>
      <c r="AF106" s="220"/>
      <c r="AG106" s="258"/>
      <c r="AH106" s="208"/>
      <c r="AI106" s="208"/>
      <c r="AJ106" s="208"/>
      <c r="AK106" s="208"/>
      <c r="AL106" s="220"/>
      <c r="AM106" s="257"/>
      <c r="AN106" s="208"/>
      <c r="AO106" s="208"/>
      <c r="AP106" s="208"/>
      <c r="AQ106" s="208"/>
      <c r="AR106" s="220"/>
      <c r="AS106" s="257"/>
      <c r="AT106" s="220"/>
      <c r="AU106" s="257"/>
      <c r="AV106" s="220"/>
      <c r="AW106" s="261"/>
      <c r="AX106" s="220"/>
    </row>
    <row r="107" spans="1:50" s="147" customFormat="1" ht="15" customHeight="1">
      <c r="A107" s="142"/>
      <c r="B107" s="143"/>
      <c r="C107" s="27"/>
      <c r="D107" s="208"/>
      <c r="E107" s="208"/>
      <c r="F107" s="208"/>
      <c r="G107" s="208"/>
      <c r="H107" s="220"/>
      <c r="I107" s="277"/>
      <c r="J107" s="208"/>
      <c r="K107" s="208"/>
      <c r="L107" s="208"/>
      <c r="M107" s="208"/>
      <c r="N107" s="220"/>
      <c r="O107" s="277"/>
      <c r="P107" s="208"/>
      <c r="Q107" s="208"/>
      <c r="R107" s="208"/>
      <c r="S107" s="208"/>
      <c r="T107" s="220"/>
      <c r="U107" s="277"/>
      <c r="V107" s="208"/>
      <c r="W107" s="208"/>
      <c r="X107" s="208"/>
      <c r="Y107" s="208"/>
      <c r="Z107" s="220"/>
      <c r="AA107" s="278"/>
      <c r="AB107" s="208"/>
      <c r="AC107" s="208"/>
      <c r="AD107" s="208"/>
      <c r="AE107" s="208"/>
      <c r="AF107" s="220"/>
      <c r="AG107" s="279"/>
      <c r="AH107" s="208"/>
      <c r="AI107" s="208"/>
      <c r="AJ107" s="208"/>
      <c r="AK107" s="208"/>
      <c r="AL107" s="220"/>
      <c r="AM107" s="282"/>
      <c r="AN107" s="208"/>
      <c r="AO107" s="208"/>
      <c r="AP107" s="208"/>
      <c r="AQ107" s="208"/>
      <c r="AR107" s="220"/>
      <c r="AS107" s="275"/>
      <c r="AT107" s="220"/>
      <c r="AU107" s="275"/>
      <c r="AV107" s="220"/>
      <c r="AW107" s="281"/>
      <c r="AX107" s="220"/>
    </row>
    <row r="108" spans="1:50" s="113" customFormat="1" ht="15" customHeight="1">
      <c r="A108" s="44" t="s">
        <v>37</v>
      </c>
      <c r="B108" s="114" t="s">
        <v>689</v>
      </c>
      <c r="C108" s="115"/>
      <c r="D108" s="208"/>
      <c r="E108" s="208"/>
      <c r="F108" s="208"/>
      <c r="G108" s="208"/>
      <c r="H108" s="220"/>
      <c r="I108" s="256"/>
      <c r="J108" s="208"/>
      <c r="K108" s="208"/>
      <c r="L108" s="208"/>
      <c r="M108" s="208"/>
      <c r="N108" s="220"/>
      <c r="O108" s="256"/>
      <c r="P108" s="208"/>
      <c r="Q108" s="208"/>
      <c r="R108" s="208"/>
      <c r="S108" s="208"/>
      <c r="T108" s="220"/>
      <c r="U108" s="256"/>
      <c r="V108" s="208"/>
      <c r="W108" s="208"/>
      <c r="X108" s="208"/>
      <c r="Y108" s="208"/>
      <c r="Z108" s="220"/>
      <c r="AA108" s="257"/>
      <c r="AB108" s="208"/>
      <c r="AC108" s="208"/>
      <c r="AD108" s="208"/>
      <c r="AE108" s="208"/>
      <c r="AF108" s="220"/>
      <c r="AG108" s="258"/>
      <c r="AH108" s="208"/>
      <c r="AI108" s="208"/>
      <c r="AJ108" s="208"/>
      <c r="AK108" s="208"/>
      <c r="AL108" s="220"/>
      <c r="AM108" s="283"/>
      <c r="AN108" s="208"/>
      <c r="AO108" s="208"/>
      <c r="AP108" s="208"/>
      <c r="AQ108" s="208"/>
      <c r="AR108" s="220"/>
      <c r="AS108" s="257"/>
      <c r="AT108" s="220"/>
      <c r="AU108" s="257"/>
      <c r="AV108" s="220"/>
      <c r="AW108" s="261"/>
      <c r="AX108" s="220"/>
    </row>
    <row r="109" spans="1:50" s="113" customFormat="1" ht="15" customHeight="1">
      <c r="B109" s="138" t="s">
        <v>694</v>
      </c>
      <c r="C109" s="115"/>
      <c r="D109" s="217" t="str">
        <f>IF(ROUND(BS!D41,0)=ROUND(SUM(BS!D37:D40),0),"OK","ERROR")</f>
        <v>OK</v>
      </c>
      <c r="E109" s="217" t="str">
        <f>IF(ROUND(BS!E41,0)=ROUND(SUM(BS!E37:E40),0),"OK","ERROR")</f>
        <v>OK</v>
      </c>
      <c r="F109" s="217" t="str">
        <f>IF(ROUND(BS!F41,0)=ROUND(SUM(BS!F37:F40),0),"OK","ERROR")</f>
        <v>OK</v>
      </c>
      <c r="G109" s="217" t="str">
        <f>IF(ROUND(BS!G41,0)=ROUND(SUM(BS!G37:G40),0),"OK","ERROR")</f>
        <v>OK</v>
      </c>
      <c r="H109" s="227" t="str">
        <f>IF(ROUND(BS!H41,0)=ROUND(SUM(BS!H37:H40),0),"OK","ERROR")</f>
        <v>OK</v>
      </c>
      <c r="I109" s="256"/>
      <c r="J109" s="217" t="str">
        <f>IF(ROUND(BS!J41,0)=ROUND(SUM(BS!J37:J40),0),"OK","ERROR")</f>
        <v>OK</v>
      </c>
      <c r="K109" s="217" t="str">
        <f>IF(ROUND(BS!K41,0)=ROUND(SUM(BS!K37:K40),0),"OK","ERROR")</f>
        <v>OK</v>
      </c>
      <c r="L109" s="217" t="str">
        <f>IF(ROUND(BS!L41,0)=ROUND(SUM(BS!L37:L40),0),"OK","ERROR")</f>
        <v>OK</v>
      </c>
      <c r="M109" s="217" t="str">
        <f>IF(ROUND(BS!M41,0)=ROUND(SUM(BS!M37:M40),0),"OK","ERROR")</f>
        <v>OK</v>
      </c>
      <c r="N109" s="227" t="str">
        <f>IF(ROUND(BS!N41,0)=ROUND(SUM(BS!N37:N40),0),"OK","ERROR")</f>
        <v>OK</v>
      </c>
      <c r="O109" s="256"/>
      <c r="P109" s="217" t="str">
        <f>IF(ROUND(BS!P41,0)=ROUND(SUM(BS!P37:P40),0),"OK","ERROR")</f>
        <v>OK</v>
      </c>
      <c r="Q109" s="217" t="str">
        <f>IF(ROUND(BS!Q41,0)=ROUND(SUM(BS!Q37:Q40),0),"OK","ERROR")</f>
        <v>OK</v>
      </c>
      <c r="R109" s="217" t="str">
        <f>IF(ROUND(BS!R41,0)=ROUND(SUM(BS!R37:R40),0),"OK","ERROR")</f>
        <v>OK</v>
      </c>
      <c r="S109" s="217" t="str">
        <f>IF(ROUND(BS!S41,0)=ROUND(SUM(BS!S37:S40),0),"OK","ERROR")</f>
        <v>OK</v>
      </c>
      <c r="T109" s="227" t="str">
        <f>IF(ROUND(BS!T41,0)=ROUND(SUM(BS!T37:T40),0),"OK","ERROR")</f>
        <v>OK</v>
      </c>
      <c r="U109" s="256"/>
      <c r="V109" s="217" t="str">
        <f>IF(ROUND(BS!V41,0)=ROUND(SUM(BS!V37:V40),0),"OK","ERROR")</f>
        <v>OK</v>
      </c>
      <c r="W109" s="217" t="str">
        <f>IF(ROUND(BS!W41,0)=ROUND(SUM(BS!W37:W40),0),"OK","ERROR")</f>
        <v>OK</v>
      </c>
      <c r="X109" s="217" t="str">
        <f>IF(ROUND(BS!X41,0)=ROUND(SUM(BS!X37:X40),0),"OK","ERROR")</f>
        <v>OK</v>
      </c>
      <c r="Y109" s="217" t="str">
        <f>IF(ROUND(BS!Y41,0)=ROUND(SUM(BS!Y37:Y40),0),"OK","ERROR")</f>
        <v>OK</v>
      </c>
      <c r="Z109" s="227" t="str">
        <f>IF(ROUND(BS!Z41,0)=ROUND(SUM(BS!Z37:Z40),0),"OK","ERROR")</f>
        <v>OK</v>
      </c>
      <c r="AA109" s="273"/>
      <c r="AB109" s="217" t="str">
        <f>IF(ROUND(BS!AB41,0)=ROUND(SUM(BS!AB37:AB40),0),"OK","ERROR")</f>
        <v>OK</v>
      </c>
      <c r="AC109" s="217" t="str">
        <f>IF(ROUND(BS!AC41,0)=ROUND(SUM(BS!AC37:AC40),0),"OK","ERROR")</f>
        <v>OK</v>
      </c>
      <c r="AD109" s="217" t="str">
        <f>IF(ROUND(BS!AD41,0)=ROUND(SUM(BS!AD37:AD40),0),"OK","ERROR")</f>
        <v>OK</v>
      </c>
      <c r="AE109" s="217" t="str">
        <f>IF(ROUND(BS!AE41,0)=ROUND(SUM(BS!AE37:AE40),0),"OK","ERROR")</f>
        <v>OK</v>
      </c>
      <c r="AF109" s="227" t="str">
        <f>IF(ROUND(BS!AF41,0)=ROUND(SUM(BS!AF37:AF40),0),"OK","ERROR")</f>
        <v>OK</v>
      </c>
      <c r="AG109" s="274"/>
      <c r="AH109" s="217" t="str">
        <f>IF(ROUND(BS!AH41,0)=ROUND(SUM(BS!AH37:AH40),0),"OK","ERROR")</f>
        <v>OK</v>
      </c>
      <c r="AI109" s="217" t="str">
        <f>IF(ROUND(BS!AI41,0)=ROUND(SUM(BS!AI37:AI40),0),"OK","ERROR")</f>
        <v>OK</v>
      </c>
      <c r="AJ109" s="217" t="str">
        <f>IF(ROUND(BS!AJ41,0)=ROUND(SUM(BS!AJ37:AJ40),0),"OK","ERROR")</f>
        <v>OK</v>
      </c>
      <c r="AK109" s="217" t="str">
        <f>IF(ROUND(BS!AK41,0)=ROUND(SUM(BS!AK37:AK40),0),"OK","ERROR")</f>
        <v>OK</v>
      </c>
      <c r="AL109" s="227" t="str">
        <f>IF(ROUND(BS!AL41,0)=ROUND(SUM(BS!AL37:AL40),0),"OK","ERROR")</f>
        <v>OK</v>
      </c>
      <c r="AM109" s="273"/>
      <c r="AN109" s="217" t="str">
        <f>IF(ROUND(BS!AN41,0)=ROUND(SUM(BS!AN37:AN40),0),"OK","ERROR")</f>
        <v>OK</v>
      </c>
      <c r="AO109" s="217" t="str">
        <f>IF(ROUND(BS!AO41,0)=ROUND(SUM(BS!AO37:AO40),0),"OK","ERROR")</f>
        <v>OK</v>
      </c>
      <c r="AP109" s="217" t="str">
        <f>IF(ROUND(BS!AP41,0)=ROUND(SUM(BS!AP37:AP40),0),"OK","ERROR")</f>
        <v>OK</v>
      </c>
      <c r="AQ109" s="217" t="str">
        <f>IF(ROUND(BS!AQ41,0)=ROUND(SUM(BS!AQ37:AQ40),0),"OK","ERROR")</f>
        <v>OK</v>
      </c>
      <c r="AR109" s="227" t="str">
        <f>IF(ROUND(BS!AR41,0)=ROUND(SUM(BS!AR37:AR40),0),"OK","ERROR")</f>
        <v>OK</v>
      </c>
      <c r="AS109" s="273"/>
      <c r="AT109" s="227" t="str">
        <f>IF(ROUND(BS!AT41,0)=ROUND(SUM(BS!AT37:AT40),0),"OK","ERROR")</f>
        <v>OK</v>
      </c>
      <c r="AU109" s="273"/>
      <c r="AV109" s="227" t="str">
        <f>IF(ROUND(BS!AV41,0)=ROUND(SUM(BS!AV37:AV40),0),"OK","ERROR")</f>
        <v>OK</v>
      </c>
      <c r="AW109" s="261"/>
      <c r="AX109" s="227" t="str">
        <f>IF(ROUND(BS!AX41,0)=ROUND(SUM(BS!AX37:AX40),0),"OK","ERROR")</f>
        <v>OK</v>
      </c>
    </row>
    <row r="110" spans="1:50" s="41" customFormat="1" ht="15" customHeight="1">
      <c r="A110" s="43"/>
      <c r="B110" s="152"/>
      <c r="C110" s="17"/>
      <c r="D110" s="208"/>
      <c r="E110" s="208"/>
      <c r="F110" s="208"/>
      <c r="G110" s="208"/>
      <c r="H110" s="220"/>
      <c r="I110" s="248"/>
      <c r="J110" s="208"/>
      <c r="K110" s="208"/>
      <c r="L110" s="208"/>
      <c r="M110" s="208"/>
      <c r="N110" s="220"/>
      <c r="O110" s="248"/>
      <c r="P110" s="208"/>
      <c r="Q110" s="208"/>
      <c r="R110" s="208"/>
      <c r="S110" s="208"/>
      <c r="T110" s="220"/>
      <c r="U110" s="248"/>
      <c r="V110" s="208"/>
      <c r="W110" s="208"/>
      <c r="X110" s="208"/>
      <c r="Y110" s="208"/>
      <c r="Z110" s="220"/>
      <c r="AA110" s="248"/>
      <c r="AB110" s="208"/>
      <c r="AC110" s="208"/>
      <c r="AD110" s="208"/>
      <c r="AE110" s="208"/>
      <c r="AF110" s="220"/>
      <c r="AG110" s="284"/>
      <c r="AH110" s="208"/>
      <c r="AI110" s="208"/>
      <c r="AJ110" s="208"/>
      <c r="AK110" s="208"/>
      <c r="AL110" s="220"/>
      <c r="AM110" s="248"/>
      <c r="AN110" s="208"/>
      <c r="AO110" s="208"/>
      <c r="AP110" s="208"/>
      <c r="AQ110" s="208"/>
      <c r="AR110" s="220"/>
      <c r="AS110" s="248"/>
      <c r="AT110" s="220"/>
      <c r="AU110" s="248"/>
      <c r="AV110" s="220"/>
      <c r="AW110" s="255"/>
      <c r="AX110" s="220"/>
    </row>
    <row r="111" spans="1:50" s="113" customFormat="1" ht="15" customHeight="1">
      <c r="A111" s="44" t="s">
        <v>37</v>
      </c>
      <c r="B111" s="114" t="s">
        <v>695</v>
      </c>
      <c r="C111" s="115"/>
      <c r="D111" s="208"/>
      <c r="E111" s="208"/>
      <c r="F111" s="208"/>
      <c r="G111" s="208"/>
      <c r="H111" s="220"/>
      <c r="I111" s="256"/>
      <c r="J111" s="208"/>
      <c r="K111" s="208"/>
      <c r="L111" s="208"/>
      <c r="M111" s="208"/>
      <c r="N111" s="220"/>
      <c r="O111" s="256"/>
      <c r="P111" s="208"/>
      <c r="Q111" s="208"/>
      <c r="R111" s="208"/>
      <c r="S111" s="208"/>
      <c r="T111" s="220"/>
      <c r="U111" s="256"/>
      <c r="V111" s="208"/>
      <c r="W111" s="208"/>
      <c r="X111" s="208"/>
      <c r="Y111" s="208"/>
      <c r="Z111" s="220"/>
      <c r="AA111" s="256"/>
      <c r="AB111" s="208"/>
      <c r="AC111" s="208"/>
      <c r="AD111" s="208"/>
      <c r="AE111" s="208"/>
      <c r="AF111" s="220"/>
      <c r="AG111" s="285"/>
      <c r="AH111" s="208"/>
      <c r="AI111" s="208"/>
      <c r="AJ111" s="208"/>
      <c r="AK111" s="208"/>
      <c r="AL111" s="220"/>
      <c r="AM111" s="256"/>
      <c r="AN111" s="208"/>
      <c r="AO111" s="208"/>
      <c r="AP111" s="208"/>
      <c r="AQ111" s="208"/>
      <c r="AR111" s="220"/>
      <c r="AS111" s="256"/>
      <c r="AT111" s="220"/>
      <c r="AU111" s="256"/>
      <c r="AV111" s="220"/>
      <c r="AW111" s="261"/>
      <c r="AX111" s="220"/>
    </row>
    <row r="112" spans="1:50" s="113" customFormat="1" ht="15" customHeight="1">
      <c r="B112" s="138" t="s">
        <v>699</v>
      </c>
      <c r="C112" s="115"/>
      <c r="D112" s="217" t="str">
        <f>IF(ROUND(BS!D47,0)=ROUND(SUM(BS!D44:D46),0),"OK","ERROR")</f>
        <v>OK</v>
      </c>
      <c r="E112" s="217" t="str">
        <f>IF(ROUND(BS!E47,0)=ROUND(SUM(BS!E44:E46),0),"OK","ERROR")</f>
        <v>OK</v>
      </c>
      <c r="F112" s="217" t="str">
        <f>IF(ROUND(BS!F47,0)=ROUND(SUM(BS!F44:F46),0),"OK","ERROR")</f>
        <v>OK</v>
      </c>
      <c r="G112" s="217" t="str">
        <f>IF(ROUND(BS!G47,0)=ROUND(SUM(BS!G44:G46),0),"OK","ERROR")</f>
        <v>OK</v>
      </c>
      <c r="H112" s="220" t="str">
        <f>IF(ROUND(BS!H47,0)=ROUND(SUM(BS!H44:H46),0),"OK","ERROR")</f>
        <v>OK</v>
      </c>
      <c r="I112" s="256"/>
      <c r="J112" s="217" t="str">
        <f>IF(ROUND(BS!J47,0)=ROUND(SUM(BS!J44:J46),0),"OK","ERROR")</f>
        <v>OK</v>
      </c>
      <c r="K112" s="217" t="str">
        <f>IF(ROUND(BS!K47,0)=ROUND(SUM(BS!K44:K46),0),"OK","ERROR")</f>
        <v>OK</v>
      </c>
      <c r="L112" s="217" t="str">
        <f>IF(ROUND(BS!L47,0)=ROUND(SUM(BS!L44:L46),0),"OK","ERROR")</f>
        <v>OK</v>
      </c>
      <c r="M112" s="217" t="str">
        <f>IF(ROUND(BS!M47,0)=ROUND(SUM(BS!M44:M46),0),"OK","ERROR")</f>
        <v>OK</v>
      </c>
      <c r="N112" s="220" t="str">
        <f>IF(ROUND(BS!N47,0)=ROUND(SUM(BS!N44:N46),0),"OK","ERROR")</f>
        <v>OK</v>
      </c>
      <c r="O112" s="256"/>
      <c r="P112" s="217" t="str">
        <f>IF(ROUND(BS!P47,0)=ROUND(SUM(BS!P44:P46),0),"OK","ERROR")</f>
        <v>OK</v>
      </c>
      <c r="Q112" s="217" t="str">
        <f>IF(ROUND(BS!Q47,0)=ROUND(SUM(BS!Q44:Q46),0),"OK","ERROR")</f>
        <v>OK</v>
      </c>
      <c r="R112" s="217" t="str">
        <f>IF(ROUND(BS!R47,0)=ROUND(SUM(BS!R44:R46),0),"OK","ERROR")</f>
        <v>OK</v>
      </c>
      <c r="S112" s="217" t="str">
        <f>IF(ROUND(BS!S47,0)=ROUND(SUM(BS!S44:S46),0),"OK","ERROR")</f>
        <v>OK</v>
      </c>
      <c r="T112" s="220" t="str">
        <f>IF(ROUND(BS!T47,0)=ROUND(SUM(BS!T44:T46),0),"OK","ERROR")</f>
        <v>OK</v>
      </c>
      <c r="U112" s="256"/>
      <c r="V112" s="217" t="str">
        <f>IF(ROUND(BS!V47,0)=ROUND(SUM(BS!V44:V46),0),"OK","ERROR")</f>
        <v>OK</v>
      </c>
      <c r="W112" s="217" t="str">
        <f>IF(ROUND(BS!W47,0)=ROUND(SUM(BS!W44:W46),0),"OK","ERROR")</f>
        <v>OK</v>
      </c>
      <c r="X112" s="217" t="str">
        <f>IF(ROUND(BS!X47,0)=ROUND(SUM(BS!X44:X46),0),"OK","ERROR")</f>
        <v>OK</v>
      </c>
      <c r="Y112" s="217" t="str">
        <f>IF(ROUND(BS!Y47,0)=ROUND(SUM(BS!Y44:Y46),0),"OK","ERROR")</f>
        <v>OK</v>
      </c>
      <c r="Z112" s="220" t="str">
        <f>IF(ROUND(BS!Z47,0)=ROUND(SUM(BS!Z44:Z46),0),"OK","ERROR")</f>
        <v>OK</v>
      </c>
      <c r="AA112" s="256"/>
      <c r="AB112" s="217" t="str">
        <f>IF(ROUND(BS!AB47,0)=ROUND(SUM(BS!AB44:AB46),0),"OK","ERROR")</f>
        <v>OK</v>
      </c>
      <c r="AC112" s="217" t="str">
        <f>IF(ROUND(BS!AC47,0)=ROUND(SUM(BS!AC44:AC46),0),"OK","ERROR")</f>
        <v>OK</v>
      </c>
      <c r="AD112" s="217" t="str">
        <f>IF(ROUND(BS!AD47,0)=ROUND(SUM(BS!AD44:AD46),0),"OK","ERROR")</f>
        <v>OK</v>
      </c>
      <c r="AE112" s="217" t="str">
        <f>IF(ROUND(BS!AE47,0)=ROUND(SUM(BS!AE44:AE46),0),"OK","ERROR")</f>
        <v>OK</v>
      </c>
      <c r="AF112" s="220" t="str">
        <f>IF(ROUND(BS!AF47,0)=ROUND(SUM(BS!AF44:AF46),0),"OK","ERROR")</f>
        <v>OK</v>
      </c>
      <c r="AG112" s="285"/>
      <c r="AH112" s="217" t="str">
        <f>IF(ROUND(BS!AH47,0)=ROUND(SUM(BS!AH44:AH46),0),"OK","ERROR")</f>
        <v>OK</v>
      </c>
      <c r="AI112" s="217" t="str">
        <f>IF(ROUND(BS!AI47,0)=ROUND(SUM(BS!AI44:AI46),0),"OK","ERROR")</f>
        <v>OK</v>
      </c>
      <c r="AJ112" s="217" t="str">
        <f>IF(ROUND(BS!AJ47,0)=ROUND(SUM(BS!AJ44:AJ46),0),"OK","ERROR")</f>
        <v>OK</v>
      </c>
      <c r="AK112" s="217" t="str">
        <f>IF(ROUND(BS!AK47,0)=ROUND(SUM(BS!AK44:AK46),0),"OK","ERROR")</f>
        <v>OK</v>
      </c>
      <c r="AL112" s="220" t="str">
        <f>IF(ROUND(BS!AL47,0)=ROUND(SUM(BS!AL44:AL46),0),"OK","ERROR")</f>
        <v>OK</v>
      </c>
      <c r="AM112" s="256"/>
      <c r="AN112" s="217" t="str">
        <f>IF(ROUND(BS!AN47,0)=ROUND(SUM(BS!AN44:AN46),0),"OK","ERROR")</f>
        <v>OK</v>
      </c>
      <c r="AO112" s="217" t="str">
        <f>IF(ROUND(BS!AO47,0)=ROUND(SUM(BS!AO44:AO46),0),"OK","ERROR")</f>
        <v>OK</v>
      </c>
      <c r="AP112" s="217" t="str">
        <f>IF(ROUND(BS!AP47,0)=ROUND(SUM(BS!AP44:AP46),0),"OK","ERROR")</f>
        <v>OK</v>
      </c>
      <c r="AQ112" s="217" t="str">
        <f>IF(ROUND(BS!AQ47,0)=ROUND(SUM(BS!AQ44:AQ46),0),"OK","ERROR")</f>
        <v>OK</v>
      </c>
      <c r="AR112" s="220" t="str">
        <f>IF(ROUND(BS!AR47,0)=ROUND(SUM(BS!AR44:AR46),0),"OK","ERROR")</f>
        <v>OK</v>
      </c>
      <c r="AS112" s="256"/>
      <c r="AT112" s="220" t="str">
        <f>IF(ROUND(BS!AT47,0)=ROUND(SUM(BS!AT44:AT46),0),"OK","ERROR")</f>
        <v>OK</v>
      </c>
      <c r="AU112" s="256"/>
      <c r="AV112" s="220" t="str">
        <f>IF(ROUND(BS!AV47,0)=ROUND(SUM(BS!AV44:AV46),0),"OK","ERROR")</f>
        <v>OK</v>
      </c>
      <c r="AW112" s="261"/>
      <c r="AX112" s="220" t="str">
        <f>IF(ROUND(BS!AX47,0)=ROUND(SUM(BS!AX44:AX46),0),"OK","ERROR")</f>
        <v>OK</v>
      </c>
    </row>
    <row r="113" spans="1:50" s="41" customFormat="1" ht="15" customHeight="1">
      <c r="A113" s="43"/>
      <c r="B113" s="140" t="s">
        <v>700</v>
      </c>
      <c r="C113" s="17"/>
      <c r="D113" s="217" t="str">
        <f>IF(ROUND(BS!D48,0)=ROUND(SUM(BS!D41,BS!D47),0),"OK","ERROR")</f>
        <v>OK</v>
      </c>
      <c r="E113" s="217" t="str">
        <f>IF(ROUND(BS!E48,0)=ROUND(SUM(BS!E41,BS!E47),0),"OK","ERROR")</f>
        <v>OK</v>
      </c>
      <c r="F113" s="217" t="str">
        <f>IF(ROUND(BS!F48,0)=ROUND(SUM(BS!F41,BS!F47),0),"OK","ERROR")</f>
        <v>OK</v>
      </c>
      <c r="G113" s="217" t="str">
        <f>IF(ROUND(BS!G48,0)=ROUND(SUM(BS!G41,BS!G47),0),"OK","ERROR")</f>
        <v>OK</v>
      </c>
      <c r="H113" s="227" t="str">
        <f>IF(ROUND(BS!H48,0)=ROUND(SUM(BS!H41,BS!H47),0),"OK","ERROR")</f>
        <v>OK</v>
      </c>
      <c r="I113" s="248"/>
      <c r="J113" s="217" t="str">
        <f>IF(ROUND(BS!J48,0)=ROUND(SUM(BS!J41,BS!J47),0),"OK","ERROR")</f>
        <v>OK</v>
      </c>
      <c r="K113" s="217" t="str">
        <f>IF(ROUND(BS!K48,0)=ROUND(SUM(BS!K41,BS!K47),0),"OK","ERROR")</f>
        <v>OK</v>
      </c>
      <c r="L113" s="217" t="str">
        <f>IF(ROUND(BS!L48,0)=ROUND(SUM(BS!L41,BS!L47),0),"OK","ERROR")</f>
        <v>OK</v>
      </c>
      <c r="M113" s="217" t="str">
        <f>IF(ROUND(BS!M48,0)=ROUND(SUM(BS!M41,BS!M47),0),"OK","ERROR")</f>
        <v>OK</v>
      </c>
      <c r="N113" s="227" t="str">
        <f>IF(ROUND(BS!N48,0)=ROUND(SUM(BS!N41,BS!N47),0),"OK","ERROR")</f>
        <v>OK</v>
      </c>
      <c r="O113" s="248"/>
      <c r="P113" s="217" t="str">
        <f>IF(ROUND(BS!P48,0)=ROUND(SUM(BS!P41,BS!P47),0),"OK","ERROR")</f>
        <v>OK</v>
      </c>
      <c r="Q113" s="217" t="str">
        <f>IF(ROUND(BS!Q48,0)=ROUND(SUM(BS!Q41,BS!Q47),0),"OK","ERROR")</f>
        <v>OK</v>
      </c>
      <c r="R113" s="217" t="str">
        <f>IF(ROUND(BS!R48,0)=ROUND(SUM(BS!R41,BS!R47),0),"OK","ERROR")</f>
        <v>OK</v>
      </c>
      <c r="S113" s="217" t="str">
        <f>IF(ROUND(BS!S48,0)=ROUND(SUM(BS!S41,BS!S47),0),"OK","ERROR")</f>
        <v>OK</v>
      </c>
      <c r="T113" s="227" t="str">
        <f>IF(ROUND(BS!T48,0)=ROUND(SUM(BS!T41,BS!T47),0),"OK","ERROR")</f>
        <v>OK</v>
      </c>
      <c r="U113" s="248"/>
      <c r="V113" s="217" t="str">
        <f>IF(ROUND(BS!V48,0)=ROUND(SUM(BS!V41,BS!V47),0),"OK","ERROR")</f>
        <v>OK</v>
      </c>
      <c r="W113" s="217" t="str">
        <f>IF(ROUND(BS!W48,0)=ROUND(SUM(BS!W41,BS!W47),0),"OK","ERROR")</f>
        <v>OK</v>
      </c>
      <c r="X113" s="217" t="str">
        <f>IF(ROUND(BS!X48,0)=ROUND(SUM(BS!X41,BS!X47),0),"OK","ERROR")</f>
        <v>OK</v>
      </c>
      <c r="Y113" s="217" t="str">
        <f>IF(ROUND(BS!Y48,0)=ROUND(SUM(BS!Y41,BS!Y47),0),"OK","ERROR")</f>
        <v>OK</v>
      </c>
      <c r="Z113" s="227" t="str">
        <f>IF(ROUND(BS!Z48,0)=ROUND(SUM(BS!Z41,BS!Z47),0),"OK","ERROR")</f>
        <v>OK</v>
      </c>
      <c r="AA113" s="248"/>
      <c r="AB113" s="217" t="str">
        <f>IF(ROUND(BS!AB48,0)=ROUND(SUM(BS!AB41,BS!AB47),0),"OK","ERROR")</f>
        <v>OK</v>
      </c>
      <c r="AC113" s="217" t="str">
        <f>IF(ROUND(BS!AC48,0)=ROUND(SUM(BS!AC41,BS!AC47),0),"OK","ERROR")</f>
        <v>OK</v>
      </c>
      <c r="AD113" s="217" t="str">
        <f>IF(ROUND(BS!AD48,0)=ROUND(SUM(BS!AD41,BS!AD47),0),"OK","ERROR")</f>
        <v>OK</v>
      </c>
      <c r="AE113" s="217" t="str">
        <f>IF(ROUND(BS!AE48,0)=ROUND(SUM(BS!AE41,BS!AE47),0),"OK","ERROR")</f>
        <v>OK</v>
      </c>
      <c r="AF113" s="227" t="str">
        <f>IF(ROUND(BS!AF48,0)=ROUND(SUM(BS!AF41,BS!AF47),0),"OK","ERROR")</f>
        <v>OK</v>
      </c>
      <c r="AG113" s="284"/>
      <c r="AH113" s="217" t="str">
        <f>IF(ROUND(BS!AH48,0)=ROUND(SUM(BS!AH41,BS!AH47),0),"OK","ERROR")</f>
        <v>OK</v>
      </c>
      <c r="AI113" s="217" t="str">
        <f>IF(ROUND(BS!AI48,0)=ROUND(SUM(BS!AI41,BS!AI47),0),"OK","ERROR")</f>
        <v>OK</v>
      </c>
      <c r="AJ113" s="217" t="str">
        <f>IF(ROUND(BS!AJ48,0)=ROUND(SUM(BS!AJ41,BS!AJ47),0),"OK","ERROR")</f>
        <v>OK</v>
      </c>
      <c r="AK113" s="217" t="str">
        <f>IF(ROUND(BS!AK48,0)=ROUND(SUM(BS!AK41,BS!AK47),0),"OK","ERROR")</f>
        <v>OK</v>
      </c>
      <c r="AL113" s="227" t="str">
        <f>IF(ROUND(BS!AL48,0)=ROUND(SUM(BS!AL41,BS!AL47),0),"OK","ERROR")</f>
        <v>OK</v>
      </c>
      <c r="AM113" s="248"/>
      <c r="AN113" s="217" t="str">
        <f>IF(ROUND(BS!AN48,0)=ROUND(SUM(BS!AN41,BS!AN47),0),"OK","ERROR")</f>
        <v>OK</v>
      </c>
      <c r="AO113" s="217" t="str">
        <f>IF(ROUND(BS!AO48,0)=ROUND(SUM(BS!AO41,BS!AO47),0),"OK","ERROR")</f>
        <v>OK</v>
      </c>
      <c r="AP113" s="217" t="str">
        <f>IF(ROUND(BS!AP48,0)=ROUND(SUM(BS!AP41,BS!AP47),0),"OK","ERROR")</f>
        <v>OK</v>
      </c>
      <c r="AQ113" s="217" t="str">
        <f>IF(ROUND(BS!AQ48,0)=ROUND(SUM(BS!AQ41,BS!AQ47),0),"OK","ERROR")</f>
        <v>OK</v>
      </c>
      <c r="AR113" s="227" t="str">
        <f>IF(ROUND(BS!AR48,0)=ROUND(SUM(BS!AR41,BS!AR47),0),"OK","ERROR")</f>
        <v>OK</v>
      </c>
      <c r="AS113" s="248"/>
      <c r="AT113" s="227" t="str">
        <f>IF(ROUND(BS!AT48,0)=ROUND(SUM(BS!AT41,BS!AT47),0),"OK","ERROR")</f>
        <v>OK</v>
      </c>
      <c r="AU113" s="248"/>
      <c r="AV113" s="227" t="str">
        <f>IF(ROUND(BS!AV48,0)=ROUND(SUM(BS!AV41,BS!AV47),0),"OK","ERROR")</f>
        <v>OK</v>
      </c>
      <c r="AW113" s="255"/>
      <c r="AX113" s="227" t="str">
        <f>IF(ROUND(BS!AX48,0)=ROUND(SUM(BS!AX41,BS!AX47),0),"OK","ERROR")</f>
        <v>OK</v>
      </c>
    </row>
    <row r="114" spans="1:50" s="113" customFormat="1" ht="15" customHeight="1">
      <c r="B114" s="143"/>
      <c r="C114" s="115"/>
      <c r="D114" s="208"/>
      <c r="E114" s="208"/>
      <c r="F114" s="208"/>
      <c r="G114" s="208"/>
      <c r="H114" s="220"/>
      <c r="I114" s="256"/>
      <c r="J114" s="208"/>
      <c r="K114" s="208"/>
      <c r="L114" s="208"/>
      <c r="M114" s="208"/>
      <c r="N114" s="220"/>
      <c r="O114" s="256"/>
      <c r="P114" s="208"/>
      <c r="Q114" s="208"/>
      <c r="R114" s="208"/>
      <c r="S114" s="208"/>
      <c r="T114" s="220"/>
      <c r="U114" s="256"/>
      <c r="V114" s="208"/>
      <c r="W114" s="208"/>
      <c r="X114" s="208"/>
      <c r="Y114" s="208"/>
      <c r="Z114" s="220"/>
      <c r="AA114" s="256"/>
      <c r="AB114" s="208"/>
      <c r="AC114" s="208"/>
      <c r="AD114" s="208"/>
      <c r="AE114" s="208"/>
      <c r="AF114" s="220"/>
      <c r="AG114" s="285"/>
      <c r="AH114" s="208"/>
      <c r="AI114" s="208"/>
      <c r="AJ114" s="208"/>
      <c r="AK114" s="208"/>
      <c r="AL114" s="220"/>
      <c r="AM114" s="256"/>
      <c r="AN114" s="208"/>
      <c r="AO114" s="208"/>
      <c r="AP114" s="208"/>
      <c r="AQ114" s="208"/>
      <c r="AR114" s="220"/>
      <c r="AS114" s="256"/>
      <c r="AT114" s="220"/>
      <c r="AU114" s="256"/>
      <c r="AV114" s="220"/>
      <c r="AW114" s="261"/>
      <c r="AX114" s="220"/>
    </row>
    <row r="115" spans="1:50" s="41" customFormat="1" ht="15" customHeight="1">
      <c r="A115" s="44" t="s">
        <v>37</v>
      </c>
      <c r="B115" s="114" t="s">
        <v>701</v>
      </c>
      <c r="C115" s="17"/>
      <c r="D115" s="208"/>
      <c r="E115" s="208"/>
      <c r="F115" s="208"/>
      <c r="G115" s="208"/>
      <c r="H115" s="220"/>
      <c r="I115" s="248"/>
      <c r="J115" s="208"/>
      <c r="K115" s="208"/>
      <c r="L115" s="208"/>
      <c r="M115" s="208"/>
      <c r="N115" s="220"/>
      <c r="O115" s="248"/>
      <c r="P115" s="208"/>
      <c r="Q115" s="208"/>
      <c r="R115" s="208"/>
      <c r="S115" s="208"/>
      <c r="T115" s="220"/>
      <c r="U115" s="248"/>
      <c r="V115" s="208"/>
      <c r="W115" s="208"/>
      <c r="X115" s="208"/>
      <c r="Y115" s="208"/>
      <c r="Z115" s="220"/>
      <c r="AA115" s="248"/>
      <c r="AB115" s="208"/>
      <c r="AC115" s="208"/>
      <c r="AD115" s="208"/>
      <c r="AE115" s="208"/>
      <c r="AF115" s="220"/>
      <c r="AG115" s="284"/>
      <c r="AH115" s="208"/>
      <c r="AI115" s="208"/>
      <c r="AJ115" s="208"/>
      <c r="AK115" s="208"/>
      <c r="AL115" s="220"/>
      <c r="AM115" s="248"/>
      <c r="AN115" s="208"/>
      <c r="AO115" s="208"/>
      <c r="AP115" s="208"/>
      <c r="AQ115" s="208"/>
      <c r="AR115" s="220"/>
      <c r="AS115" s="248"/>
      <c r="AT115" s="220"/>
      <c r="AU115" s="248"/>
      <c r="AV115" s="220"/>
      <c r="AW115" s="255"/>
      <c r="AX115" s="220"/>
    </row>
    <row r="116" spans="1:50" s="113" customFormat="1" ht="15" customHeight="1">
      <c r="B116" s="138" t="s">
        <v>705</v>
      </c>
      <c r="C116" s="115"/>
      <c r="D116" s="217" t="str">
        <f>IF(ROUND(BS!D54,0)=ROUND(SUM(BS!D51:D53),0),"OK","ERROR")</f>
        <v>OK</v>
      </c>
      <c r="E116" s="217" t="str">
        <f>IF(ROUND(BS!E54,0)=ROUND(SUM(BS!E51:E53),0),"OK","ERROR")</f>
        <v>OK</v>
      </c>
      <c r="F116" s="217" t="str">
        <f>IF(ROUND(BS!F54,0)=ROUND(SUM(BS!F51:F53),0),"OK","ERROR")</f>
        <v>OK</v>
      </c>
      <c r="G116" s="217" t="str">
        <f>IF(ROUND(BS!G54,0)=ROUND(SUM(BS!G51:G53),0),"OK","ERROR")</f>
        <v>OK</v>
      </c>
      <c r="H116" s="227" t="str">
        <f>IF(ROUND(BS!H54,0)=ROUND(SUM(BS!H51:H53),0),"OK","ERROR")</f>
        <v>OK</v>
      </c>
      <c r="I116" s="256"/>
      <c r="J116" s="217" t="str">
        <f>IF(ROUND(BS!J54,0)=ROUND(SUM(BS!J51:J53),0),"OK","ERROR")</f>
        <v>OK</v>
      </c>
      <c r="K116" s="217" t="str">
        <f>IF(ROUND(BS!K54,0)=ROUND(SUM(BS!K51:K53),0),"OK","ERROR")</f>
        <v>OK</v>
      </c>
      <c r="L116" s="217" t="str">
        <f>IF(ROUND(BS!L54,0)=ROUND(SUM(BS!L51:L53),0),"OK","ERROR")</f>
        <v>OK</v>
      </c>
      <c r="M116" s="217" t="str">
        <f>IF(ROUND(BS!M54,0)=ROUND(SUM(BS!M51:M53),0),"OK","ERROR")</f>
        <v>OK</v>
      </c>
      <c r="N116" s="227" t="str">
        <f>IF(ROUND(BS!N54,0)=ROUND(SUM(BS!N51:N53),0),"OK","ERROR")</f>
        <v>OK</v>
      </c>
      <c r="O116" s="256"/>
      <c r="P116" s="217" t="str">
        <f>IF(ROUND(BS!P54,0)=ROUND(SUM(BS!P51:P53),0),"OK","ERROR")</f>
        <v>OK</v>
      </c>
      <c r="Q116" s="217" t="str">
        <f>IF(ROUND(BS!Q54,0)=ROUND(SUM(BS!Q51:Q53),0),"OK","ERROR")</f>
        <v>OK</v>
      </c>
      <c r="R116" s="217" t="str">
        <f>IF(ROUND(BS!R54,0)=ROUND(SUM(BS!R51:R53),0),"OK","ERROR")</f>
        <v>OK</v>
      </c>
      <c r="S116" s="217" t="str">
        <f>IF(ROUND(BS!S54,0)=ROUND(SUM(BS!S51:S53),0),"OK","ERROR")</f>
        <v>OK</v>
      </c>
      <c r="T116" s="227" t="str">
        <f>IF(ROUND(BS!T54,0)=ROUND(SUM(BS!T51:T53),0),"OK","ERROR")</f>
        <v>OK</v>
      </c>
      <c r="U116" s="256"/>
      <c r="V116" s="217" t="str">
        <f>IF(ROUND(BS!V54,0)=ROUND(SUM(BS!V51:V53),0),"OK","ERROR")</f>
        <v>OK</v>
      </c>
      <c r="W116" s="217" t="str">
        <f>IF(ROUND(BS!W54,0)=ROUND(SUM(BS!W51:W53),0),"OK","ERROR")</f>
        <v>OK</v>
      </c>
      <c r="X116" s="217" t="str">
        <f>IF(ROUND(BS!X54,0)=ROUND(SUM(BS!X51:X53),0),"OK","ERROR")</f>
        <v>OK</v>
      </c>
      <c r="Y116" s="217" t="str">
        <f>IF(ROUND(BS!Y54,0)=ROUND(SUM(BS!Y51:Y53),0),"OK","ERROR")</f>
        <v>OK</v>
      </c>
      <c r="Z116" s="227" t="str">
        <f>IF(ROUND(BS!Z54,0)=ROUND(SUM(BS!Z51:Z53),0),"OK","ERROR")</f>
        <v>OK</v>
      </c>
      <c r="AA116" s="256"/>
      <c r="AB116" s="217" t="str">
        <f>IF(ROUND(BS!AB54,0)=ROUND(SUM(BS!AB51:AB53),0),"OK","ERROR")</f>
        <v>OK</v>
      </c>
      <c r="AC116" s="217" t="str">
        <f>IF(ROUND(BS!AC54,0)=ROUND(SUM(BS!AC51:AC53),0),"OK","ERROR")</f>
        <v>OK</v>
      </c>
      <c r="AD116" s="217" t="str">
        <f>IF(ROUND(BS!AD54,0)=ROUND(SUM(BS!AD51:AD53),0),"OK","ERROR")</f>
        <v>OK</v>
      </c>
      <c r="AE116" s="217" t="str">
        <f>IF(ROUND(BS!AE54,0)=ROUND(SUM(BS!AE51:AE53),0),"OK","ERROR")</f>
        <v>OK</v>
      </c>
      <c r="AF116" s="227" t="str">
        <f>IF(ROUND(BS!AF54,0)=ROUND(SUM(BS!AF51:AF53),0),"OK","ERROR")</f>
        <v>OK</v>
      </c>
      <c r="AG116" s="285"/>
      <c r="AH116" s="217" t="str">
        <f>IF(ROUND(BS!AH54,0)=ROUND(SUM(BS!AH51:AH53),0),"OK","ERROR")</f>
        <v>OK</v>
      </c>
      <c r="AI116" s="217" t="str">
        <f>IF(ROUND(BS!AI54,0)=ROUND(SUM(BS!AI51:AI53),0),"OK","ERROR")</f>
        <v>OK</v>
      </c>
      <c r="AJ116" s="217" t="str">
        <f>IF(ROUND(BS!AJ54,0)=ROUND(SUM(BS!AJ51:AJ53),0),"OK","ERROR")</f>
        <v>OK</v>
      </c>
      <c r="AK116" s="217" t="str">
        <f>IF(ROUND(BS!AK54,0)=ROUND(SUM(BS!AK51:AK53),0),"OK","ERROR")</f>
        <v>OK</v>
      </c>
      <c r="AL116" s="227" t="str">
        <f>IF(ROUND(BS!AL54,0)=ROUND(SUM(BS!AL51:AL53),0),"OK","ERROR")</f>
        <v>OK</v>
      </c>
      <c r="AM116" s="256"/>
      <c r="AN116" s="217" t="str">
        <f>IF(ROUND(BS!AN54,0)=ROUND(SUM(BS!AN51:AN53),0),"OK","ERROR")</f>
        <v>OK</v>
      </c>
      <c r="AO116" s="217" t="str">
        <f>IF(ROUND(BS!AO54,0)=ROUND(SUM(BS!AO51:AO53),0),"OK","ERROR")</f>
        <v>OK</v>
      </c>
      <c r="AP116" s="217" t="str">
        <f>IF(ROUND(BS!AP54,0)=ROUND(SUM(BS!AP51:AP53),0),"OK","ERROR")</f>
        <v>OK</v>
      </c>
      <c r="AQ116" s="217" t="str">
        <f>IF(ROUND(BS!AQ54,0)=ROUND(SUM(BS!AQ51:AQ53),0),"OK","ERROR")</f>
        <v>OK</v>
      </c>
      <c r="AR116" s="227" t="str">
        <f>IF(ROUND(BS!AR54,0)=ROUND(SUM(BS!AR51:AR53),0),"OK","ERROR")</f>
        <v>OK</v>
      </c>
      <c r="AS116" s="256"/>
      <c r="AT116" s="227" t="str">
        <f>IF(ROUND(BS!AT54,0)=ROUND(SUM(BS!AT51:AT53),0),"OK","ERROR")</f>
        <v>OK</v>
      </c>
      <c r="AU116" s="256"/>
      <c r="AV116" s="227" t="str">
        <f>IF(ROUND(BS!AV54,0)=ROUND(SUM(BS!AV51:AV53),0),"OK","ERROR")</f>
        <v>OK</v>
      </c>
      <c r="AW116" s="261"/>
      <c r="AX116" s="227" t="str">
        <f>IF(ROUND(BS!AX54,0)=ROUND(SUM(BS!AX51:AX53),0),"OK","ERROR")</f>
        <v>OK</v>
      </c>
    </row>
    <row r="117" spans="1:50" s="41" customFormat="1" ht="15" customHeight="1" thickBot="1">
      <c r="A117" s="43"/>
      <c r="B117" s="140" t="s">
        <v>706</v>
      </c>
      <c r="C117" s="17"/>
      <c r="D117" s="217" t="str">
        <f>IF(ROUND(BS!D55,0)=ROUND(SUM(BS!D54,BS!D48),0),"OK","ERROR")</f>
        <v>OK</v>
      </c>
      <c r="E117" s="217" t="str">
        <f>IF(ROUND(BS!E55,0)=ROUND(SUM(BS!E54,BS!E48),0),"OK","ERROR")</f>
        <v>OK</v>
      </c>
      <c r="F117" s="217" t="str">
        <f>IF(ROUND(BS!F55,0)=ROUND(SUM(BS!F54,BS!F48),0),"OK","ERROR")</f>
        <v>OK</v>
      </c>
      <c r="G117" s="217" t="str">
        <f>IF(ROUND(BS!G55,0)=ROUND(SUM(BS!G54,BS!G48),0),"OK","ERROR")</f>
        <v>OK</v>
      </c>
      <c r="H117" s="237" t="str">
        <f>IF(ROUND(BS!H55,0)=ROUND(SUM(BS!H54,BS!H48),0),"OK","ERROR")</f>
        <v>OK</v>
      </c>
      <c r="I117" s="248"/>
      <c r="J117" s="217" t="str">
        <f>IF(ROUND(BS!J55,0)=ROUND(SUM(BS!J54,BS!J48),0),"OK","ERROR")</f>
        <v>OK</v>
      </c>
      <c r="K117" s="217" t="str">
        <f>IF(ROUND(BS!K55,0)=ROUND(SUM(BS!K54,BS!K48),0),"OK","ERROR")</f>
        <v>OK</v>
      </c>
      <c r="L117" s="217" t="str">
        <f>IF(ROUND(BS!L55,0)=ROUND(SUM(BS!L54,BS!L48),0),"OK","ERROR")</f>
        <v>OK</v>
      </c>
      <c r="M117" s="217" t="str">
        <f>IF(ROUND(BS!M55,0)=ROUND(SUM(BS!M54,BS!M48),0),"OK","ERROR")</f>
        <v>OK</v>
      </c>
      <c r="N117" s="237" t="str">
        <f>IF(ROUND(BS!N55,0)=ROUND(SUM(BS!N54,BS!N48),0),"OK","ERROR")</f>
        <v>OK</v>
      </c>
      <c r="O117" s="248"/>
      <c r="P117" s="217" t="str">
        <f>IF(ROUND(BS!P55,0)=ROUND(SUM(BS!P54,BS!P48),0),"OK","ERROR")</f>
        <v>OK</v>
      </c>
      <c r="Q117" s="217" t="str">
        <f>IF(ROUND(BS!Q55,0)=ROUND(SUM(BS!Q54,BS!Q48),0),"OK","ERROR")</f>
        <v>OK</v>
      </c>
      <c r="R117" s="217" t="str">
        <f>IF(ROUND(BS!R55,0)=ROUND(SUM(BS!R54,BS!R48),0),"OK","ERROR")</f>
        <v>OK</v>
      </c>
      <c r="S117" s="217" t="str">
        <f>IF(ROUND(BS!S55,0)=ROUND(SUM(BS!S54,BS!S48),0),"OK","ERROR")</f>
        <v>OK</v>
      </c>
      <c r="T117" s="237" t="str">
        <f>IF(ROUND(BS!T55,0)=ROUND(SUM(BS!T54,BS!T48),0),"OK","ERROR")</f>
        <v>OK</v>
      </c>
      <c r="U117" s="248"/>
      <c r="V117" s="217" t="str">
        <f>IF(ROUND(BS!V55,0)=ROUND(SUM(BS!V54,BS!V48),0),"OK","ERROR")</f>
        <v>OK</v>
      </c>
      <c r="W117" s="217" t="str">
        <f>IF(ROUND(BS!W55,0)=ROUND(SUM(BS!W54,BS!W48),0),"OK","ERROR")</f>
        <v>OK</v>
      </c>
      <c r="X117" s="217" t="str">
        <f>IF(ROUND(BS!X55,0)=ROUND(SUM(BS!X54,BS!X48),0),"OK","ERROR")</f>
        <v>OK</v>
      </c>
      <c r="Y117" s="217" t="str">
        <f>IF(ROUND(BS!Y55,0)=ROUND(SUM(BS!Y54,BS!Y48),0),"OK","ERROR")</f>
        <v>OK</v>
      </c>
      <c r="Z117" s="237" t="str">
        <f>IF(ROUND(BS!Z55,0)=ROUND(SUM(BS!Z54,BS!Z48),0),"OK","ERROR")</f>
        <v>OK</v>
      </c>
      <c r="AA117" s="248"/>
      <c r="AB117" s="217" t="str">
        <f>IF(ROUND(BS!AB55,0)=ROUND(SUM(BS!AB54,BS!AB48),0),"OK","ERROR")</f>
        <v>OK</v>
      </c>
      <c r="AC117" s="217" t="str">
        <f>IF(ROUND(BS!AC55,0)=ROUND(SUM(BS!AC54,BS!AC48),0),"OK","ERROR")</f>
        <v>OK</v>
      </c>
      <c r="AD117" s="217" t="str">
        <f>IF(ROUND(BS!AD55,0)=ROUND(SUM(BS!AD54,BS!AD48),0),"OK","ERROR")</f>
        <v>OK</v>
      </c>
      <c r="AE117" s="217" t="str">
        <f>IF(ROUND(BS!AE55,0)=ROUND(SUM(BS!AE54,BS!AE48),0),"OK","ERROR")</f>
        <v>OK</v>
      </c>
      <c r="AF117" s="237" t="str">
        <f>IF(ROUND(BS!AF55,0)=ROUND(SUM(BS!AF54,BS!AF48),0),"OK","ERROR")</f>
        <v>OK</v>
      </c>
      <c r="AG117" s="284"/>
      <c r="AH117" s="217" t="str">
        <f>IF(ROUND(BS!AH55,0)=ROUND(SUM(BS!AH54,BS!AH48),0),"OK","ERROR")</f>
        <v>OK</v>
      </c>
      <c r="AI117" s="217" t="str">
        <f>IF(ROUND(BS!AI55,0)=ROUND(SUM(BS!AI54,BS!AI48),0),"OK","ERROR")</f>
        <v>OK</v>
      </c>
      <c r="AJ117" s="217" t="str">
        <f>IF(ROUND(BS!AJ55,0)=ROUND(SUM(BS!AJ54,BS!AJ48),0),"OK","ERROR")</f>
        <v>OK</v>
      </c>
      <c r="AK117" s="217" t="str">
        <f>IF(ROUND(BS!AK55,0)=ROUND(SUM(BS!AK54,BS!AK48),0),"OK","ERROR")</f>
        <v>OK</v>
      </c>
      <c r="AL117" s="237" t="str">
        <f>IF(ROUND(BS!AL55,0)=ROUND(SUM(BS!AL54,BS!AL48),0),"OK","ERROR")</f>
        <v>OK</v>
      </c>
      <c r="AM117" s="248"/>
      <c r="AN117" s="217" t="str">
        <f>IF(ROUND(BS!AN55,0)=ROUND(SUM(BS!AN54,BS!AN48),0),"OK","ERROR")</f>
        <v>OK</v>
      </c>
      <c r="AO117" s="217" t="str">
        <f>IF(ROUND(BS!AO55,0)=ROUND(SUM(BS!AO54,BS!AO48),0),"OK","ERROR")</f>
        <v>OK</v>
      </c>
      <c r="AP117" s="217" t="str">
        <f>IF(ROUND(BS!AP55,0)=ROUND(SUM(BS!AP54,BS!AP48),0),"OK","ERROR")</f>
        <v>OK</v>
      </c>
      <c r="AQ117" s="217" t="str">
        <f>IF(ROUND(BS!AQ55,0)=ROUND(SUM(BS!AQ54,BS!AQ48),0),"OK","ERROR")</f>
        <v>OK</v>
      </c>
      <c r="AR117" s="237" t="str">
        <f>IF(ROUND(BS!AR55,0)=ROUND(SUM(BS!AR54,BS!AR48),0),"OK","ERROR")</f>
        <v>OK</v>
      </c>
      <c r="AS117" s="248"/>
      <c r="AT117" s="237" t="str">
        <f>IF(ROUND(BS!AT55,0)=ROUND(SUM(BS!AT54,BS!AT48),0),"OK","ERROR")</f>
        <v>OK</v>
      </c>
      <c r="AU117" s="248"/>
      <c r="AV117" s="237" t="str">
        <f>IF(ROUND(BS!AV55,0)=ROUND(SUM(BS!AV54,BS!AV48),0),"OK","ERROR")</f>
        <v>OK</v>
      </c>
      <c r="AW117" s="255"/>
      <c r="AX117" s="237" t="str">
        <f>IF(ROUND(BS!AX55,0)=ROUND(SUM(BS!AX54,BS!AX48),0),"OK","ERROR")</f>
        <v>OK</v>
      </c>
    </row>
    <row r="118" spans="1:50" ht="14.25" customHeight="1" thickTop="1"/>
    <row r="119" spans="1:50" s="41" customFormat="1" ht="15" customHeight="1">
      <c r="A119" s="44" t="s">
        <v>37</v>
      </c>
      <c r="B119" s="161" t="s">
        <v>741</v>
      </c>
      <c r="C119" s="18"/>
      <c r="D119" s="202">
        <f>F119</f>
        <v>2020</v>
      </c>
      <c r="E119" s="202">
        <f>F119</f>
        <v>2020</v>
      </c>
      <c r="F119" s="202">
        <v>2020</v>
      </c>
      <c r="G119" s="202">
        <f>F119</f>
        <v>2020</v>
      </c>
      <c r="H119" s="202">
        <f>F119</f>
        <v>2020</v>
      </c>
      <c r="I119" s="18"/>
      <c r="J119" s="202">
        <f>L119</f>
        <v>2021</v>
      </c>
      <c r="K119" s="202">
        <f>L119</f>
        <v>2021</v>
      </c>
      <c r="L119" s="202">
        <v>2021</v>
      </c>
      <c r="M119" s="202">
        <f>L119</f>
        <v>2021</v>
      </c>
      <c r="N119" s="202">
        <f>L119</f>
        <v>2021</v>
      </c>
      <c r="O119" s="169"/>
      <c r="P119" s="202">
        <f>R119</f>
        <v>2022</v>
      </c>
      <c r="Q119" s="202">
        <f>R119</f>
        <v>2022</v>
      </c>
      <c r="R119" s="202">
        <v>2022</v>
      </c>
      <c r="S119" s="202">
        <f>R119</f>
        <v>2022</v>
      </c>
      <c r="T119" s="202">
        <f>R119</f>
        <v>2022</v>
      </c>
      <c r="U119" s="169"/>
      <c r="V119" s="202">
        <f>X119</f>
        <v>2023</v>
      </c>
      <c r="W119" s="202">
        <f>X119</f>
        <v>2023</v>
      </c>
      <c r="X119" s="202">
        <v>2023</v>
      </c>
      <c r="Y119" s="202">
        <f>X119</f>
        <v>2023</v>
      </c>
      <c r="Z119" s="202">
        <f>X119</f>
        <v>2023</v>
      </c>
      <c r="AA119" s="170"/>
      <c r="AB119" s="202">
        <f>AD119</f>
        <v>2024</v>
      </c>
      <c r="AC119" s="202">
        <f>AD119</f>
        <v>2024</v>
      </c>
      <c r="AD119" s="202">
        <v>2024</v>
      </c>
      <c r="AE119" s="202">
        <f>AD119</f>
        <v>2024</v>
      </c>
      <c r="AF119" s="202">
        <f>AD119</f>
        <v>2024</v>
      </c>
      <c r="AG119" s="170"/>
      <c r="AH119" s="202">
        <f>AJ119</f>
        <v>2025</v>
      </c>
      <c r="AI119" s="202">
        <f>AJ119</f>
        <v>2025</v>
      </c>
      <c r="AJ119" s="203">
        <v>2025</v>
      </c>
      <c r="AK119" s="202">
        <f>AJ119</f>
        <v>2025</v>
      </c>
      <c r="AL119" s="202">
        <f>AJ119</f>
        <v>2025</v>
      </c>
      <c r="AM119" s="171"/>
      <c r="AN119" s="202">
        <f>AP119</f>
        <v>2025</v>
      </c>
      <c r="AO119" s="202">
        <f>AP119</f>
        <v>2025</v>
      </c>
      <c r="AP119" s="203">
        <v>2025</v>
      </c>
      <c r="AQ119" s="202">
        <f>AP119</f>
        <v>2025</v>
      </c>
      <c r="AR119" s="202">
        <f>AP119</f>
        <v>2025</v>
      </c>
      <c r="AS119" s="18"/>
      <c r="AT119" s="162"/>
      <c r="AU119" s="18"/>
      <c r="AV119" s="163"/>
      <c r="AW119" s="18"/>
      <c r="AX119" s="163"/>
    </row>
    <row r="120" spans="1:50" s="41" customFormat="1" ht="15" customHeight="1">
      <c r="B120" s="164"/>
      <c r="C120" s="18"/>
      <c r="D120" s="779">
        <v>2020</v>
      </c>
      <c r="E120" s="779"/>
      <c r="F120" s="779"/>
      <c r="G120" s="779"/>
      <c r="H120" s="779"/>
      <c r="I120" s="169"/>
      <c r="J120" s="779">
        <f>D120+1</f>
        <v>2021</v>
      </c>
      <c r="K120" s="779"/>
      <c r="L120" s="779"/>
      <c r="M120" s="779"/>
      <c r="N120" s="779"/>
      <c r="O120" s="169"/>
      <c r="P120" s="779">
        <f>J120+1</f>
        <v>2022</v>
      </c>
      <c r="Q120" s="779"/>
      <c r="R120" s="779"/>
      <c r="S120" s="779"/>
      <c r="T120" s="779"/>
      <c r="U120" s="169"/>
      <c r="V120" s="779">
        <f>P120+1</f>
        <v>2023</v>
      </c>
      <c r="W120" s="779"/>
      <c r="X120" s="779"/>
      <c r="Y120" s="779"/>
      <c r="Z120" s="779"/>
      <c r="AA120" s="169"/>
      <c r="AB120" s="779">
        <f>V120+1</f>
        <v>2024</v>
      </c>
      <c r="AC120" s="779"/>
      <c r="AD120" s="779"/>
      <c r="AE120" s="779"/>
      <c r="AF120" s="779"/>
      <c r="AG120" s="169"/>
      <c r="AH120" s="777">
        <f>AB120+1</f>
        <v>2025</v>
      </c>
      <c r="AI120" s="777"/>
      <c r="AJ120" s="777"/>
      <c r="AK120" s="777"/>
      <c r="AL120" s="777"/>
      <c r="AM120" s="169"/>
      <c r="AN120" s="777">
        <f>AH120+1</f>
        <v>2026</v>
      </c>
      <c r="AO120" s="777"/>
      <c r="AP120" s="777"/>
      <c r="AQ120" s="777"/>
      <c r="AR120" s="777"/>
      <c r="AS120" s="171"/>
      <c r="AT120" s="166">
        <f>AN120+1</f>
        <v>2027</v>
      </c>
      <c r="AU120" s="167"/>
      <c r="AV120" s="166">
        <f>+AT120+1</f>
        <v>2028</v>
      </c>
      <c r="AW120" s="167"/>
      <c r="AX120" s="166">
        <f>+AV120+1</f>
        <v>2029</v>
      </c>
    </row>
    <row r="121" spans="1:50" s="41" customFormat="1" ht="15" customHeight="1">
      <c r="B121" s="164"/>
      <c r="C121" s="18"/>
      <c r="D121" s="168" t="s">
        <v>243</v>
      </c>
      <c r="E121" s="168" t="s">
        <v>244</v>
      </c>
      <c r="F121" s="168" t="s">
        <v>245</v>
      </c>
      <c r="G121" s="168" t="s">
        <v>246</v>
      </c>
      <c r="H121" s="168" t="s">
        <v>247</v>
      </c>
      <c r="I121" s="18"/>
      <c r="J121" s="168" t="s">
        <v>243</v>
      </c>
      <c r="K121" s="168" t="s">
        <v>244</v>
      </c>
      <c r="L121" s="168" t="s">
        <v>245</v>
      </c>
      <c r="M121" s="168" t="s">
        <v>246</v>
      </c>
      <c r="N121" s="168" t="s">
        <v>247</v>
      </c>
      <c r="O121" s="165"/>
      <c r="P121" s="168" t="s">
        <v>243</v>
      </c>
      <c r="Q121" s="168" t="s">
        <v>244</v>
      </c>
      <c r="R121" s="168" t="s">
        <v>245</v>
      </c>
      <c r="S121" s="168" t="s">
        <v>246</v>
      </c>
      <c r="T121" s="168" t="s">
        <v>247</v>
      </c>
      <c r="U121" s="165"/>
      <c r="V121" s="168" t="s">
        <v>243</v>
      </c>
      <c r="W121" s="168" t="s">
        <v>244</v>
      </c>
      <c r="X121" s="168" t="s">
        <v>245</v>
      </c>
      <c r="Y121" s="168" t="s">
        <v>246</v>
      </c>
      <c r="Z121" s="168" t="s">
        <v>247</v>
      </c>
      <c r="AA121" s="165"/>
      <c r="AB121" s="168" t="s">
        <v>243</v>
      </c>
      <c r="AC121" s="168" t="s">
        <v>244</v>
      </c>
      <c r="AD121" s="168" t="s">
        <v>245</v>
      </c>
      <c r="AE121" s="168" t="s">
        <v>246</v>
      </c>
      <c r="AF121" s="168" t="s">
        <v>247</v>
      </c>
      <c r="AG121" s="165"/>
      <c r="AH121" s="168" t="s">
        <v>243</v>
      </c>
      <c r="AI121" s="168" t="s">
        <v>244</v>
      </c>
      <c r="AJ121" s="168" t="s">
        <v>245</v>
      </c>
      <c r="AK121" s="168" t="s">
        <v>246</v>
      </c>
      <c r="AL121" s="168" t="s">
        <v>247</v>
      </c>
      <c r="AM121" s="165"/>
      <c r="AN121" s="168" t="s">
        <v>243</v>
      </c>
      <c r="AO121" s="168" t="s">
        <v>244</v>
      </c>
      <c r="AP121" s="168" t="s">
        <v>245</v>
      </c>
      <c r="AQ121" s="168" t="s">
        <v>246</v>
      </c>
      <c r="AR121" s="168" t="s">
        <v>247</v>
      </c>
      <c r="AS121" s="165"/>
      <c r="AT121" s="168" t="s">
        <v>247</v>
      </c>
      <c r="AU121" s="165"/>
      <c r="AV121" s="168" t="s">
        <v>247</v>
      </c>
      <c r="AW121" s="165"/>
      <c r="AX121" s="168" t="s">
        <v>247</v>
      </c>
    </row>
    <row r="122" spans="1:50" s="41" customFormat="1" ht="4.3499999999999996" customHeight="1">
      <c r="A122" s="43"/>
      <c r="B122" s="176"/>
      <c r="C122" s="35"/>
      <c r="D122" s="177"/>
      <c r="E122" s="177"/>
      <c r="F122" s="177"/>
      <c r="G122" s="177"/>
      <c r="H122" s="177"/>
      <c r="I122" s="35"/>
      <c r="J122" s="177"/>
      <c r="K122" s="177"/>
      <c r="L122" s="177"/>
      <c r="M122" s="177"/>
      <c r="N122" s="177"/>
      <c r="O122" s="178"/>
      <c r="P122" s="177"/>
      <c r="Q122" s="177"/>
      <c r="R122" s="177"/>
      <c r="S122" s="177"/>
      <c r="T122" s="177"/>
      <c r="U122" s="178"/>
      <c r="V122" s="177"/>
      <c r="W122" s="177"/>
      <c r="X122" s="177"/>
      <c r="Y122" s="177"/>
      <c r="Z122" s="177"/>
      <c r="AA122" s="178"/>
      <c r="AB122" s="177"/>
      <c r="AC122" s="177"/>
      <c r="AD122" s="177"/>
      <c r="AE122" s="177"/>
      <c r="AF122" s="177"/>
      <c r="AG122" s="178"/>
      <c r="AH122" s="177"/>
      <c r="AI122" s="177"/>
      <c r="AJ122" s="177"/>
      <c r="AK122" s="177"/>
      <c r="AL122" s="179"/>
      <c r="AM122" s="180"/>
      <c r="AN122" s="179"/>
      <c r="AO122" s="179"/>
      <c r="AP122" s="179"/>
      <c r="AQ122" s="179"/>
      <c r="AR122" s="179"/>
      <c r="AS122" s="180"/>
      <c r="AT122" s="179"/>
      <c r="AU122" s="180"/>
      <c r="AV122" s="179"/>
      <c r="AW122" s="180"/>
      <c r="AX122" s="179"/>
    </row>
    <row r="123" spans="1:50" s="41" customFormat="1" ht="4.3499999999999996" customHeight="1">
      <c r="A123" s="43"/>
      <c r="B123" s="172"/>
      <c r="C123" s="19"/>
      <c r="D123" s="173"/>
      <c r="E123" s="173"/>
      <c r="F123" s="173"/>
      <c r="G123" s="173"/>
      <c r="H123" s="173"/>
      <c r="I123" s="19"/>
      <c r="J123" s="173"/>
      <c r="K123" s="173"/>
      <c r="L123" s="173"/>
      <c r="M123" s="173"/>
      <c r="N123" s="173"/>
      <c r="O123" s="174"/>
      <c r="P123" s="173"/>
      <c r="Q123" s="173"/>
      <c r="R123" s="173"/>
      <c r="S123" s="173"/>
      <c r="T123" s="173"/>
      <c r="U123" s="174"/>
      <c r="V123" s="173"/>
      <c r="W123" s="173"/>
      <c r="X123" s="173"/>
      <c r="Y123" s="173"/>
      <c r="Z123" s="173"/>
      <c r="AA123" s="174"/>
      <c r="AB123" s="173"/>
      <c r="AC123" s="173"/>
      <c r="AD123" s="173"/>
      <c r="AE123" s="173"/>
      <c r="AF123" s="173"/>
      <c r="AG123" s="204"/>
      <c r="AH123" s="173"/>
      <c r="AI123" s="173"/>
      <c r="AJ123" s="173"/>
      <c r="AK123" s="173"/>
      <c r="AL123" s="175"/>
      <c r="AM123" s="34"/>
      <c r="AN123" s="175"/>
      <c r="AO123" s="175"/>
      <c r="AP123" s="175"/>
      <c r="AQ123" s="175"/>
      <c r="AR123" s="175"/>
      <c r="AS123" s="34"/>
      <c r="AT123" s="175"/>
      <c r="AU123" s="34"/>
      <c r="AV123" s="175"/>
      <c r="AW123" s="34"/>
      <c r="AX123" s="175"/>
    </row>
    <row r="124" spans="1:50" s="54" customFormat="1" ht="15" customHeight="1">
      <c r="A124" s="44" t="s">
        <v>37</v>
      </c>
      <c r="B124" s="154" t="s">
        <v>709</v>
      </c>
      <c r="C124" s="17"/>
      <c r="D124" s="208"/>
      <c r="E124" s="208"/>
      <c r="F124" s="208"/>
      <c r="G124" s="208"/>
      <c r="H124" s="220"/>
      <c r="I124" s="210"/>
      <c r="J124" s="208"/>
      <c r="K124" s="208"/>
      <c r="L124" s="208"/>
      <c r="M124" s="208"/>
      <c r="N124" s="220"/>
      <c r="O124" s="209"/>
      <c r="P124" s="208"/>
      <c r="Q124" s="208"/>
      <c r="R124" s="208"/>
      <c r="S124" s="208"/>
      <c r="T124" s="220"/>
      <c r="U124" s="209"/>
      <c r="V124" s="208"/>
      <c r="W124" s="208"/>
      <c r="X124" s="208"/>
      <c r="Y124" s="208"/>
      <c r="Z124" s="220"/>
      <c r="AA124" s="209"/>
      <c r="AB124" s="208"/>
      <c r="AC124" s="208"/>
      <c r="AD124" s="208"/>
      <c r="AE124" s="208"/>
      <c r="AF124" s="220"/>
      <c r="AG124" s="211"/>
      <c r="AH124" s="208"/>
      <c r="AI124" s="208"/>
      <c r="AJ124" s="212"/>
      <c r="AK124" s="212"/>
      <c r="AL124" s="222"/>
      <c r="AM124" s="215"/>
      <c r="AN124" s="212"/>
      <c r="AO124" s="212"/>
      <c r="AP124" s="212"/>
      <c r="AQ124" s="212"/>
      <c r="AR124" s="222"/>
      <c r="AS124" s="215"/>
      <c r="AT124" s="222"/>
      <c r="AU124" s="215"/>
      <c r="AV124" s="222"/>
      <c r="AW124" s="246"/>
      <c r="AX124" s="246"/>
    </row>
    <row r="125" spans="1:50" s="54" customFormat="1" ht="15" customHeight="1">
      <c r="A125" s="43"/>
      <c r="B125" s="155" t="s">
        <v>710</v>
      </c>
      <c r="C125" s="17"/>
      <c r="D125" s="217"/>
      <c r="E125" s="217"/>
      <c r="F125" s="217"/>
      <c r="G125" s="217"/>
      <c r="H125" s="216" t="str">
        <f>IF(ROUND(CF!H15,0)=ROUND(SUM(CF!D15:G15),0),"OK","ERROR")</f>
        <v>OK</v>
      </c>
      <c r="I125" s="210"/>
      <c r="J125" s="217"/>
      <c r="K125" s="217"/>
      <c r="L125" s="217"/>
      <c r="M125" s="217"/>
      <c r="N125" s="216" t="str">
        <f>IF(ROUND(CF!N15,0)=ROUND(SUM(CF!J15:M15),0),"OK","ERROR")</f>
        <v>OK</v>
      </c>
      <c r="O125" s="209"/>
      <c r="P125" s="217"/>
      <c r="Q125" s="217"/>
      <c r="R125" s="217"/>
      <c r="S125" s="217"/>
      <c r="T125" s="216" t="str">
        <f>IF(ROUND(CF!T15,0)=ROUND(SUM(CF!P15:S15),0),"OK","ERROR")</f>
        <v>OK</v>
      </c>
      <c r="U125" s="209"/>
      <c r="V125" s="217"/>
      <c r="W125" s="217"/>
      <c r="X125" s="217"/>
      <c r="Y125" s="217"/>
      <c r="Z125" s="216" t="str">
        <f>IF(ROUND(CF!Z15,0)=ROUND(SUM(CF!V15:Y15),0),"OK","ERROR")</f>
        <v>OK</v>
      </c>
      <c r="AA125" s="209"/>
      <c r="AB125" s="217"/>
      <c r="AC125" s="217"/>
      <c r="AD125" s="217"/>
      <c r="AE125" s="217"/>
      <c r="AF125" s="216" t="str">
        <f>IF(ROUND(CF!AF15,0)=ROUND(SUM(CF!AB15:AE15),0),"OK","ERROR")</f>
        <v>OK</v>
      </c>
      <c r="AG125" s="211"/>
      <c r="AH125" s="217"/>
      <c r="AI125" s="217"/>
      <c r="AJ125" s="212"/>
      <c r="AK125" s="212"/>
      <c r="AL125" s="216" t="str">
        <f>IF(ROUND(CF!AL15,0)=ROUND(SUM(CF!AH15:AK15),0),"OK","ERROR")</f>
        <v>ERROR</v>
      </c>
      <c r="AM125" s="215"/>
      <c r="AN125" s="212"/>
      <c r="AO125" s="212"/>
      <c r="AP125" s="212"/>
      <c r="AQ125" s="212"/>
      <c r="AR125" s="216" t="str">
        <f>IF(ROUND(CF!AR15,0)=ROUND(SUM(CF!AN15:AQ15),0),"OK","ERROR")</f>
        <v>OK</v>
      </c>
      <c r="AS125" s="215"/>
      <c r="AT125" s="216" t="str">
        <f>IF(ROUND(CF!AT15,0)=ROUND(SUM(CF!AP15:AS15),0),"OK","ERROR")</f>
        <v>OK</v>
      </c>
      <c r="AU125" s="215"/>
      <c r="AV125" s="216" t="str">
        <f>IF(ROUND(CF!AV15,0)=ROUND(SUM(CF!AR15:AU15),0),"OK","ERROR")</f>
        <v>OK</v>
      </c>
      <c r="AW125" s="246"/>
      <c r="AX125" s="216" t="str">
        <f>IF(ROUND(CF!AX15,0)=ROUND(SUM(CF!AT15:AW15),0),"OK","ERROR")</f>
        <v>OK</v>
      </c>
    </row>
    <row r="126" spans="1:50" s="54" customFormat="1" ht="15" customHeight="1">
      <c r="A126" s="43"/>
      <c r="B126" s="155" t="s">
        <v>711</v>
      </c>
      <c r="C126" s="17"/>
      <c r="D126" s="208"/>
      <c r="E126" s="208"/>
      <c r="F126" s="208"/>
      <c r="G126" s="208"/>
      <c r="H126" s="216"/>
      <c r="I126" s="210"/>
      <c r="J126" s="208"/>
      <c r="K126" s="208"/>
      <c r="L126" s="208"/>
      <c r="M126" s="208"/>
      <c r="N126" s="216"/>
      <c r="O126" s="216"/>
      <c r="P126" s="208"/>
      <c r="Q126" s="208"/>
      <c r="R126" s="208"/>
      <c r="S126" s="208"/>
      <c r="T126" s="216"/>
      <c r="U126" s="216"/>
      <c r="V126" s="208"/>
      <c r="W126" s="208"/>
      <c r="X126" s="208"/>
      <c r="Y126" s="208"/>
      <c r="Z126" s="216"/>
      <c r="AA126" s="216"/>
      <c r="AB126" s="208"/>
      <c r="AC126" s="208"/>
      <c r="AD126" s="208"/>
      <c r="AE126" s="208"/>
      <c r="AF126" s="216"/>
      <c r="AG126" s="211"/>
      <c r="AH126" s="208"/>
      <c r="AI126" s="208"/>
      <c r="AJ126" s="212"/>
      <c r="AK126" s="212"/>
      <c r="AL126" s="216"/>
      <c r="AM126" s="215"/>
      <c r="AN126" s="212"/>
      <c r="AO126" s="212"/>
      <c r="AP126" s="212"/>
      <c r="AQ126" s="212"/>
      <c r="AR126" s="216"/>
      <c r="AS126" s="215"/>
      <c r="AT126" s="216"/>
      <c r="AU126" s="215"/>
      <c r="AV126" s="216"/>
      <c r="AW126" s="246"/>
      <c r="AX126" s="216"/>
    </row>
    <row r="127" spans="1:50" s="54" customFormat="1" ht="15" customHeight="1">
      <c r="A127" s="43"/>
      <c r="B127" s="156" t="s">
        <v>641</v>
      </c>
      <c r="C127" s="17"/>
      <c r="D127" s="217"/>
      <c r="E127" s="217"/>
      <c r="F127" s="217"/>
      <c r="G127" s="217"/>
      <c r="H127" s="216" t="str">
        <f>IF(ROUND(CF!H17,0)=ROUND(SUM(CF!D17:G17),0),"OK","ERROR")</f>
        <v>OK</v>
      </c>
      <c r="I127" s="210"/>
      <c r="J127" s="217"/>
      <c r="K127" s="217"/>
      <c r="L127" s="217"/>
      <c r="M127" s="217"/>
      <c r="N127" s="216" t="str">
        <f>IF(ROUND(CF!N17,0)=ROUND(SUM(CF!J17:M17),0),"OK","ERROR")</f>
        <v>OK</v>
      </c>
      <c r="O127" s="209"/>
      <c r="P127" s="217"/>
      <c r="Q127" s="217"/>
      <c r="R127" s="217"/>
      <c r="S127" s="217"/>
      <c r="T127" s="216" t="str">
        <f>IF(ROUND(CF!T17,0)=ROUND(SUM(CF!P17:S17),0),"OK","ERROR")</f>
        <v>OK</v>
      </c>
      <c r="U127" s="209"/>
      <c r="V127" s="217"/>
      <c r="W127" s="217"/>
      <c r="X127" s="217"/>
      <c r="Y127" s="217"/>
      <c r="Z127" s="216" t="str">
        <f>IF(ROUND(CF!Z17,0)=ROUND(SUM(CF!V17:Y17),0),"OK","ERROR")</f>
        <v>OK</v>
      </c>
      <c r="AA127" s="209"/>
      <c r="AB127" s="217"/>
      <c r="AC127" s="217"/>
      <c r="AD127" s="217"/>
      <c r="AE127" s="217"/>
      <c r="AF127" s="216" t="str">
        <f>IF(ROUND(CF!AF17,0)=ROUND(SUM(CF!AB17:AE17),0),"OK","ERROR")</f>
        <v>OK</v>
      </c>
      <c r="AG127" s="211"/>
      <c r="AH127" s="217"/>
      <c r="AI127" s="217"/>
      <c r="AJ127" s="212"/>
      <c r="AK127" s="212"/>
      <c r="AL127" s="216" t="str">
        <f>IF(ROUND(CF!AL17,0)=ROUND(SUM(CF!AH17:AK17),0),"OK","ERROR")</f>
        <v>ERROR</v>
      </c>
      <c r="AM127" s="215"/>
      <c r="AN127" s="212"/>
      <c r="AO127" s="212"/>
      <c r="AP127" s="212"/>
      <c r="AQ127" s="212"/>
      <c r="AR127" s="216" t="str">
        <f>IF(ROUND(CF!AR17,0)=ROUND(SUM(CF!AN17:AQ17),0),"OK","ERROR")</f>
        <v>OK</v>
      </c>
      <c r="AS127" s="215"/>
      <c r="AT127" s="216" t="str">
        <f>IF(ROUND(CF!AT17,0)=ROUND(SUM(CF!AP17:AS17),0),"OK","ERROR")</f>
        <v>OK</v>
      </c>
      <c r="AU127" s="215"/>
      <c r="AV127" s="216" t="str">
        <f>IF(ROUND(CF!AV17,0)=ROUND(SUM(CF!AR17:AU17),0),"OK","ERROR")</f>
        <v>OK</v>
      </c>
      <c r="AW127" s="246"/>
      <c r="AX127" s="216" t="str">
        <f>IF(ROUND(CF!AX17,0)=ROUND(SUM(CF!AT17:AW17),0),"OK","ERROR")</f>
        <v>OK</v>
      </c>
    </row>
    <row r="128" spans="1:50" s="54" customFormat="1" ht="15" customHeight="1">
      <c r="A128" s="43"/>
      <c r="B128" s="156" t="s">
        <v>742</v>
      </c>
      <c r="C128" s="17"/>
      <c r="D128" s="217"/>
      <c r="E128" s="217"/>
      <c r="F128" s="217"/>
      <c r="G128" s="217"/>
      <c r="H128" s="216" t="str">
        <f>IF(ROUND(CF!H18,0)=ROUND(SUM(CF!D18:G18),0),"OK","ERROR")</f>
        <v>OK</v>
      </c>
      <c r="I128" s="210"/>
      <c r="J128" s="217"/>
      <c r="K128" s="217"/>
      <c r="L128" s="217"/>
      <c r="M128" s="217"/>
      <c r="N128" s="216" t="str">
        <f>IF(ROUND(CF!N18,0)=ROUND(SUM(CF!J18:M18),0),"OK","ERROR")</f>
        <v>OK</v>
      </c>
      <c r="O128" s="209"/>
      <c r="P128" s="217"/>
      <c r="Q128" s="217"/>
      <c r="R128" s="217"/>
      <c r="S128" s="217"/>
      <c r="T128" s="216" t="str">
        <f>IF(ROUND(CF!T18,0)=ROUND(SUM(CF!P18:S18),0),"OK","ERROR")</f>
        <v>OK</v>
      </c>
      <c r="U128" s="209"/>
      <c r="V128" s="217"/>
      <c r="W128" s="217"/>
      <c r="X128" s="217"/>
      <c r="Y128" s="217"/>
      <c r="Z128" s="216" t="str">
        <f>IF(ROUND(CF!Z18,0)=ROUND(SUM(CF!V18:Y18),0),"OK","ERROR")</f>
        <v>OK</v>
      </c>
      <c r="AA128" s="209"/>
      <c r="AB128" s="217"/>
      <c r="AC128" s="217"/>
      <c r="AD128" s="217"/>
      <c r="AE128" s="217"/>
      <c r="AF128" s="216" t="str">
        <f>IF(ROUND(CF!AF18,0)=ROUND(SUM(CF!AB18:AE18),0),"OK","ERROR")</f>
        <v>OK</v>
      </c>
      <c r="AG128" s="211"/>
      <c r="AH128" s="217"/>
      <c r="AI128" s="217"/>
      <c r="AJ128" s="212"/>
      <c r="AK128" s="212"/>
      <c r="AL128" s="216" t="str">
        <f>IF(ROUND(CF!AL18,0)=ROUND(SUM(CF!AH18:AK18),0),"OK","ERROR")</f>
        <v>ERROR</v>
      </c>
      <c r="AM128" s="215"/>
      <c r="AN128" s="212"/>
      <c r="AO128" s="212"/>
      <c r="AP128" s="212"/>
      <c r="AQ128" s="212"/>
      <c r="AR128" s="216" t="str">
        <f>IF(ROUND(CF!AR18,0)=ROUND(SUM(CF!AN18:AQ18),0),"OK","ERROR")</f>
        <v>OK</v>
      </c>
      <c r="AS128" s="215"/>
      <c r="AT128" s="216" t="str">
        <f>IF(ROUND(CF!AT18,0)=ROUND(SUM(CF!AP18:AS18),0),"OK","ERROR")</f>
        <v>OK</v>
      </c>
      <c r="AU128" s="215"/>
      <c r="AV128" s="216" t="str">
        <f>IF(ROUND(CF!AV18,0)=ROUND(SUM(CF!AR18:AU18),0),"OK","ERROR")</f>
        <v>OK</v>
      </c>
      <c r="AW128" s="246"/>
      <c r="AX128" s="216" t="str">
        <f>IF(ROUND(CF!AX18,0)=ROUND(SUM(CF!AT18:AW18),0),"OK","ERROR")</f>
        <v>OK</v>
      </c>
    </row>
    <row r="129" spans="1:50" s="54" customFormat="1" ht="15" customHeight="1">
      <c r="A129" s="113"/>
      <c r="B129" s="156" t="s">
        <v>116</v>
      </c>
      <c r="C129" s="115"/>
      <c r="D129" s="217"/>
      <c r="E129" s="217"/>
      <c r="F129" s="217"/>
      <c r="G129" s="217"/>
      <c r="H129" s="216" t="str">
        <f>IF(ROUND(CF!H19,0)=ROUND(SUM(CF!D19:G19),0),"OK","ERROR")</f>
        <v>ERROR</v>
      </c>
      <c r="I129" s="210"/>
      <c r="J129" s="217"/>
      <c r="K129" s="217"/>
      <c r="L129" s="217"/>
      <c r="M129" s="217"/>
      <c r="N129" s="216" t="str">
        <f>IF(ROUND(CF!N19,0)=ROUND(SUM(CF!J19:M19),0),"OK","ERROR")</f>
        <v>OK</v>
      </c>
      <c r="O129" s="210"/>
      <c r="P129" s="217"/>
      <c r="Q129" s="217"/>
      <c r="R129" s="217"/>
      <c r="S129" s="217"/>
      <c r="T129" s="216" t="str">
        <f>IF(ROUND(CF!T19,0)=ROUND(SUM(CF!P19:S19),0),"OK","ERROR")</f>
        <v>OK</v>
      </c>
      <c r="U129" s="210"/>
      <c r="V129" s="217"/>
      <c r="W129" s="217"/>
      <c r="X129" s="217"/>
      <c r="Y129" s="217"/>
      <c r="Z129" s="216" t="str">
        <f>IF(ROUND(CF!Z19,0)=ROUND(SUM(CF!V19:Y19),0),"OK","ERROR")</f>
        <v>ERROR</v>
      </c>
      <c r="AA129" s="213"/>
      <c r="AB129" s="217"/>
      <c r="AC129" s="217"/>
      <c r="AD129" s="217"/>
      <c r="AE129" s="217"/>
      <c r="AF129" s="216" t="str">
        <f>IF(ROUND(CF!AF19,0)=ROUND(SUM(CF!AB19:AE19),0),"OK","ERROR")</f>
        <v>OK</v>
      </c>
      <c r="AG129" s="211"/>
      <c r="AH129" s="217"/>
      <c r="AI129" s="217"/>
      <c r="AJ129" s="212"/>
      <c r="AK129" s="212"/>
      <c r="AL129" s="216" t="str">
        <f>IF(ROUND(CF!AL19,0)=ROUND(SUM(CF!AH19:AK19),0),"OK","ERROR")</f>
        <v>ERROR</v>
      </c>
      <c r="AM129" s="223"/>
      <c r="AN129" s="212"/>
      <c r="AO129" s="212"/>
      <c r="AP129" s="212"/>
      <c r="AQ129" s="212"/>
      <c r="AR129" s="216" t="str">
        <f>IF(ROUND(CF!AR19,0)=ROUND(SUM(CF!AN19:AQ19),0),"OK","ERROR")</f>
        <v>OK</v>
      </c>
      <c r="AS129" s="223"/>
      <c r="AT129" s="216" t="str">
        <f>IF(ROUND(CF!AT19,0)=ROUND(SUM(CF!AP19:AS19),0),"OK","ERROR")</f>
        <v>OK</v>
      </c>
      <c r="AU129" s="223"/>
      <c r="AV129" s="216" t="str">
        <f>IF(ROUND(CF!AV19,0)=ROUND(SUM(CF!AR19:AU19),0),"OK","ERROR")</f>
        <v>OK</v>
      </c>
      <c r="AW129" s="246"/>
      <c r="AX129" s="216" t="str">
        <f>IF(ROUND(CF!AX19,0)=ROUND(SUM(CF!AT19:AW19),0),"OK","ERROR")</f>
        <v>OK</v>
      </c>
    </row>
    <row r="130" spans="1:50" s="54" customFormat="1" ht="15" customHeight="1">
      <c r="A130" s="43"/>
      <c r="B130" s="155" t="s">
        <v>713</v>
      </c>
      <c r="C130" s="17"/>
      <c r="D130" s="208"/>
      <c r="E130" s="208"/>
      <c r="F130" s="208"/>
      <c r="G130" s="208"/>
      <c r="H130" s="220"/>
      <c r="I130" s="210"/>
      <c r="J130" s="208"/>
      <c r="K130" s="208"/>
      <c r="L130" s="208"/>
      <c r="M130" s="208"/>
      <c r="N130" s="220"/>
      <c r="O130" s="210"/>
      <c r="P130" s="208"/>
      <c r="Q130" s="208"/>
      <c r="R130" s="208"/>
      <c r="S130" s="208"/>
      <c r="T130" s="220"/>
      <c r="U130" s="210"/>
      <c r="V130" s="208"/>
      <c r="W130" s="208"/>
      <c r="X130" s="208"/>
      <c r="Y130" s="208"/>
      <c r="Z130" s="220"/>
      <c r="AA130" s="213"/>
      <c r="AB130" s="208"/>
      <c r="AC130" s="208"/>
      <c r="AD130" s="208"/>
      <c r="AE130" s="208"/>
      <c r="AF130" s="220"/>
      <c r="AG130" s="211"/>
      <c r="AH130" s="208"/>
      <c r="AI130" s="208"/>
      <c r="AJ130" s="212"/>
      <c r="AK130" s="212"/>
      <c r="AL130" s="220"/>
      <c r="AM130" s="225"/>
      <c r="AN130" s="212"/>
      <c r="AO130" s="212"/>
      <c r="AP130" s="212"/>
      <c r="AQ130" s="212"/>
      <c r="AR130" s="220"/>
      <c r="AS130" s="225"/>
      <c r="AT130" s="220"/>
      <c r="AU130" s="225"/>
      <c r="AV130" s="220"/>
      <c r="AW130" s="246"/>
      <c r="AX130" s="220"/>
    </row>
    <row r="131" spans="1:50" s="54" customFormat="1" ht="15" customHeight="1">
      <c r="A131" s="113"/>
      <c r="B131" s="156" t="s">
        <v>677</v>
      </c>
      <c r="C131" s="115"/>
      <c r="D131" s="217"/>
      <c r="E131" s="217"/>
      <c r="F131" s="217"/>
      <c r="G131" s="217"/>
      <c r="H131" s="220" t="str">
        <f>IF(ROUND(CF!H21,0)=ROUND(SUM(CF!D21:G21),0),"OK","ERROR")</f>
        <v>OK</v>
      </c>
      <c r="I131" s="210"/>
      <c r="J131" s="217"/>
      <c r="K131" s="217"/>
      <c r="L131" s="217"/>
      <c r="M131" s="217"/>
      <c r="N131" s="220" t="str">
        <f>IF(ROUND(CF!N21,0)=ROUND(SUM(CF!J21:M21),0),"OK","ERROR")</f>
        <v>OK</v>
      </c>
      <c r="O131" s="210"/>
      <c r="P131" s="217"/>
      <c r="Q131" s="217"/>
      <c r="R131" s="217"/>
      <c r="S131" s="217"/>
      <c r="T131" s="220" t="str">
        <f>IF(ROUND(CF!T21,0)=ROUND(SUM(CF!P21:S21),0),"OK","ERROR")</f>
        <v>OK</v>
      </c>
      <c r="U131" s="210"/>
      <c r="V131" s="217"/>
      <c r="W131" s="217"/>
      <c r="X131" s="217"/>
      <c r="Y131" s="217"/>
      <c r="Z131" s="220" t="str">
        <f>IF(ROUND(CF!Z21,0)=ROUND(SUM(CF!V21:Y21),0),"OK","ERROR")</f>
        <v>OK</v>
      </c>
      <c r="AA131" s="213"/>
      <c r="AB131" s="217"/>
      <c r="AC131" s="217"/>
      <c r="AD131" s="217"/>
      <c r="AE131" s="217"/>
      <c r="AF131" s="220" t="str">
        <f>IF(ROUND(CF!AF21,0)=ROUND(SUM(CF!AB21:AE21),0),"OK","ERROR")</f>
        <v>OK</v>
      </c>
      <c r="AG131" s="211"/>
      <c r="AH131" s="217"/>
      <c r="AI131" s="217"/>
      <c r="AJ131" s="212"/>
      <c r="AK131" s="212"/>
      <c r="AL131" s="220" t="str">
        <f>IF(ROUND(CF!AL21,0)=ROUND(SUM(CF!AH21:AK21),0),"OK","ERROR")</f>
        <v>ERROR</v>
      </c>
      <c r="AM131" s="225"/>
      <c r="AN131" s="212"/>
      <c r="AO131" s="212"/>
      <c r="AP131" s="212"/>
      <c r="AQ131" s="212"/>
      <c r="AR131" s="220" t="str">
        <f>IF(ROUND(CF!AR21,0)=ROUND(SUM(CF!AN21:AQ21),0),"OK","ERROR")</f>
        <v>OK</v>
      </c>
      <c r="AS131" s="225"/>
      <c r="AT131" s="220" t="str">
        <f>IF(ROUND(CF!AT21,0)=ROUND(SUM(CF!AP21:AS21),0),"OK","ERROR")</f>
        <v>OK</v>
      </c>
      <c r="AU131" s="225"/>
      <c r="AV131" s="220" t="str">
        <f>IF(ROUND(CF!AV21,0)=ROUND(SUM(CF!AR21:AU21),0),"OK","ERROR")</f>
        <v>OK</v>
      </c>
      <c r="AW131" s="246"/>
      <c r="AX131" s="220" t="str">
        <f>IF(ROUND(CF!AX21,0)=ROUND(SUM(CF!AT21:AW21),0),"OK","ERROR")</f>
        <v>OK</v>
      </c>
    </row>
    <row r="132" spans="1:50" s="54" customFormat="1" ht="15" customHeight="1">
      <c r="A132" s="43"/>
      <c r="B132" s="156" t="s">
        <v>714</v>
      </c>
      <c r="C132" s="17"/>
      <c r="D132" s="217"/>
      <c r="E132" s="217"/>
      <c r="F132" s="217"/>
      <c r="G132" s="217"/>
      <c r="H132" s="220" t="str">
        <f>IF(ROUND(CF!H22,0)=ROUND(SUM(CF!D22:G22),0),"OK","ERROR")</f>
        <v>OK</v>
      </c>
      <c r="I132" s="210"/>
      <c r="J132" s="217"/>
      <c r="K132" s="217"/>
      <c r="L132" s="217"/>
      <c r="M132" s="217"/>
      <c r="N132" s="220" t="str">
        <f>IF(ROUND(CF!N22,0)=ROUND(SUM(CF!J22:M22),0),"OK","ERROR")</f>
        <v>OK</v>
      </c>
      <c r="O132" s="210"/>
      <c r="P132" s="217"/>
      <c r="Q132" s="217"/>
      <c r="R132" s="217"/>
      <c r="S132" s="217"/>
      <c r="T132" s="220" t="str">
        <f>IF(ROUND(CF!T22,0)=ROUND(SUM(CF!P22:S22),0),"OK","ERROR")</f>
        <v>OK</v>
      </c>
      <c r="U132" s="210"/>
      <c r="V132" s="217"/>
      <c r="W132" s="217"/>
      <c r="X132" s="217"/>
      <c r="Y132" s="217"/>
      <c r="Z132" s="220" t="str">
        <f>IF(ROUND(CF!Z22,0)=ROUND(SUM(CF!V22:Y22),0),"OK","ERROR")</f>
        <v>OK</v>
      </c>
      <c r="AA132" s="213"/>
      <c r="AB132" s="217"/>
      <c r="AC132" s="217"/>
      <c r="AD132" s="217"/>
      <c r="AE132" s="217"/>
      <c r="AF132" s="220" t="str">
        <f>IF(ROUND(CF!AF22,0)=ROUND(SUM(CF!AB22:AE22),0),"OK","ERROR")</f>
        <v>OK</v>
      </c>
      <c r="AG132" s="211"/>
      <c r="AH132" s="217"/>
      <c r="AI132" s="217"/>
      <c r="AJ132" s="212"/>
      <c r="AK132" s="212"/>
      <c r="AL132" s="220" t="str">
        <f>IF(ROUND(CF!AL22,0)=ROUND(SUM(CF!AH22:AK22),0),"OK","ERROR")</f>
        <v>OK</v>
      </c>
      <c r="AM132" s="225"/>
      <c r="AN132" s="212"/>
      <c r="AO132" s="212"/>
      <c r="AP132" s="212"/>
      <c r="AQ132" s="212"/>
      <c r="AR132" s="220" t="str">
        <f>IF(ROUND(CF!AR22,0)=ROUND(SUM(CF!AN22:AQ22),0),"OK","ERROR")</f>
        <v>OK</v>
      </c>
      <c r="AS132" s="225"/>
      <c r="AT132" s="220" t="str">
        <f>IF(ROUND(CF!AT22,0)=ROUND(SUM(CF!AP22:AS22),0),"OK","ERROR")</f>
        <v>OK</v>
      </c>
      <c r="AU132" s="225"/>
      <c r="AV132" s="220" t="str">
        <f>IF(ROUND(CF!AV22,0)=ROUND(SUM(CF!AR22:AU22),0),"OK","ERROR")</f>
        <v>OK</v>
      </c>
      <c r="AW132" s="246"/>
      <c r="AX132" s="220" t="str">
        <f>IF(ROUND(CF!AX22,0)=ROUND(SUM(CF!AT22:AW22),0),"OK","ERROR")</f>
        <v>OK</v>
      </c>
    </row>
    <row r="133" spans="1:50" s="54" customFormat="1" ht="15" customHeight="1">
      <c r="A133" s="113"/>
      <c r="B133" s="156" t="s">
        <v>690</v>
      </c>
      <c r="C133" s="115"/>
      <c r="D133" s="217"/>
      <c r="E133" s="217"/>
      <c r="F133" s="217"/>
      <c r="G133" s="217"/>
      <c r="H133" s="220" t="str">
        <f>IF(ROUND(CF!H23,0)=ROUND(SUM(CF!D23:G23),0),"OK","ERROR")</f>
        <v>OK</v>
      </c>
      <c r="I133" s="210"/>
      <c r="J133" s="217"/>
      <c r="K133" s="217"/>
      <c r="L133" s="217"/>
      <c r="M133" s="217"/>
      <c r="N133" s="220" t="str">
        <f>IF(ROUND(CF!N23,0)=ROUND(SUM(CF!J23:M23),0),"OK","ERROR")</f>
        <v>OK</v>
      </c>
      <c r="O133" s="210"/>
      <c r="P133" s="217"/>
      <c r="Q133" s="217"/>
      <c r="R133" s="217"/>
      <c r="S133" s="217"/>
      <c r="T133" s="220" t="str">
        <f>IF(ROUND(CF!T23,0)=ROUND(SUM(CF!P23:S23),0),"OK","ERROR")</f>
        <v>OK</v>
      </c>
      <c r="U133" s="210"/>
      <c r="V133" s="217"/>
      <c r="W133" s="217"/>
      <c r="X133" s="217"/>
      <c r="Y133" s="217"/>
      <c r="Z133" s="220" t="str">
        <f>IF(ROUND(CF!Z23,0)=ROUND(SUM(CF!V23:Y23),0),"OK","ERROR")</f>
        <v>OK</v>
      </c>
      <c r="AA133" s="213"/>
      <c r="AB133" s="217"/>
      <c r="AC133" s="217"/>
      <c r="AD133" s="217"/>
      <c r="AE133" s="217"/>
      <c r="AF133" s="220" t="str">
        <f>IF(ROUND(CF!AF23,0)=ROUND(SUM(CF!AB23:AE23),0),"OK","ERROR")</f>
        <v>OK</v>
      </c>
      <c r="AG133" s="211"/>
      <c r="AH133" s="217"/>
      <c r="AI133" s="217"/>
      <c r="AJ133" s="212"/>
      <c r="AK133" s="212"/>
      <c r="AL133" s="220" t="str">
        <f>IF(ROUND(CF!AL23,0)=ROUND(SUM(CF!AH23:AK23),0),"OK","ERROR")</f>
        <v>OK</v>
      </c>
      <c r="AM133" s="225"/>
      <c r="AN133" s="212"/>
      <c r="AO133" s="212"/>
      <c r="AP133" s="212"/>
      <c r="AQ133" s="212"/>
      <c r="AR133" s="220" t="str">
        <f>IF(ROUND(CF!AR23,0)=ROUND(SUM(CF!AN23:AQ23),0),"OK","ERROR")</f>
        <v>OK</v>
      </c>
      <c r="AS133" s="225"/>
      <c r="AT133" s="220" t="str">
        <f>IF(ROUND(CF!AT23,0)=ROUND(SUM(CF!AP23:AS23),0),"OK","ERROR")</f>
        <v>OK</v>
      </c>
      <c r="AU133" s="225"/>
      <c r="AV133" s="220" t="str">
        <f>IF(ROUND(CF!AV23,0)=ROUND(SUM(CF!AR23:AU23),0),"OK","ERROR")</f>
        <v>OK</v>
      </c>
      <c r="AW133" s="246"/>
      <c r="AX133" s="220" t="str">
        <f>IF(ROUND(CF!AX23,0)=ROUND(SUM(CF!AT23:AW23),0),"OK","ERROR")</f>
        <v>OK</v>
      </c>
    </row>
    <row r="134" spans="1:50" s="54" customFormat="1" ht="15" customHeight="1">
      <c r="A134" s="113"/>
      <c r="B134" s="156" t="s">
        <v>116</v>
      </c>
      <c r="C134" s="115"/>
      <c r="D134" s="217"/>
      <c r="E134" s="217"/>
      <c r="F134" s="217"/>
      <c r="G134" s="217"/>
      <c r="H134" s="226" t="str">
        <f>IF(ROUND(CF!H24,0)=ROUND(SUM(CF!D24:G24),0),"OK","ERROR")</f>
        <v>ERROR</v>
      </c>
      <c r="I134" s="210"/>
      <c r="J134" s="217"/>
      <c r="K134" s="217"/>
      <c r="L134" s="217"/>
      <c r="M134" s="217"/>
      <c r="N134" s="226" t="str">
        <f>IF(ROUND(CF!N24,0)=ROUND(SUM(CF!J24:M24),0),"OK","ERROR")</f>
        <v>OK</v>
      </c>
      <c r="O134" s="210"/>
      <c r="P134" s="217"/>
      <c r="Q134" s="217"/>
      <c r="R134" s="217"/>
      <c r="S134" s="217"/>
      <c r="T134" s="226" t="str">
        <f>IF(ROUND(CF!T24,0)=ROUND(SUM(CF!P24:S24),0),"OK","ERROR")</f>
        <v>OK</v>
      </c>
      <c r="U134" s="210"/>
      <c r="V134" s="217"/>
      <c r="W134" s="217"/>
      <c r="X134" s="217"/>
      <c r="Y134" s="217"/>
      <c r="Z134" s="226" t="str">
        <f>IF(ROUND(CF!Z24,0)=ROUND(SUM(CF!V24:Y24),0),"OK","ERROR")</f>
        <v>ERROR</v>
      </c>
      <c r="AA134" s="228"/>
      <c r="AB134" s="217"/>
      <c r="AC134" s="217"/>
      <c r="AD134" s="217"/>
      <c r="AE134" s="217"/>
      <c r="AF134" s="226" t="str">
        <f>IF(ROUND(CF!AF24,0)=ROUND(SUM(CF!AB24:AE24),0),"OK","ERROR")</f>
        <v>OK</v>
      </c>
      <c r="AG134" s="229"/>
      <c r="AH134" s="217"/>
      <c r="AI134" s="217"/>
      <c r="AJ134" s="212"/>
      <c r="AK134" s="212"/>
      <c r="AL134" s="226" t="str">
        <f>IF(ROUND(CF!AL24,0)=ROUND(SUM(CF!AH24:AK24),0),"OK","ERROR")</f>
        <v>ERROR</v>
      </c>
      <c r="AM134" s="230"/>
      <c r="AN134" s="212"/>
      <c r="AO134" s="212"/>
      <c r="AP134" s="212"/>
      <c r="AQ134" s="212"/>
      <c r="AR134" s="226" t="str">
        <f>IF(ROUND(CF!AR24,0)=ROUND(SUM(CF!AN24:AQ24),0),"OK","ERROR")</f>
        <v>OK</v>
      </c>
      <c r="AS134" s="230"/>
      <c r="AT134" s="226" t="str">
        <f>IF(ROUND(CF!AT24,0)=ROUND(SUM(CF!AP24:AS24),0),"OK","ERROR")</f>
        <v>OK</v>
      </c>
      <c r="AU134" s="230"/>
      <c r="AV134" s="226" t="str">
        <f>IF(ROUND(CF!AV24,0)=ROUND(SUM(CF!AR24:AU24),0),"OK","ERROR")</f>
        <v>OK</v>
      </c>
      <c r="AW134" s="246"/>
      <c r="AX134" s="226" t="str">
        <f>IF(ROUND(CF!AX24,0)=ROUND(SUM(CF!AT24:AW24),0),"OK","ERROR")</f>
        <v>OK</v>
      </c>
    </row>
    <row r="135" spans="1:50" s="54" customFormat="1" ht="15" customHeight="1" thickBot="1">
      <c r="A135" s="84"/>
      <c r="B135" s="157" t="s">
        <v>715</v>
      </c>
      <c r="C135" s="26"/>
      <c r="D135" s="217"/>
      <c r="E135" s="217"/>
      <c r="F135" s="217"/>
      <c r="G135" s="217"/>
      <c r="H135" s="237" t="str">
        <f>IF(ROUND(CF!H25,0)=ROUND(SUM(CF!D25:G25),0),"OK","ERROR")</f>
        <v>OK</v>
      </c>
      <c r="I135" s="210"/>
      <c r="J135" s="217"/>
      <c r="K135" s="217"/>
      <c r="L135" s="217"/>
      <c r="M135" s="217"/>
      <c r="N135" s="237" t="str">
        <f>IF(ROUND(CF!N25,0)=ROUND(SUM(CF!J25:M25),0),"OK","ERROR")</f>
        <v>OK</v>
      </c>
      <c r="O135" s="210"/>
      <c r="P135" s="217"/>
      <c r="Q135" s="217"/>
      <c r="R135" s="217"/>
      <c r="S135" s="217"/>
      <c r="T135" s="237" t="str">
        <f>IF(ROUND(CF!T25,0)=ROUND(SUM(CF!P25:S25),0),"OK","ERROR")</f>
        <v>OK</v>
      </c>
      <c r="U135" s="210"/>
      <c r="V135" s="217"/>
      <c r="W135" s="217"/>
      <c r="X135" s="217"/>
      <c r="Y135" s="217"/>
      <c r="Z135" s="237" t="str">
        <f>IF(ROUND(CF!Z25,0)=ROUND(SUM(CF!V25:Y25),0),"OK","ERROR")</f>
        <v>ERROR</v>
      </c>
      <c r="AA135" s="228"/>
      <c r="AB135" s="217"/>
      <c r="AC135" s="217"/>
      <c r="AD135" s="217"/>
      <c r="AE135" s="217"/>
      <c r="AF135" s="237" t="str">
        <f>IF(ROUND(CF!AF25,0)=ROUND(SUM(CF!AB25:AE25),0),"OK","ERROR")</f>
        <v>OK</v>
      </c>
      <c r="AG135" s="229"/>
      <c r="AH135" s="217"/>
      <c r="AI135" s="217"/>
      <c r="AJ135" s="212"/>
      <c r="AK135" s="212"/>
      <c r="AL135" s="237" t="str">
        <f>IF(ROUND(CF!AL25,0)=ROUND(SUM(CF!AH25:AK25),0),"OK","ERROR")</f>
        <v>ERROR</v>
      </c>
      <c r="AM135" s="230"/>
      <c r="AN135" s="212"/>
      <c r="AO135" s="212"/>
      <c r="AP135" s="212"/>
      <c r="AQ135" s="212"/>
      <c r="AR135" s="237" t="str">
        <f>IF(ROUND(CF!AR25,0)=ROUND(SUM(CF!AN25:AQ25),0),"OK","ERROR")</f>
        <v>OK</v>
      </c>
      <c r="AS135" s="230"/>
      <c r="AT135" s="237" t="str">
        <f>IF(ROUND(CF!AT25,0)=ROUND(SUM(CF!AP25:AS25),0),"OK","ERROR")</f>
        <v>OK</v>
      </c>
      <c r="AU135" s="230"/>
      <c r="AV135" s="237" t="str">
        <f>IF(ROUND(CF!AV25,0)=ROUND(SUM(CF!AR25:AU25),0),"OK","ERROR")</f>
        <v>OK</v>
      </c>
      <c r="AW135" s="246"/>
      <c r="AX135" s="237" t="str">
        <f>IF(ROUND(CF!AX25,0)=ROUND(SUM(CF!AT25:AW25),0),"OK","ERROR")</f>
        <v>OK</v>
      </c>
    </row>
    <row r="136" spans="1:50" s="54" customFormat="1" ht="15" customHeight="1" thickTop="1">
      <c r="A136" s="43"/>
      <c r="B136" s="154"/>
      <c r="C136" s="17"/>
      <c r="D136" s="208"/>
      <c r="E136" s="208"/>
      <c r="F136" s="208"/>
      <c r="G136" s="208"/>
      <c r="H136" s="220"/>
      <c r="I136" s="210"/>
      <c r="J136" s="208"/>
      <c r="K136" s="208"/>
      <c r="L136" s="208"/>
      <c r="M136" s="208"/>
      <c r="N136" s="220"/>
      <c r="O136" s="210"/>
      <c r="P136" s="208"/>
      <c r="Q136" s="208"/>
      <c r="R136" s="208"/>
      <c r="S136" s="208"/>
      <c r="T136" s="220"/>
      <c r="U136" s="210"/>
      <c r="V136" s="208"/>
      <c r="W136" s="208"/>
      <c r="X136" s="208"/>
      <c r="Y136" s="208"/>
      <c r="Z136" s="220"/>
      <c r="AA136" s="213"/>
      <c r="AB136" s="208"/>
      <c r="AC136" s="208"/>
      <c r="AD136" s="208"/>
      <c r="AE136" s="208"/>
      <c r="AF136" s="220"/>
      <c r="AG136" s="211"/>
      <c r="AH136" s="208"/>
      <c r="AI136" s="208"/>
      <c r="AJ136" s="212"/>
      <c r="AK136" s="212"/>
      <c r="AL136" s="220"/>
      <c r="AM136" s="225"/>
      <c r="AN136" s="212"/>
      <c r="AO136" s="212"/>
      <c r="AP136" s="212"/>
      <c r="AQ136" s="212"/>
      <c r="AR136" s="220"/>
      <c r="AS136" s="225"/>
      <c r="AT136" s="220"/>
      <c r="AU136" s="225"/>
      <c r="AV136" s="220"/>
      <c r="AW136" s="246"/>
      <c r="AX136" s="220"/>
    </row>
    <row r="137" spans="1:50" s="54" customFormat="1" ht="15" customHeight="1">
      <c r="A137" s="44" t="s">
        <v>37</v>
      </c>
      <c r="B137" s="158" t="s">
        <v>716</v>
      </c>
      <c r="C137" s="115"/>
      <c r="D137" s="208"/>
      <c r="E137" s="208"/>
      <c r="F137" s="208"/>
      <c r="G137" s="208"/>
      <c r="H137" s="220"/>
      <c r="I137" s="210"/>
      <c r="J137" s="208"/>
      <c r="K137" s="208"/>
      <c r="L137" s="208"/>
      <c r="M137" s="208"/>
      <c r="N137" s="220"/>
      <c r="O137" s="210"/>
      <c r="P137" s="208"/>
      <c r="Q137" s="208"/>
      <c r="R137" s="208"/>
      <c r="S137" s="208"/>
      <c r="T137" s="220"/>
      <c r="U137" s="210"/>
      <c r="V137" s="208"/>
      <c r="W137" s="208"/>
      <c r="X137" s="208"/>
      <c r="Y137" s="208"/>
      <c r="Z137" s="220"/>
      <c r="AA137" s="228"/>
      <c r="AB137" s="208"/>
      <c r="AC137" s="208"/>
      <c r="AD137" s="208"/>
      <c r="AE137" s="208"/>
      <c r="AF137" s="220"/>
      <c r="AG137" s="229"/>
      <c r="AH137" s="208"/>
      <c r="AI137" s="208"/>
      <c r="AJ137" s="212"/>
      <c r="AK137" s="212"/>
      <c r="AL137" s="220"/>
      <c r="AM137" s="230"/>
      <c r="AN137" s="212"/>
      <c r="AO137" s="212"/>
      <c r="AP137" s="212"/>
      <c r="AQ137" s="212"/>
      <c r="AR137" s="220"/>
      <c r="AS137" s="230"/>
      <c r="AT137" s="220"/>
      <c r="AU137" s="230"/>
      <c r="AV137" s="220"/>
      <c r="AW137" s="246"/>
      <c r="AX137" s="220"/>
    </row>
    <row r="138" spans="1:50" s="54" customFormat="1" ht="15" customHeight="1">
      <c r="A138" s="43"/>
      <c r="B138" s="159" t="s">
        <v>717</v>
      </c>
      <c r="C138" s="17"/>
      <c r="D138" s="217"/>
      <c r="E138" s="217"/>
      <c r="F138" s="217"/>
      <c r="G138" s="217"/>
      <c r="H138" s="220" t="str">
        <f>IF(ROUND(CF!H28,0)=ROUND(SUM(CF!D28:G28),0),"OK","ERROR")</f>
        <v>OK</v>
      </c>
      <c r="I138" s="210"/>
      <c r="J138" s="217"/>
      <c r="K138" s="217"/>
      <c r="L138" s="217"/>
      <c r="M138" s="217"/>
      <c r="N138" s="220" t="str">
        <f>IF(ROUND(CF!N28,0)=ROUND(SUM(CF!J28:M28),0),"OK","ERROR")</f>
        <v>OK</v>
      </c>
      <c r="O138" s="210"/>
      <c r="P138" s="217"/>
      <c r="Q138" s="217"/>
      <c r="R138" s="217"/>
      <c r="S138" s="217"/>
      <c r="T138" s="220" t="str">
        <f>IF(ROUND(CF!T28,0)=ROUND(SUM(CF!P28:S28),0),"OK","ERROR")</f>
        <v>OK</v>
      </c>
      <c r="U138" s="210"/>
      <c r="V138" s="217"/>
      <c r="W138" s="217"/>
      <c r="X138" s="217"/>
      <c r="Y138" s="217"/>
      <c r="Z138" s="220" t="str">
        <f>IF(ROUND(CF!Z28,0)=ROUND(SUM(CF!V28:Y28),0),"OK","ERROR")</f>
        <v>OK</v>
      </c>
      <c r="AA138" s="213"/>
      <c r="AB138" s="217"/>
      <c r="AC138" s="217"/>
      <c r="AD138" s="217"/>
      <c r="AE138" s="217"/>
      <c r="AF138" s="220" t="str">
        <f>IF(ROUND(CF!AF28,0)=ROUND(SUM(CF!AB28:AE28),0),"OK","ERROR")</f>
        <v>OK</v>
      </c>
      <c r="AG138" s="211"/>
      <c r="AH138" s="217"/>
      <c r="AI138" s="217"/>
      <c r="AJ138" s="212"/>
      <c r="AK138" s="212"/>
      <c r="AL138" s="220" t="str">
        <f>IF(ROUND(CF!AL28,0)=ROUND(SUM(CF!AH28:AK28),0),"OK","ERROR")</f>
        <v>ERROR</v>
      </c>
      <c r="AM138" s="225"/>
      <c r="AN138" s="212"/>
      <c r="AO138" s="212"/>
      <c r="AP138" s="212"/>
      <c r="AQ138" s="212"/>
      <c r="AR138" s="220" t="str">
        <f>IF(ROUND(CF!AR28,0)=ROUND(SUM(CF!AN28:AQ28),0),"OK","ERROR")</f>
        <v>OK</v>
      </c>
      <c r="AS138" s="225"/>
      <c r="AT138" s="220" t="str">
        <f>IF(ROUND(CF!AT28,0)=ROUND(SUM(CF!AP28:AS28),0),"OK","ERROR")</f>
        <v>OK</v>
      </c>
      <c r="AU138" s="225"/>
      <c r="AV138" s="220" t="str">
        <f>IF(ROUND(CF!AV28,0)=ROUND(SUM(CF!AR28:AU28),0),"OK","ERROR")</f>
        <v>OK</v>
      </c>
      <c r="AW138" s="246"/>
      <c r="AX138" s="220" t="str">
        <f>IF(ROUND(CF!AX28,0)=ROUND(SUM(CF!AT28:AW28),0),"OK","ERROR")</f>
        <v>OK</v>
      </c>
    </row>
    <row r="139" spans="1:50" s="54" customFormat="1" ht="15" customHeight="1">
      <c r="A139" s="113"/>
      <c r="B139" s="159" t="s">
        <v>718</v>
      </c>
      <c r="C139" s="115"/>
      <c r="D139" s="217"/>
      <c r="E139" s="217"/>
      <c r="F139" s="217"/>
      <c r="G139" s="217"/>
      <c r="H139" s="220" t="str">
        <f>IF(ROUND(CF!H29,0)=ROUND(SUM(CF!D29:G29),0),"OK","ERROR")</f>
        <v>OK</v>
      </c>
      <c r="I139" s="210"/>
      <c r="J139" s="217"/>
      <c r="K139" s="217"/>
      <c r="L139" s="217"/>
      <c r="M139" s="217"/>
      <c r="N139" s="220" t="str">
        <f>IF(ROUND(CF!N29,0)=ROUND(SUM(CF!J29:M29),0),"OK","ERROR")</f>
        <v>OK</v>
      </c>
      <c r="O139" s="210"/>
      <c r="P139" s="217"/>
      <c r="Q139" s="217"/>
      <c r="R139" s="217"/>
      <c r="S139" s="217"/>
      <c r="T139" s="220" t="str">
        <f>IF(ROUND(CF!T29,0)=ROUND(SUM(CF!P29:S29),0),"OK","ERROR")</f>
        <v>OK</v>
      </c>
      <c r="U139" s="210"/>
      <c r="V139" s="217"/>
      <c r="W139" s="217"/>
      <c r="X139" s="217"/>
      <c r="Y139" s="217"/>
      <c r="Z139" s="220" t="str">
        <f>IF(ROUND(CF!Z29,0)=ROUND(SUM(CF!V29:Y29),0),"OK","ERROR")</f>
        <v>OK</v>
      </c>
      <c r="AA139" s="228"/>
      <c r="AB139" s="217"/>
      <c r="AC139" s="217"/>
      <c r="AD139" s="217"/>
      <c r="AE139" s="217"/>
      <c r="AF139" s="220" t="str">
        <f>IF(ROUND(CF!AF29,0)=ROUND(SUM(CF!AB29:AE29),0),"OK","ERROR")</f>
        <v>OK</v>
      </c>
      <c r="AG139" s="229"/>
      <c r="AH139" s="217"/>
      <c r="AI139" s="217"/>
      <c r="AJ139" s="212"/>
      <c r="AK139" s="212"/>
      <c r="AL139" s="220" t="str">
        <f>IF(ROUND(CF!AL29,0)=ROUND(SUM(CF!AH29:AK29),0),"OK","ERROR")</f>
        <v>ERROR</v>
      </c>
      <c r="AM139" s="230"/>
      <c r="AN139" s="212"/>
      <c r="AO139" s="212"/>
      <c r="AP139" s="212"/>
      <c r="AQ139" s="212"/>
      <c r="AR139" s="220" t="str">
        <f>IF(ROUND(CF!AR29,0)=ROUND(SUM(CF!AN29:AQ29),0),"OK","ERROR")</f>
        <v>OK</v>
      </c>
      <c r="AS139" s="230"/>
      <c r="AT139" s="220" t="str">
        <f>IF(ROUND(CF!AT29,0)=ROUND(SUM(CF!AP29:AS29),0),"OK","ERROR")</f>
        <v>OK</v>
      </c>
      <c r="AU139" s="230"/>
      <c r="AV139" s="220" t="str">
        <f>IF(ROUND(CF!AV29,0)=ROUND(SUM(CF!AR29:AU29),0),"OK","ERROR")</f>
        <v>OK</v>
      </c>
      <c r="AW139" s="246"/>
      <c r="AX139" s="220" t="str">
        <f>IF(ROUND(CF!AX29,0)=ROUND(SUM(CF!AT29:AW29),0),"OK","ERROR")</f>
        <v>OK</v>
      </c>
    </row>
    <row r="140" spans="1:50" s="54" customFormat="1" ht="15" customHeight="1">
      <c r="A140" s="43"/>
      <c r="B140" s="159" t="s">
        <v>719</v>
      </c>
      <c r="C140" s="17"/>
      <c r="D140" s="217"/>
      <c r="E140" s="217"/>
      <c r="F140" s="217"/>
      <c r="G140" s="217"/>
      <c r="H140" s="220" t="str">
        <f>IF(ROUND(CF!H30,0)=ROUND(SUM(CF!D30:G30),0),"OK","ERROR")</f>
        <v>OK</v>
      </c>
      <c r="I140" s="210"/>
      <c r="J140" s="217"/>
      <c r="K140" s="217"/>
      <c r="L140" s="217"/>
      <c r="M140" s="217"/>
      <c r="N140" s="220" t="str">
        <f>IF(ROUND(CF!N30,0)=ROUND(SUM(CF!J30:M30),0),"OK","ERROR")</f>
        <v>OK</v>
      </c>
      <c r="O140" s="210"/>
      <c r="P140" s="217"/>
      <c r="Q140" s="217"/>
      <c r="R140" s="217"/>
      <c r="S140" s="217"/>
      <c r="T140" s="220" t="str">
        <f>IF(ROUND(CF!T30,0)=ROUND(SUM(CF!P30:S30),0),"OK","ERROR")</f>
        <v>OK</v>
      </c>
      <c r="U140" s="210"/>
      <c r="V140" s="217"/>
      <c r="W140" s="217"/>
      <c r="X140" s="217"/>
      <c r="Y140" s="217"/>
      <c r="Z140" s="220" t="str">
        <f>IF(ROUND(CF!Z30,0)=ROUND(SUM(CF!V30:Y30),0),"OK","ERROR")</f>
        <v>OK</v>
      </c>
      <c r="AA140" s="213"/>
      <c r="AB140" s="217"/>
      <c r="AC140" s="217"/>
      <c r="AD140" s="217"/>
      <c r="AE140" s="217"/>
      <c r="AF140" s="220" t="str">
        <f>IF(ROUND(CF!AF30,0)=ROUND(SUM(CF!AB30:AE30),0),"OK","ERROR")</f>
        <v>OK</v>
      </c>
      <c r="AG140" s="211"/>
      <c r="AH140" s="217"/>
      <c r="AI140" s="217"/>
      <c r="AJ140" s="212"/>
      <c r="AK140" s="212"/>
      <c r="AL140" s="220" t="str">
        <f>IF(ROUND(CF!AL30,0)=ROUND(SUM(CF!AH30:AK30),0),"OK","ERROR")</f>
        <v>ERROR</v>
      </c>
      <c r="AM140" s="225"/>
      <c r="AN140" s="212"/>
      <c r="AO140" s="212"/>
      <c r="AP140" s="212"/>
      <c r="AQ140" s="212"/>
      <c r="AR140" s="220" t="str">
        <f>IF(ROUND(CF!AR30,0)=ROUND(SUM(CF!AN30:AQ30),0),"OK","ERROR")</f>
        <v>OK</v>
      </c>
      <c r="AS140" s="225"/>
      <c r="AT140" s="220" t="str">
        <f>IF(ROUND(CF!AT30,0)=ROUND(SUM(CF!AP30:AS30),0),"OK","ERROR")</f>
        <v>OK</v>
      </c>
      <c r="AU140" s="225"/>
      <c r="AV140" s="220" t="str">
        <f>IF(ROUND(CF!AV30,0)=ROUND(SUM(CF!AR30:AU30),0),"OK","ERROR")</f>
        <v>OK</v>
      </c>
      <c r="AW140" s="246"/>
      <c r="AX140" s="220" t="str">
        <f>IF(ROUND(CF!AX30,0)=ROUND(SUM(CF!AT30:AW30),0),"OK","ERROR")</f>
        <v>OK</v>
      </c>
    </row>
    <row r="141" spans="1:50" s="54" customFormat="1" ht="15" customHeight="1">
      <c r="A141" s="113"/>
      <c r="B141" s="159" t="s">
        <v>720</v>
      </c>
      <c r="C141" s="115"/>
      <c r="D141" s="217"/>
      <c r="E141" s="217"/>
      <c r="F141" s="217"/>
      <c r="G141" s="217"/>
      <c r="H141" s="220" t="str">
        <f>IF(ROUND(CF!H31,0)=ROUND(SUM(CF!D31:G31),0),"OK","ERROR")</f>
        <v>OK</v>
      </c>
      <c r="I141" s="210"/>
      <c r="J141" s="217"/>
      <c r="K141" s="217"/>
      <c r="L141" s="217"/>
      <c r="M141" s="217"/>
      <c r="N141" s="220" t="str">
        <f>IF(ROUND(CF!N31,0)=ROUND(SUM(CF!J31:M31),0),"OK","ERROR")</f>
        <v>OK</v>
      </c>
      <c r="O141" s="210"/>
      <c r="P141" s="217"/>
      <c r="Q141" s="217"/>
      <c r="R141" s="217"/>
      <c r="S141" s="217"/>
      <c r="T141" s="220" t="str">
        <f>IF(ROUND(CF!T31,0)=ROUND(SUM(CF!P31:S31),0),"OK","ERROR")</f>
        <v>OK</v>
      </c>
      <c r="U141" s="210"/>
      <c r="V141" s="217"/>
      <c r="W141" s="217"/>
      <c r="X141" s="217"/>
      <c r="Y141" s="217"/>
      <c r="Z141" s="220" t="str">
        <f>IF(ROUND(CF!Z31,0)=ROUND(SUM(CF!V31:Y31),0),"OK","ERROR")</f>
        <v>OK</v>
      </c>
      <c r="AA141" s="228"/>
      <c r="AB141" s="217"/>
      <c r="AC141" s="217"/>
      <c r="AD141" s="217"/>
      <c r="AE141" s="217"/>
      <c r="AF141" s="220" t="str">
        <f>IF(ROUND(CF!AF31,0)=ROUND(SUM(CF!AB31:AE31),0),"OK","ERROR")</f>
        <v>OK</v>
      </c>
      <c r="AG141" s="229"/>
      <c r="AH141" s="217"/>
      <c r="AI141" s="217"/>
      <c r="AJ141" s="212"/>
      <c r="AK141" s="212"/>
      <c r="AL141" s="220" t="str">
        <f>IF(ROUND(CF!AL31,0)=ROUND(SUM(CF!AH31:AK31),0),"OK","ERROR")</f>
        <v>OK</v>
      </c>
      <c r="AM141" s="234"/>
      <c r="AN141" s="212"/>
      <c r="AO141" s="212"/>
      <c r="AP141" s="212"/>
      <c r="AQ141" s="212"/>
      <c r="AR141" s="220" t="str">
        <f>IF(ROUND(CF!AR31,0)=ROUND(SUM(CF!AN31:AQ31),0),"OK","ERROR")</f>
        <v>OK</v>
      </c>
      <c r="AS141" s="234"/>
      <c r="AT141" s="220" t="str">
        <f>IF(ROUND(CF!AT31,0)=ROUND(SUM(CF!AP31:AS31),0),"OK","ERROR")</f>
        <v>OK</v>
      </c>
      <c r="AU141" s="234"/>
      <c r="AV141" s="220" t="str">
        <f>IF(ROUND(CF!AV31,0)=ROUND(SUM(CF!AR31:AU31),0),"OK","ERROR")</f>
        <v>OK</v>
      </c>
      <c r="AW141" s="246"/>
      <c r="AX141" s="220" t="str">
        <f>IF(ROUND(CF!AX31,0)=ROUND(SUM(CF!AT31:AW31),0),"OK","ERROR")</f>
        <v>OK</v>
      </c>
    </row>
    <row r="142" spans="1:50" s="54" customFormat="1" ht="15" customHeight="1">
      <c r="A142" s="113"/>
      <c r="B142" s="159" t="s">
        <v>721</v>
      </c>
      <c r="C142" s="115"/>
      <c r="D142" s="217"/>
      <c r="E142" s="217"/>
      <c r="F142" s="217"/>
      <c r="G142" s="217"/>
      <c r="H142" s="220" t="str">
        <f>IF(ROUND(CF!H32,0)=ROUND(SUM(CF!D32:G32),0),"OK","ERROR")</f>
        <v>OK</v>
      </c>
      <c r="I142" s="210"/>
      <c r="J142" s="217"/>
      <c r="K142" s="217"/>
      <c r="L142" s="217"/>
      <c r="M142" s="217"/>
      <c r="N142" s="220" t="str">
        <f>IF(ROUND(CF!N32,0)=ROUND(SUM(CF!J32:M32),0),"OK","ERROR")</f>
        <v>OK</v>
      </c>
      <c r="O142" s="210"/>
      <c r="P142" s="217"/>
      <c r="Q142" s="217"/>
      <c r="R142" s="217"/>
      <c r="S142" s="217"/>
      <c r="T142" s="220" t="str">
        <f>IF(ROUND(CF!T32,0)=ROUND(SUM(CF!P32:S32),0),"OK","ERROR")</f>
        <v>OK</v>
      </c>
      <c r="U142" s="210"/>
      <c r="V142" s="217"/>
      <c r="W142" s="217"/>
      <c r="X142" s="217"/>
      <c r="Y142" s="217"/>
      <c r="Z142" s="220" t="str">
        <f>IF(ROUND(CF!Z32,0)=ROUND(SUM(CF!V32:Y32),0),"OK","ERROR")</f>
        <v>OK</v>
      </c>
      <c r="AA142" s="228"/>
      <c r="AB142" s="217"/>
      <c r="AC142" s="217"/>
      <c r="AD142" s="217"/>
      <c r="AE142" s="217"/>
      <c r="AF142" s="220" t="str">
        <f>IF(ROUND(CF!AF32,0)=ROUND(SUM(CF!AB32:AE32),0),"OK","ERROR")</f>
        <v>OK</v>
      </c>
      <c r="AG142" s="229"/>
      <c r="AH142" s="217"/>
      <c r="AI142" s="217"/>
      <c r="AJ142" s="212"/>
      <c r="AK142" s="212"/>
      <c r="AL142" s="220" t="str">
        <f>IF(ROUND(CF!AL32,0)=ROUND(SUM(CF!AH32:AK32),0),"OK","ERROR")</f>
        <v>OK</v>
      </c>
      <c r="AM142" s="234"/>
      <c r="AN142" s="212"/>
      <c r="AO142" s="212"/>
      <c r="AP142" s="212"/>
      <c r="AQ142" s="212"/>
      <c r="AR142" s="220" t="str">
        <f>IF(ROUND(CF!AR32,0)=ROUND(SUM(CF!AN32:AQ32),0),"OK","ERROR")</f>
        <v>OK</v>
      </c>
      <c r="AS142" s="234"/>
      <c r="AT142" s="220" t="str">
        <f>IF(ROUND(CF!AT32,0)=ROUND(SUM(CF!AP32:AS32),0),"OK","ERROR")</f>
        <v>OK</v>
      </c>
      <c r="AU142" s="234"/>
      <c r="AV142" s="220" t="str">
        <f>IF(ROUND(CF!AV32,0)=ROUND(SUM(CF!AR32:AU32),0),"OK","ERROR")</f>
        <v>OK</v>
      </c>
      <c r="AW142" s="246"/>
      <c r="AX142" s="220" t="str">
        <f>IF(ROUND(CF!AX32,0)=ROUND(SUM(CF!AT32:AW32),0),"OK","ERROR")</f>
        <v>OK</v>
      </c>
    </row>
    <row r="143" spans="1:50" s="54" customFormat="1" ht="15" customHeight="1">
      <c r="A143" s="113"/>
      <c r="B143" s="159" t="s">
        <v>722</v>
      </c>
      <c r="C143" s="17"/>
      <c r="D143" s="217"/>
      <c r="E143" s="217"/>
      <c r="F143" s="217"/>
      <c r="G143" s="217"/>
      <c r="H143" s="220" t="str">
        <f>IF(ROUND(CF!H33,0)=ROUND(SUM(CF!D33:G33),0),"OK","ERROR")</f>
        <v>OK</v>
      </c>
      <c r="I143" s="210"/>
      <c r="J143" s="217"/>
      <c r="K143" s="217"/>
      <c r="L143" s="217"/>
      <c r="M143" s="217"/>
      <c r="N143" s="220" t="str">
        <f>IF(ROUND(CF!N33,0)=ROUND(SUM(CF!J33:M33),0),"OK","ERROR")</f>
        <v>OK</v>
      </c>
      <c r="O143" s="210"/>
      <c r="P143" s="217"/>
      <c r="Q143" s="217"/>
      <c r="R143" s="217"/>
      <c r="S143" s="217"/>
      <c r="T143" s="220" t="str">
        <f>IF(ROUND(CF!T33,0)=ROUND(SUM(CF!P33:S33),0),"OK","ERROR")</f>
        <v>OK</v>
      </c>
      <c r="U143" s="210"/>
      <c r="V143" s="217"/>
      <c r="W143" s="217"/>
      <c r="X143" s="217"/>
      <c r="Y143" s="217"/>
      <c r="Z143" s="220" t="str">
        <f>IF(ROUND(CF!Z33,0)=ROUND(SUM(CF!V33:Y33),0),"OK","ERROR")</f>
        <v>OK</v>
      </c>
      <c r="AA143" s="213"/>
      <c r="AB143" s="217"/>
      <c r="AC143" s="217"/>
      <c r="AD143" s="217"/>
      <c r="AE143" s="217"/>
      <c r="AF143" s="220" t="str">
        <f>IF(ROUND(CF!AF33,0)=ROUND(SUM(CF!AB33:AE33),0),"OK","ERROR")</f>
        <v>OK</v>
      </c>
      <c r="AG143" s="211"/>
      <c r="AH143" s="217"/>
      <c r="AI143" s="217"/>
      <c r="AJ143" s="212"/>
      <c r="AK143" s="212"/>
      <c r="AL143" s="220" t="str">
        <f>IF(ROUND(CF!AL33,0)=ROUND(SUM(CF!AH33:AK33),0),"OK","ERROR")</f>
        <v>OK</v>
      </c>
      <c r="AM143" s="225"/>
      <c r="AN143" s="212"/>
      <c r="AO143" s="212"/>
      <c r="AP143" s="212"/>
      <c r="AQ143" s="212"/>
      <c r="AR143" s="220" t="str">
        <f>IF(ROUND(CF!AR33,0)=ROUND(SUM(CF!AN33:AQ33),0),"OK","ERROR")</f>
        <v>OK</v>
      </c>
      <c r="AS143" s="225"/>
      <c r="AT143" s="220" t="str">
        <f>IF(ROUND(CF!AT33,0)=ROUND(SUM(CF!AP33:AS33),0),"OK","ERROR")</f>
        <v>OK</v>
      </c>
      <c r="AU143" s="225"/>
      <c r="AV143" s="220" t="str">
        <f>IF(ROUND(CF!AV33,0)=ROUND(SUM(CF!AR33:AU33),0),"OK","ERROR")</f>
        <v>OK</v>
      </c>
      <c r="AW143" s="246"/>
      <c r="AX143" s="220" t="str">
        <f>IF(ROUND(CF!AX33,0)=ROUND(SUM(CF!AT33:AW33),0),"OK","ERROR")</f>
        <v>OK</v>
      </c>
    </row>
    <row r="144" spans="1:50" s="54" customFormat="1" ht="15" customHeight="1">
      <c r="A144" s="43"/>
      <c r="B144" s="159" t="s">
        <v>723</v>
      </c>
      <c r="C144" s="17"/>
      <c r="D144" s="217"/>
      <c r="E144" s="217"/>
      <c r="F144" s="217"/>
      <c r="G144" s="217"/>
      <c r="H144" s="220" t="str">
        <f>IF(ROUND(CF!H34,0)=ROUND(SUM(CF!D34:G34),0),"OK","ERROR")</f>
        <v>OK</v>
      </c>
      <c r="I144" s="210"/>
      <c r="J144" s="217"/>
      <c r="K144" s="217"/>
      <c r="L144" s="217"/>
      <c r="M144" s="217"/>
      <c r="N144" s="220" t="str">
        <f>IF(ROUND(CF!N34,0)=ROUND(SUM(CF!J34:M34),0),"OK","ERROR")</f>
        <v>OK</v>
      </c>
      <c r="O144" s="210"/>
      <c r="P144" s="217"/>
      <c r="Q144" s="217"/>
      <c r="R144" s="217"/>
      <c r="S144" s="217"/>
      <c r="T144" s="220" t="str">
        <f>IF(ROUND(CF!T34,0)=ROUND(SUM(CF!P34:S34),0),"OK","ERROR")</f>
        <v>OK</v>
      </c>
      <c r="U144" s="210"/>
      <c r="V144" s="217"/>
      <c r="W144" s="217"/>
      <c r="X144" s="217"/>
      <c r="Y144" s="217"/>
      <c r="Z144" s="220" t="str">
        <f>IF(ROUND(CF!Z34,0)=ROUND(SUM(CF!V34:Y34),0),"OK","ERROR")</f>
        <v>OK</v>
      </c>
      <c r="AA144" s="213"/>
      <c r="AB144" s="217"/>
      <c r="AC144" s="217"/>
      <c r="AD144" s="217"/>
      <c r="AE144" s="217"/>
      <c r="AF144" s="220" t="str">
        <f>IF(ROUND(CF!AF34,0)=ROUND(SUM(CF!AB34:AE34),0),"OK","ERROR")</f>
        <v>OK</v>
      </c>
      <c r="AG144" s="211"/>
      <c r="AH144" s="217"/>
      <c r="AI144" s="217"/>
      <c r="AJ144" s="212"/>
      <c r="AK144" s="212"/>
      <c r="AL144" s="220" t="str">
        <f>IF(ROUND(CF!AL34,0)=ROUND(SUM(CF!AH34:AK34),0),"OK","ERROR")</f>
        <v>OK</v>
      </c>
      <c r="AM144" s="225"/>
      <c r="AN144" s="212"/>
      <c r="AO144" s="212"/>
      <c r="AP144" s="212"/>
      <c r="AQ144" s="212"/>
      <c r="AR144" s="220" t="str">
        <f>IF(ROUND(CF!AR34,0)=ROUND(SUM(CF!AN34:AQ34),0),"OK","ERROR")</f>
        <v>OK</v>
      </c>
      <c r="AS144" s="225"/>
      <c r="AT144" s="220" t="str">
        <f>IF(ROUND(CF!AT34,0)=ROUND(SUM(CF!AP34:AS34),0),"OK","ERROR")</f>
        <v>OK</v>
      </c>
      <c r="AU144" s="225"/>
      <c r="AV144" s="220" t="str">
        <f>IF(ROUND(CF!AV34,0)=ROUND(SUM(CF!AR34:AU34),0),"OK","ERROR")</f>
        <v>OK</v>
      </c>
      <c r="AW144" s="246"/>
      <c r="AX144" s="220" t="str">
        <f>IF(ROUND(CF!AX34,0)=ROUND(SUM(CF!AT34:AW34),0),"OK","ERROR")</f>
        <v>OK</v>
      </c>
    </row>
    <row r="145" spans="1:50" s="54" customFormat="1" ht="15" customHeight="1">
      <c r="B145" s="159" t="s">
        <v>724</v>
      </c>
      <c r="C145" s="115"/>
      <c r="D145" s="217"/>
      <c r="E145" s="217"/>
      <c r="F145" s="217"/>
      <c r="G145" s="217"/>
      <c r="H145" s="226" t="str">
        <f>IF(ROUND(CF!H35,0)=ROUND(SUM(CF!D35:G35),0),"OK","ERROR")</f>
        <v>OK</v>
      </c>
      <c r="I145" s="210"/>
      <c r="J145" s="217"/>
      <c r="K145" s="217"/>
      <c r="L145" s="217"/>
      <c r="M145" s="217"/>
      <c r="N145" s="226" t="str">
        <f>IF(ROUND(CF!N35,0)=ROUND(SUM(CF!J35:M35),0),"OK","ERROR")</f>
        <v>OK</v>
      </c>
      <c r="O145" s="210"/>
      <c r="P145" s="217"/>
      <c r="Q145" s="217"/>
      <c r="R145" s="217"/>
      <c r="S145" s="217"/>
      <c r="T145" s="226" t="str">
        <f>IF(ROUND(CF!T35,0)=ROUND(SUM(CF!P35:S35),0),"OK","ERROR")</f>
        <v>OK</v>
      </c>
      <c r="U145" s="210"/>
      <c r="V145" s="217"/>
      <c r="W145" s="217"/>
      <c r="X145" s="217"/>
      <c r="Y145" s="217"/>
      <c r="Z145" s="226" t="str">
        <f>IF(ROUND(CF!Z35,0)=ROUND(SUM(CF!V35:Y35),0),"OK","ERROR")</f>
        <v>OK</v>
      </c>
      <c r="AA145" s="228"/>
      <c r="AB145" s="217"/>
      <c r="AC145" s="217"/>
      <c r="AD145" s="217"/>
      <c r="AE145" s="217"/>
      <c r="AF145" s="226" t="str">
        <f>IF(ROUND(CF!AF35,0)=ROUND(SUM(CF!AB35:AE35),0),"OK","ERROR")</f>
        <v>OK</v>
      </c>
      <c r="AG145" s="229"/>
      <c r="AH145" s="217"/>
      <c r="AI145" s="217"/>
      <c r="AJ145" s="212"/>
      <c r="AK145" s="212"/>
      <c r="AL145" s="226" t="str">
        <f>IF(ROUND(CF!AL35,0)=ROUND(SUM(CF!AH35:AK35),0),"OK","ERROR")</f>
        <v>ERROR</v>
      </c>
      <c r="AM145" s="230"/>
      <c r="AN145" s="212"/>
      <c r="AO145" s="212"/>
      <c r="AP145" s="212"/>
      <c r="AQ145" s="212"/>
      <c r="AR145" s="226" t="str">
        <f>IF(ROUND(CF!AR35,0)=ROUND(SUM(CF!AN35:AQ35),0),"OK","ERROR")</f>
        <v>OK</v>
      </c>
      <c r="AS145" s="230"/>
      <c r="AT145" s="226" t="str">
        <f>IF(ROUND(CF!AT35,0)=ROUND(SUM(CF!AP35:AS35),0),"OK","ERROR")</f>
        <v>OK</v>
      </c>
      <c r="AU145" s="230"/>
      <c r="AV145" s="226" t="str">
        <f>IF(ROUND(CF!AV35,0)=ROUND(SUM(CF!AR35:AU35),0),"OK","ERROR")</f>
        <v>OK</v>
      </c>
      <c r="AW145" s="246"/>
      <c r="AX145" s="226" t="str">
        <f>IF(ROUND(CF!AX35,0)=ROUND(SUM(CF!AT35:AW35),0),"OK","ERROR")</f>
        <v>OK</v>
      </c>
    </row>
    <row r="146" spans="1:50" s="54" customFormat="1" ht="15" customHeight="1" thickBot="1">
      <c r="A146" s="113"/>
      <c r="B146" s="160" t="s">
        <v>725</v>
      </c>
      <c r="C146" s="17"/>
      <c r="D146" s="217"/>
      <c r="E146" s="217"/>
      <c r="F146" s="217"/>
      <c r="G146" s="217"/>
      <c r="H146" s="237" t="str">
        <f>IF(ROUND(CF!H36,0)=ROUND(SUM(CF!D36:G36),0),"OK","ERROR")</f>
        <v>OK</v>
      </c>
      <c r="I146" s="210"/>
      <c r="J146" s="217"/>
      <c r="K146" s="217"/>
      <c r="L146" s="217"/>
      <c r="M146" s="217"/>
      <c r="N146" s="237" t="str">
        <f>IF(ROUND(CF!N36,0)=ROUND(SUM(CF!J36:M36),0),"OK","ERROR")</f>
        <v>OK</v>
      </c>
      <c r="O146" s="210"/>
      <c r="P146" s="217"/>
      <c r="Q146" s="217"/>
      <c r="R146" s="217"/>
      <c r="S146" s="217"/>
      <c r="T146" s="237" t="str">
        <f>IF(ROUND(CF!T36,0)=ROUND(SUM(CF!P36:S36),0),"OK","ERROR")</f>
        <v>OK</v>
      </c>
      <c r="U146" s="210"/>
      <c r="V146" s="217"/>
      <c r="W146" s="217"/>
      <c r="X146" s="217"/>
      <c r="Y146" s="217"/>
      <c r="Z146" s="237" t="str">
        <f>IF(ROUND(CF!Z36,0)=ROUND(SUM(CF!V36:Y36),0),"OK","ERROR")</f>
        <v>OK</v>
      </c>
      <c r="AA146" s="213"/>
      <c r="AB146" s="217"/>
      <c r="AC146" s="217"/>
      <c r="AD146" s="217"/>
      <c r="AE146" s="217"/>
      <c r="AF146" s="237" t="str">
        <f>IF(ROUND(CF!AF36,0)=ROUND(SUM(CF!AB36:AE36),0),"OK","ERROR")</f>
        <v>OK</v>
      </c>
      <c r="AG146" s="211"/>
      <c r="AH146" s="217"/>
      <c r="AI146" s="217"/>
      <c r="AJ146" s="212"/>
      <c r="AK146" s="212"/>
      <c r="AL146" s="237" t="str">
        <f>IF(ROUND(CF!AL36,0)=ROUND(SUM(CF!AH36:AK36),0),"OK","ERROR")</f>
        <v>ERROR</v>
      </c>
      <c r="AM146" s="215"/>
      <c r="AN146" s="212"/>
      <c r="AO146" s="212"/>
      <c r="AP146" s="212"/>
      <c r="AQ146" s="212"/>
      <c r="AR146" s="237" t="str">
        <f>IF(ROUND(CF!AR36,0)=ROUND(SUM(CF!AN36:AQ36),0),"OK","ERROR")</f>
        <v>OK</v>
      </c>
      <c r="AS146" s="215"/>
      <c r="AT146" s="237" t="str">
        <f>IF(ROUND(CF!AT36,0)=ROUND(SUM(CF!AP36:AS36),0),"OK","ERROR")</f>
        <v>OK</v>
      </c>
      <c r="AU146" s="215"/>
      <c r="AV146" s="237" t="str">
        <f>IF(ROUND(CF!AV36,0)=ROUND(SUM(CF!AR36:AU36),0),"OK","ERROR")</f>
        <v>OK</v>
      </c>
      <c r="AW146" s="246"/>
      <c r="AX146" s="237" t="str">
        <f>IF(ROUND(CF!AX36,0)=ROUND(SUM(CF!AT36:AW36),0),"OK","ERROR")</f>
        <v>OK</v>
      </c>
    </row>
    <row r="147" spans="1:50" s="54" customFormat="1" ht="15" customHeight="1" thickTop="1">
      <c r="A147" s="43"/>
      <c r="B147" s="154"/>
      <c r="C147" s="115"/>
      <c r="D147" s="208"/>
      <c r="E147" s="208"/>
      <c r="F147" s="208"/>
      <c r="G147" s="208"/>
      <c r="H147" s="220"/>
      <c r="I147" s="210"/>
      <c r="J147" s="208"/>
      <c r="K147" s="208"/>
      <c r="L147" s="208"/>
      <c r="M147" s="208"/>
      <c r="N147" s="220"/>
      <c r="O147" s="210"/>
      <c r="P147" s="208"/>
      <c r="Q147" s="208"/>
      <c r="R147" s="208"/>
      <c r="S147" s="208"/>
      <c r="T147" s="220"/>
      <c r="U147" s="210"/>
      <c r="V147" s="208"/>
      <c r="W147" s="208"/>
      <c r="X147" s="208"/>
      <c r="Y147" s="208"/>
      <c r="Z147" s="220"/>
      <c r="AA147" s="232"/>
      <c r="AB147" s="208"/>
      <c r="AC147" s="208"/>
      <c r="AD147" s="208"/>
      <c r="AE147" s="208"/>
      <c r="AF147" s="220"/>
      <c r="AG147" s="229"/>
      <c r="AH147" s="208"/>
      <c r="AI147" s="208"/>
      <c r="AJ147" s="212"/>
      <c r="AK147" s="212"/>
      <c r="AL147" s="220"/>
      <c r="AM147" s="230"/>
      <c r="AN147" s="212"/>
      <c r="AO147" s="212"/>
      <c r="AP147" s="212"/>
      <c r="AQ147" s="212"/>
      <c r="AR147" s="220"/>
      <c r="AS147" s="230"/>
      <c r="AT147" s="220"/>
      <c r="AU147" s="230"/>
      <c r="AV147" s="220"/>
      <c r="AW147" s="246"/>
      <c r="AX147" s="220"/>
    </row>
    <row r="148" spans="1:50" s="54" customFormat="1" ht="15" customHeight="1">
      <c r="A148" s="44" t="s">
        <v>37</v>
      </c>
      <c r="B148" s="158" t="s">
        <v>726</v>
      </c>
      <c r="C148" s="27"/>
      <c r="D148" s="208"/>
      <c r="E148" s="208"/>
      <c r="F148" s="208"/>
      <c r="G148" s="208"/>
      <c r="H148" s="220"/>
      <c r="I148" s="210"/>
      <c r="J148" s="208"/>
      <c r="K148" s="208"/>
      <c r="L148" s="208"/>
      <c r="M148" s="208"/>
      <c r="N148" s="220"/>
      <c r="O148" s="210"/>
      <c r="P148" s="208"/>
      <c r="Q148" s="208"/>
      <c r="R148" s="208"/>
      <c r="S148" s="208"/>
      <c r="T148" s="220"/>
      <c r="U148" s="210"/>
      <c r="V148" s="208"/>
      <c r="W148" s="208"/>
      <c r="X148" s="208"/>
      <c r="Y148" s="208"/>
      <c r="Z148" s="220"/>
      <c r="AA148" s="213"/>
      <c r="AB148" s="208"/>
      <c r="AC148" s="208"/>
      <c r="AD148" s="208"/>
      <c r="AE148" s="208"/>
      <c r="AF148" s="220"/>
      <c r="AG148" s="211"/>
      <c r="AH148" s="208"/>
      <c r="AI148" s="208"/>
      <c r="AJ148" s="212"/>
      <c r="AK148" s="212"/>
      <c r="AL148" s="220"/>
      <c r="AM148" s="215"/>
      <c r="AN148" s="212"/>
      <c r="AO148" s="212"/>
      <c r="AP148" s="212"/>
      <c r="AQ148" s="212"/>
      <c r="AR148" s="220"/>
      <c r="AS148" s="215"/>
      <c r="AT148" s="220"/>
      <c r="AU148" s="215"/>
      <c r="AV148" s="220"/>
      <c r="AW148" s="246"/>
      <c r="AX148" s="220"/>
    </row>
    <row r="149" spans="1:50" s="54" customFormat="1" ht="15" customHeight="1">
      <c r="A149" s="113"/>
      <c r="B149" s="159" t="s">
        <v>727</v>
      </c>
      <c r="C149" s="115"/>
      <c r="D149" s="217"/>
      <c r="E149" s="217"/>
      <c r="F149" s="217"/>
      <c r="G149" s="217"/>
      <c r="H149" s="220" t="str">
        <f>IF(ROUND(CF!H39,0)=ROUND(SUM(CF!D39:G39),0),"OK","ERROR")</f>
        <v>OK</v>
      </c>
      <c r="I149" s="210"/>
      <c r="J149" s="217"/>
      <c r="K149" s="217"/>
      <c r="L149" s="217"/>
      <c r="M149" s="217"/>
      <c r="N149" s="220" t="str">
        <f>IF(ROUND(CF!N39,0)=ROUND(SUM(CF!J39:M39),0),"OK","ERROR")</f>
        <v>OK</v>
      </c>
      <c r="O149" s="210"/>
      <c r="P149" s="217"/>
      <c r="Q149" s="217"/>
      <c r="R149" s="217"/>
      <c r="S149" s="217"/>
      <c r="T149" s="220" t="str">
        <f>IF(ROUND(CF!T39,0)=ROUND(SUM(CF!P39:S39),0),"OK","ERROR")</f>
        <v>OK</v>
      </c>
      <c r="U149" s="210"/>
      <c r="V149" s="217"/>
      <c r="W149" s="217"/>
      <c r="X149" s="217"/>
      <c r="Y149" s="217"/>
      <c r="Z149" s="220" t="str">
        <f>IF(ROUND(CF!Z39,0)=ROUND(SUM(CF!V39:Y39),0),"OK","ERROR")</f>
        <v>OK</v>
      </c>
      <c r="AA149" s="213"/>
      <c r="AB149" s="217"/>
      <c r="AC149" s="217"/>
      <c r="AD149" s="217"/>
      <c r="AE149" s="217"/>
      <c r="AF149" s="220" t="str">
        <f>IF(ROUND(CF!AF39,0)=ROUND(SUM(CF!AB39:AE39),0),"OK","ERROR")</f>
        <v>OK</v>
      </c>
      <c r="AG149" s="211"/>
      <c r="AH149" s="217"/>
      <c r="AI149" s="217"/>
      <c r="AJ149" s="212"/>
      <c r="AK149" s="212"/>
      <c r="AL149" s="220" t="str">
        <f>IF(ROUND(CF!AL39,0)=ROUND(SUM(CF!AH39:AK39),0),"OK","ERROR")</f>
        <v>ERROR</v>
      </c>
      <c r="AM149" s="215"/>
      <c r="AN149" s="212"/>
      <c r="AO149" s="212"/>
      <c r="AP149" s="212"/>
      <c r="AQ149" s="212"/>
      <c r="AR149" s="220" t="str">
        <f>IF(ROUND(CF!AR39,0)=ROUND(SUM(CF!AN39:AQ39),0),"OK","ERROR")</f>
        <v>OK</v>
      </c>
      <c r="AS149" s="215"/>
      <c r="AT149" s="220" t="str">
        <f>IF(ROUND(CF!AT39,0)=ROUND(SUM(CF!AP39:AS39),0),"OK","ERROR")</f>
        <v>OK</v>
      </c>
      <c r="AU149" s="215"/>
      <c r="AV149" s="220" t="str">
        <f>IF(ROUND(CF!AV39,0)=ROUND(SUM(CF!AR39:AU39),0),"OK","ERROR")</f>
        <v>OK</v>
      </c>
      <c r="AW149" s="246"/>
      <c r="AX149" s="220" t="str">
        <f>IF(ROUND(CF!AX39,0)=ROUND(SUM(CF!AT39:AW39),0),"OK","ERROR")</f>
        <v>OK</v>
      </c>
    </row>
    <row r="150" spans="1:50" s="54" customFormat="1" ht="15" customHeight="1">
      <c r="A150" s="113"/>
      <c r="B150" s="159" t="s">
        <v>728</v>
      </c>
      <c r="C150" s="115"/>
      <c r="D150" s="217"/>
      <c r="E150" s="217"/>
      <c r="F150" s="217"/>
      <c r="G150" s="217"/>
      <c r="H150" s="220" t="str">
        <f>IF(ROUND(CF!H40,0)=ROUND(SUM(CF!D40:G40),0),"OK","ERROR")</f>
        <v>OK</v>
      </c>
      <c r="I150" s="210"/>
      <c r="J150" s="217"/>
      <c r="K150" s="217"/>
      <c r="L150" s="217"/>
      <c r="M150" s="217"/>
      <c r="N150" s="220" t="str">
        <f>IF(ROUND(CF!N40,0)=ROUND(SUM(CF!J40:M40),0),"OK","ERROR")</f>
        <v>OK</v>
      </c>
      <c r="O150" s="210"/>
      <c r="P150" s="217"/>
      <c r="Q150" s="217"/>
      <c r="R150" s="217"/>
      <c r="S150" s="217"/>
      <c r="T150" s="220" t="str">
        <f>IF(ROUND(CF!T40,0)=ROUND(SUM(CF!P40:S40),0),"OK","ERROR")</f>
        <v>OK</v>
      </c>
      <c r="U150" s="210"/>
      <c r="V150" s="217"/>
      <c r="W150" s="217"/>
      <c r="X150" s="217"/>
      <c r="Y150" s="217"/>
      <c r="Z150" s="220" t="str">
        <f>IF(ROUND(CF!Z40,0)=ROUND(SUM(CF!V40:Y40),0),"OK","ERROR")</f>
        <v>OK</v>
      </c>
      <c r="AA150" s="213"/>
      <c r="AB150" s="217"/>
      <c r="AC150" s="217"/>
      <c r="AD150" s="217"/>
      <c r="AE150" s="217"/>
      <c r="AF150" s="220" t="str">
        <f>IF(ROUND(CF!AF40,0)=ROUND(SUM(CF!AB40:AE40),0),"OK","ERROR")</f>
        <v>OK</v>
      </c>
      <c r="AG150" s="211"/>
      <c r="AH150" s="217"/>
      <c r="AI150" s="217"/>
      <c r="AJ150" s="212"/>
      <c r="AK150" s="212"/>
      <c r="AL150" s="220" t="str">
        <f>IF(ROUND(CF!AL40,0)=ROUND(SUM(CF!AH40:AK40),0),"OK","ERROR")</f>
        <v>ERROR</v>
      </c>
      <c r="AM150" s="215"/>
      <c r="AN150" s="212"/>
      <c r="AO150" s="212"/>
      <c r="AP150" s="212"/>
      <c r="AQ150" s="212"/>
      <c r="AR150" s="220" t="str">
        <f>IF(ROUND(CF!AR40,0)=ROUND(SUM(CF!AN40:AQ40),0),"OK","ERROR")</f>
        <v>OK</v>
      </c>
      <c r="AS150" s="215"/>
      <c r="AT150" s="220" t="str">
        <f>IF(ROUND(CF!AT40,0)=ROUND(SUM(CF!AP40:AS40),0),"OK","ERROR")</f>
        <v>OK</v>
      </c>
      <c r="AU150" s="215"/>
      <c r="AV150" s="220" t="str">
        <f>IF(ROUND(CF!AV40,0)=ROUND(SUM(CF!AR40:AU40),0),"OK","ERROR")</f>
        <v>OK</v>
      </c>
      <c r="AW150" s="246"/>
      <c r="AX150" s="220" t="str">
        <f>IF(ROUND(CF!AX40,0)=ROUND(SUM(CF!AT40:AW40),0),"OK","ERROR")</f>
        <v>OK</v>
      </c>
    </row>
    <row r="151" spans="1:50" s="54" customFormat="1" ht="15" customHeight="1">
      <c r="A151" s="113"/>
      <c r="B151" s="159" t="s">
        <v>729</v>
      </c>
      <c r="C151" s="115"/>
      <c r="D151" s="217"/>
      <c r="E151" s="217"/>
      <c r="F151" s="217"/>
      <c r="G151" s="217"/>
      <c r="H151" s="220" t="str">
        <f>IF(ROUND(CF!H41,0)=ROUND(SUM(CF!D41:G41),0),"OK","ERROR")</f>
        <v>ERROR</v>
      </c>
      <c r="I151" s="210"/>
      <c r="J151" s="217"/>
      <c r="K151" s="217"/>
      <c r="L151" s="217"/>
      <c r="M151" s="217"/>
      <c r="N151" s="220" t="str">
        <f>IF(ROUND(CF!N41,0)=ROUND(SUM(CF!J41:M41),0),"OK","ERROR")</f>
        <v>OK</v>
      </c>
      <c r="O151" s="210"/>
      <c r="P151" s="217"/>
      <c r="Q151" s="217"/>
      <c r="R151" s="217"/>
      <c r="S151" s="217"/>
      <c r="T151" s="220" t="str">
        <f>IF(ROUND(CF!T41,0)=ROUND(SUM(CF!P41:S41),0),"OK","ERROR")</f>
        <v>OK</v>
      </c>
      <c r="U151" s="210"/>
      <c r="V151" s="217"/>
      <c r="W151" s="217"/>
      <c r="X151" s="217"/>
      <c r="Y151" s="217"/>
      <c r="Z151" s="220" t="str">
        <f>IF(ROUND(CF!Z41,0)=ROUND(SUM(CF!V41:Y41),0),"OK","ERROR")</f>
        <v>OK</v>
      </c>
      <c r="AA151" s="213"/>
      <c r="AB151" s="217"/>
      <c r="AC151" s="217"/>
      <c r="AD151" s="217"/>
      <c r="AE151" s="217"/>
      <c r="AF151" s="220" t="str">
        <f>IF(ROUND(CF!AF41,0)=ROUND(SUM(CF!AB41:AE41),0),"OK","ERROR")</f>
        <v>OK</v>
      </c>
      <c r="AG151" s="211"/>
      <c r="AH151" s="217"/>
      <c r="AI151" s="217"/>
      <c r="AJ151" s="212"/>
      <c r="AK151" s="212"/>
      <c r="AL151" s="220" t="str">
        <f>IF(ROUND(CF!AL41,0)=ROUND(SUM(CF!AH41:AK41),0),"OK","ERROR")</f>
        <v>OK</v>
      </c>
      <c r="AM151" s="215"/>
      <c r="AN151" s="212"/>
      <c r="AO151" s="212"/>
      <c r="AP151" s="212"/>
      <c r="AQ151" s="212"/>
      <c r="AR151" s="220" t="str">
        <f>IF(ROUND(CF!AR41,0)=ROUND(SUM(CF!AN41:AQ41),0),"OK","ERROR")</f>
        <v>OK</v>
      </c>
      <c r="AS151" s="215"/>
      <c r="AT151" s="220" t="str">
        <f>IF(ROUND(CF!AT41,0)=ROUND(SUM(CF!AP41:AS41),0),"OK","ERROR")</f>
        <v>OK</v>
      </c>
      <c r="AU151" s="215"/>
      <c r="AV151" s="220" t="str">
        <f>IF(ROUND(CF!AV41,0)=ROUND(SUM(CF!AR41:AU41),0),"OK","ERROR")</f>
        <v>OK</v>
      </c>
      <c r="AW151" s="246"/>
      <c r="AX151" s="220" t="str">
        <f>IF(ROUND(CF!AX41,0)=ROUND(SUM(CF!AT41:AW41),0),"OK","ERROR")</f>
        <v>OK</v>
      </c>
    </row>
    <row r="152" spans="1:50" s="54" customFormat="1" ht="15" customHeight="1">
      <c r="A152" s="142"/>
      <c r="B152" s="159" t="s">
        <v>730</v>
      </c>
      <c r="C152" s="27"/>
      <c r="D152" s="217"/>
      <c r="E152" s="217"/>
      <c r="F152" s="217"/>
      <c r="G152" s="217"/>
      <c r="H152" s="220" t="str">
        <f>IF(ROUND(CF!H42,0)=ROUND(SUM(CF!D42:G42),0),"OK","ERROR")</f>
        <v>ERROR</v>
      </c>
      <c r="I152" s="210"/>
      <c r="J152" s="217"/>
      <c r="K152" s="217"/>
      <c r="L152" s="217"/>
      <c r="M152" s="217"/>
      <c r="N152" s="220" t="str">
        <f>IF(ROUND(CF!N42,0)=ROUND(SUM(CF!J42:M42),0),"OK","ERROR")</f>
        <v>OK</v>
      </c>
      <c r="O152" s="210"/>
      <c r="P152" s="217"/>
      <c r="Q152" s="217"/>
      <c r="R152" s="217"/>
      <c r="S152" s="217"/>
      <c r="T152" s="220" t="str">
        <f>IF(ROUND(CF!T42,0)=ROUND(SUM(CF!P42:S42),0),"OK","ERROR")</f>
        <v>OK</v>
      </c>
      <c r="U152" s="210"/>
      <c r="V152" s="217"/>
      <c r="W152" s="217"/>
      <c r="X152" s="217"/>
      <c r="Y152" s="217"/>
      <c r="Z152" s="220" t="str">
        <f>IF(ROUND(CF!Z42,0)=ROUND(SUM(CF!V42:Y42),0),"OK","ERROR")</f>
        <v>OK</v>
      </c>
      <c r="AA152" s="213"/>
      <c r="AB152" s="217"/>
      <c r="AC152" s="217"/>
      <c r="AD152" s="217"/>
      <c r="AE152" s="217"/>
      <c r="AF152" s="220" t="str">
        <f>IF(ROUND(CF!AF42,0)=ROUND(SUM(CF!AB42:AE42),0),"OK","ERROR")</f>
        <v>OK</v>
      </c>
      <c r="AG152" s="211"/>
      <c r="AH152" s="217"/>
      <c r="AI152" s="217"/>
      <c r="AJ152" s="212"/>
      <c r="AK152" s="212"/>
      <c r="AL152" s="220" t="str">
        <f>IF(ROUND(CF!AL42,0)=ROUND(SUM(CF!AH42:AK42),0),"OK","ERROR")</f>
        <v>OK</v>
      </c>
      <c r="AM152" s="247"/>
      <c r="AN152" s="212"/>
      <c r="AO152" s="212"/>
      <c r="AP152" s="212"/>
      <c r="AQ152" s="212"/>
      <c r="AR152" s="220" t="str">
        <f>IF(ROUND(CF!AR42,0)=ROUND(SUM(CF!AN42:AQ42),0),"OK","ERROR")</f>
        <v>OK</v>
      </c>
      <c r="AS152" s="215"/>
      <c r="AT152" s="220" t="str">
        <f>IF(ROUND(CF!AT42,0)=ROUND(SUM(CF!AP42:AS42),0),"OK","ERROR")</f>
        <v>OK</v>
      </c>
      <c r="AU152" s="215"/>
      <c r="AV152" s="220" t="str">
        <f>IF(ROUND(CF!AV42,0)=ROUND(SUM(CF!AR42:AU42),0),"OK","ERROR")</f>
        <v>OK</v>
      </c>
      <c r="AW152" s="246"/>
      <c r="AX152" s="220" t="str">
        <f>IF(ROUND(CF!AX42,0)=ROUND(SUM(CF!AT42:AW42),0),"OK","ERROR")</f>
        <v>OK</v>
      </c>
    </row>
    <row r="153" spans="1:50" s="54" customFormat="1" ht="15" customHeight="1">
      <c r="A153" s="113"/>
      <c r="B153" s="159" t="s">
        <v>731</v>
      </c>
      <c r="C153" s="115"/>
      <c r="D153" s="217"/>
      <c r="E153" s="217"/>
      <c r="F153" s="217"/>
      <c r="G153" s="217"/>
      <c r="H153" s="220" t="str">
        <f>IF(ROUND(CF!H43,0)=ROUND(SUM(CF!D43:G43),0),"OK","ERROR")</f>
        <v>ERROR</v>
      </c>
      <c r="I153" s="210"/>
      <c r="J153" s="217"/>
      <c r="K153" s="217"/>
      <c r="L153" s="217"/>
      <c r="M153" s="217"/>
      <c r="N153" s="220" t="str">
        <f>IF(ROUND(CF!N43,0)=ROUND(SUM(CF!J43:M43),0),"OK","ERROR")</f>
        <v>OK</v>
      </c>
      <c r="O153" s="210"/>
      <c r="P153" s="217"/>
      <c r="Q153" s="217"/>
      <c r="R153" s="217"/>
      <c r="S153" s="217"/>
      <c r="T153" s="220" t="str">
        <f>IF(ROUND(CF!T43,0)=ROUND(SUM(CF!P43:S43),0),"OK","ERROR")</f>
        <v>OK</v>
      </c>
      <c r="U153" s="210"/>
      <c r="V153" s="217"/>
      <c r="W153" s="217"/>
      <c r="X153" s="217"/>
      <c r="Y153" s="217"/>
      <c r="Z153" s="220" t="str">
        <f>IF(ROUND(CF!Z43,0)=ROUND(SUM(CF!V43:Y43),0),"OK","ERROR")</f>
        <v>OK</v>
      </c>
      <c r="AA153" s="213"/>
      <c r="AB153" s="217"/>
      <c r="AC153" s="217"/>
      <c r="AD153" s="217"/>
      <c r="AE153" s="217"/>
      <c r="AF153" s="220" t="str">
        <f>IF(ROUND(CF!AF43,0)=ROUND(SUM(CF!AB43:AE43),0),"OK","ERROR")</f>
        <v>OK</v>
      </c>
      <c r="AG153" s="211"/>
      <c r="AH153" s="217"/>
      <c r="AI153" s="217"/>
      <c r="AJ153" s="212"/>
      <c r="AK153" s="212"/>
      <c r="AL153" s="220" t="str">
        <f>IF(ROUND(CF!AL43,0)=ROUND(SUM(CF!AH43:AK43),0),"OK","ERROR")</f>
        <v>ERROR</v>
      </c>
      <c r="AM153" s="247"/>
      <c r="AN153" s="212"/>
      <c r="AO153" s="212"/>
      <c r="AP153" s="212"/>
      <c r="AQ153" s="212"/>
      <c r="AR153" s="220" t="str">
        <f>IF(ROUND(CF!AR43,0)=ROUND(SUM(CF!AN43:AQ43),0),"OK","ERROR")</f>
        <v>OK</v>
      </c>
      <c r="AS153" s="215"/>
      <c r="AT153" s="220" t="str">
        <f>IF(ROUND(CF!AT43,0)=ROUND(SUM(CF!AP43:AS43),0),"OK","ERROR")</f>
        <v>OK</v>
      </c>
      <c r="AU153" s="215"/>
      <c r="AV153" s="220" t="str">
        <f>IF(ROUND(CF!AV43,0)=ROUND(SUM(CF!AR43:AU43),0),"OK","ERROR")</f>
        <v>OK</v>
      </c>
      <c r="AW153" s="246"/>
      <c r="AX153" s="220" t="str">
        <f>IF(ROUND(CF!AX43,0)=ROUND(SUM(CF!AT43:AW43),0),"OK","ERROR")</f>
        <v>OK</v>
      </c>
    </row>
    <row r="154" spans="1:50" s="54" customFormat="1" ht="15" customHeight="1">
      <c r="A154" s="113"/>
      <c r="B154" s="159" t="s">
        <v>732</v>
      </c>
      <c r="C154" s="115"/>
      <c r="D154" s="217"/>
      <c r="E154" s="217"/>
      <c r="F154" s="217"/>
      <c r="G154" s="217"/>
      <c r="H154" s="226" t="str">
        <f>IF(ROUND(CF!H44,0)=ROUND(SUM(CF!D44:G44),0),"OK","ERROR")</f>
        <v>ERROR</v>
      </c>
      <c r="I154" s="210"/>
      <c r="J154" s="217"/>
      <c r="K154" s="217"/>
      <c r="L154" s="217"/>
      <c r="M154" s="217"/>
      <c r="N154" s="226" t="str">
        <f>IF(ROUND(CF!N44,0)=ROUND(SUM(CF!J44:M44),0),"OK","ERROR")</f>
        <v>OK</v>
      </c>
      <c r="O154" s="210"/>
      <c r="P154" s="217"/>
      <c r="Q154" s="217"/>
      <c r="R154" s="217"/>
      <c r="S154" s="217"/>
      <c r="T154" s="226" t="str">
        <f>IF(ROUND(CF!T44,0)=ROUND(SUM(CF!P44:S44),0),"OK","ERROR")</f>
        <v>OK</v>
      </c>
      <c r="U154" s="210"/>
      <c r="V154" s="217"/>
      <c r="W154" s="217"/>
      <c r="X154" s="217"/>
      <c r="Y154" s="217"/>
      <c r="Z154" s="226" t="str">
        <f>IF(ROUND(CF!Z44,0)=ROUND(SUM(CF!V44:Y44),0),"OK","ERROR")</f>
        <v>OK</v>
      </c>
      <c r="AA154" s="228"/>
      <c r="AB154" s="217"/>
      <c r="AC154" s="217"/>
      <c r="AD154" s="217"/>
      <c r="AE154" s="217"/>
      <c r="AF154" s="226" t="str">
        <f>IF(ROUND(CF!AF44,0)=ROUND(SUM(CF!AB44:AE44),0),"OK","ERROR")</f>
        <v>OK</v>
      </c>
      <c r="AG154" s="229"/>
      <c r="AH154" s="217"/>
      <c r="AI154" s="217"/>
      <c r="AJ154" s="212"/>
      <c r="AK154" s="212"/>
      <c r="AL154" s="226" t="str">
        <f>IF(ROUND(CF!AL44,0)=ROUND(SUM(CF!AH44:AK44),0),"OK","ERROR")</f>
        <v>ERROR</v>
      </c>
      <c r="AM154" s="230"/>
      <c r="AN154" s="212"/>
      <c r="AO154" s="212"/>
      <c r="AP154" s="212"/>
      <c r="AQ154" s="212"/>
      <c r="AR154" s="226" t="str">
        <f>IF(ROUND(CF!AR44,0)=ROUND(SUM(CF!AN44:AQ44),0),"OK","ERROR")</f>
        <v>OK</v>
      </c>
      <c r="AS154" s="230"/>
      <c r="AT154" s="226" t="str">
        <f>IF(ROUND(CF!AT44,0)=ROUND(SUM(CF!AP44:AS44),0),"OK","ERROR")</f>
        <v>OK</v>
      </c>
      <c r="AU154" s="230"/>
      <c r="AV154" s="226" t="str">
        <f>IF(ROUND(CF!AV44,0)=ROUND(SUM(CF!AR44:AU44),0),"OK","ERROR")</f>
        <v>OK</v>
      </c>
      <c r="AW154" s="246"/>
      <c r="AX154" s="226" t="str">
        <f>IF(ROUND(CF!AX44,0)=ROUND(SUM(CF!AT44:AW44),0),"OK","ERROR")</f>
        <v>OK</v>
      </c>
    </row>
    <row r="155" spans="1:50" s="54" customFormat="1" ht="15" customHeight="1" thickBot="1">
      <c r="A155" s="113"/>
      <c r="B155" s="160" t="s">
        <v>733</v>
      </c>
      <c r="C155" s="17"/>
      <c r="D155" s="217"/>
      <c r="E155" s="217"/>
      <c r="F155" s="217"/>
      <c r="G155" s="217"/>
      <c r="H155" s="237" t="str">
        <f>IF(ROUND(CF!H45,0)=ROUND(SUM(CF!D45:G45),0),"OK","ERROR")</f>
        <v>OK</v>
      </c>
      <c r="I155" s="210"/>
      <c r="J155" s="217"/>
      <c r="K155" s="217"/>
      <c r="L155" s="217"/>
      <c r="M155" s="217"/>
      <c r="N155" s="237" t="str">
        <f>IF(ROUND(CF!N45,0)=ROUND(SUM(CF!J45:M45),0),"OK","ERROR")</f>
        <v>OK</v>
      </c>
      <c r="O155" s="210"/>
      <c r="P155" s="217"/>
      <c r="Q155" s="217"/>
      <c r="R155" s="217"/>
      <c r="S155" s="217"/>
      <c r="T155" s="237" t="str">
        <f>IF(ROUND(CF!T45,0)=ROUND(SUM(CF!P45:S45),0),"OK","ERROR")</f>
        <v>OK</v>
      </c>
      <c r="U155" s="210"/>
      <c r="V155" s="217"/>
      <c r="W155" s="217"/>
      <c r="X155" s="217"/>
      <c r="Y155" s="217"/>
      <c r="Z155" s="237" t="str">
        <f>IF(ROUND(CF!Z45,0)=ROUND(SUM(CF!V45:Y45),0),"OK","ERROR")</f>
        <v>OK</v>
      </c>
      <c r="AA155" s="210"/>
      <c r="AB155" s="217"/>
      <c r="AC155" s="217"/>
      <c r="AD155" s="217"/>
      <c r="AE155" s="217"/>
      <c r="AF155" s="237" t="str">
        <f>IF(ROUND(CF!AF45,0)=ROUND(SUM(CF!AB45:AE45),0),"OK","ERROR")</f>
        <v>OK</v>
      </c>
      <c r="AG155" s="238"/>
      <c r="AH155" s="217"/>
      <c r="AI155" s="217"/>
      <c r="AJ155" s="212"/>
      <c r="AK155" s="212"/>
      <c r="AL155" s="237" t="str">
        <f>IF(ROUND(CF!AL45,0)=ROUND(SUM(CF!AH45:AK45),0),"OK","ERROR")</f>
        <v>ERROR</v>
      </c>
      <c r="AM155" s="239"/>
      <c r="AN155" s="212"/>
      <c r="AO155" s="212"/>
      <c r="AP155" s="212"/>
      <c r="AQ155" s="212"/>
      <c r="AR155" s="237" t="str">
        <f>IF(ROUND(CF!AR45,0)=ROUND(SUM(CF!AN45:AQ45),0),"OK","ERROR")</f>
        <v>OK</v>
      </c>
      <c r="AS155" s="239"/>
      <c r="AT155" s="237" t="str">
        <f>IF(ROUND(CF!AT45,0)=ROUND(SUM(CF!AP45:AS45),0),"OK","ERROR")</f>
        <v>OK</v>
      </c>
      <c r="AU155" s="239"/>
      <c r="AV155" s="237" t="str">
        <f>IF(ROUND(CF!AV45,0)=ROUND(SUM(CF!AR45:AU45),0),"OK","ERROR")</f>
        <v>OK</v>
      </c>
      <c r="AW155" s="246"/>
      <c r="AX155" s="237" t="str">
        <f>IF(ROUND(CF!AX45,0)=ROUND(SUM(CF!AT45:AW45),0),"OK","ERROR")</f>
        <v>OK</v>
      </c>
    </row>
    <row r="156" spans="1:50" s="54" customFormat="1" ht="15" customHeight="1" thickTop="1">
      <c r="A156" s="113"/>
      <c r="B156" s="9"/>
      <c r="C156" s="115"/>
      <c r="D156" s="208"/>
      <c r="E156" s="208"/>
      <c r="F156" s="208"/>
      <c r="G156" s="208"/>
      <c r="H156" s="220"/>
      <c r="I156" s="210"/>
      <c r="J156" s="208"/>
      <c r="K156" s="208"/>
      <c r="L156" s="208"/>
      <c r="M156" s="208"/>
      <c r="N156" s="220"/>
      <c r="O156" s="210"/>
      <c r="P156" s="208"/>
      <c r="Q156" s="208"/>
      <c r="R156" s="208"/>
      <c r="S156" s="208"/>
      <c r="T156" s="220"/>
      <c r="U156" s="210"/>
      <c r="V156" s="208"/>
      <c r="W156" s="208"/>
      <c r="X156" s="208"/>
      <c r="Y156" s="208"/>
      <c r="Z156" s="220"/>
      <c r="AA156" s="228"/>
      <c r="AB156" s="208"/>
      <c r="AC156" s="208"/>
      <c r="AD156" s="208"/>
      <c r="AE156" s="208"/>
      <c r="AF156" s="220"/>
      <c r="AG156" s="229"/>
      <c r="AH156" s="208"/>
      <c r="AI156" s="208"/>
      <c r="AJ156" s="212"/>
      <c r="AK156" s="212"/>
      <c r="AL156" s="220"/>
      <c r="AM156" s="230"/>
      <c r="AN156" s="212"/>
      <c r="AO156" s="212"/>
      <c r="AP156" s="212"/>
      <c r="AQ156" s="212"/>
      <c r="AR156" s="220"/>
      <c r="AS156" s="230"/>
      <c r="AT156" s="220"/>
      <c r="AU156" s="230"/>
      <c r="AV156" s="220"/>
      <c r="AW156" s="246"/>
      <c r="AX156" s="220"/>
    </row>
    <row r="157" spans="1:50" s="54" customFormat="1" ht="15" customHeight="1">
      <c r="A157" s="44" t="s">
        <v>37</v>
      </c>
      <c r="B157" s="158" t="s">
        <v>734</v>
      </c>
      <c r="C157" s="17"/>
      <c r="D157" s="217"/>
      <c r="E157" s="217"/>
      <c r="F157" s="217"/>
      <c r="G157" s="217"/>
      <c r="H157" s="220" t="str">
        <f>IF(ROUND(CF!H47,0)=ROUND(SUM(CF!D47:G47),0),"OK","ERROR")</f>
        <v>OK</v>
      </c>
      <c r="I157" s="210"/>
      <c r="J157" s="217"/>
      <c r="K157" s="217"/>
      <c r="L157" s="217"/>
      <c r="M157" s="217"/>
      <c r="N157" s="220" t="str">
        <f>IF(ROUND(CF!N47,0)=ROUND(SUM(CF!J47:M47),0),"OK","ERROR")</f>
        <v>OK</v>
      </c>
      <c r="O157" s="210"/>
      <c r="P157" s="217"/>
      <c r="Q157" s="217"/>
      <c r="R157" s="217"/>
      <c r="S157" s="217"/>
      <c r="T157" s="220" t="str">
        <f>IF(ROUND(CF!T47,0)=ROUND(SUM(CF!P47:S47),0),"OK","ERROR")</f>
        <v>OK</v>
      </c>
      <c r="U157" s="210"/>
      <c r="V157" s="217"/>
      <c r="W157" s="217"/>
      <c r="X157" s="217"/>
      <c r="Y157" s="217"/>
      <c r="Z157" s="220" t="str">
        <f>IF(ROUND(CF!Z47,0)=ROUND(SUM(CF!V47:Y47),0),"OK","ERROR")</f>
        <v>OK</v>
      </c>
      <c r="AA157" s="210"/>
      <c r="AB157" s="217"/>
      <c r="AC157" s="217"/>
      <c r="AD157" s="217"/>
      <c r="AE157" s="217"/>
      <c r="AF157" s="220" t="str">
        <f>IF(ROUND(CF!AF47,0)=ROUND(SUM(CF!AB47:AE47),0),"OK","ERROR")</f>
        <v>OK</v>
      </c>
      <c r="AG157" s="238"/>
      <c r="AH157" s="217"/>
      <c r="AI157" s="217"/>
      <c r="AJ157" s="212"/>
      <c r="AK157" s="212"/>
      <c r="AL157" s="220" t="str">
        <f>IF(ROUND(CF!AL47,0)=ROUND(SUM(CF!AH47:AK47),0),"OK","ERROR")</f>
        <v>ERROR</v>
      </c>
      <c r="AM157" s="225"/>
      <c r="AN157" s="212"/>
      <c r="AO157" s="212"/>
      <c r="AP157" s="212"/>
      <c r="AQ157" s="212"/>
      <c r="AR157" s="220" t="str">
        <f>IF(ROUND(CF!AR47,0)=ROUND(SUM(CF!AN47:AQ47),0),"OK","ERROR")</f>
        <v>OK</v>
      </c>
      <c r="AS157" s="225"/>
      <c r="AT157" s="220" t="str">
        <f>IF(ROUND(CF!AT47,0)=ROUND(SUM(CF!AP47:AS47),0),"OK","ERROR")</f>
        <v>OK</v>
      </c>
      <c r="AU157" s="225"/>
      <c r="AV157" s="220" t="str">
        <f>IF(ROUND(CF!AV47,0)=ROUND(SUM(CF!AR47:AU47),0),"OK","ERROR")</f>
        <v>OK</v>
      </c>
      <c r="AW157" s="246"/>
      <c r="AX157" s="220" t="str">
        <f>IF(ROUND(CF!AX47,0)=ROUND(SUM(CF!AT47:AW47),0),"OK","ERROR")</f>
        <v>OK</v>
      </c>
    </row>
    <row r="158" spans="1:50" s="54" customFormat="1" ht="15" customHeight="1">
      <c r="A158" s="113"/>
      <c r="C158" s="115"/>
      <c r="D158" s="208"/>
      <c r="E158" s="208"/>
      <c r="F158" s="208"/>
      <c r="G158" s="208"/>
      <c r="H158" s="220"/>
      <c r="I158" s="210"/>
      <c r="J158" s="208"/>
      <c r="K158" s="208"/>
      <c r="L158" s="208"/>
      <c r="M158" s="208"/>
      <c r="N158" s="220"/>
      <c r="O158" s="210"/>
      <c r="P158" s="208"/>
      <c r="Q158" s="208"/>
      <c r="R158" s="208"/>
      <c r="S158" s="208"/>
      <c r="T158" s="220"/>
      <c r="U158" s="210"/>
      <c r="V158" s="208"/>
      <c r="W158" s="208"/>
      <c r="X158" s="208"/>
      <c r="Y158" s="208"/>
      <c r="Z158" s="220"/>
      <c r="AA158" s="210"/>
      <c r="AB158" s="208"/>
      <c r="AC158" s="208"/>
      <c r="AD158" s="208"/>
      <c r="AE158" s="208"/>
      <c r="AF158" s="220"/>
      <c r="AG158" s="238"/>
      <c r="AH158" s="208"/>
      <c r="AI158" s="208"/>
      <c r="AJ158" s="212"/>
      <c r="AK158" s="212"/>
      <c r="AL158" s="220"/>
      <c r="AM158" s="239"/>
      <c r="AN158" s="212"/>
      <c r="AO158" s="212"/>
      <c r="AP158" s="212"/>
      <c r="AQ158" s="212"/>
      <c r="AR158" s="220"/>
      <c r="AS158" s="239"/>
      <c r="AT158" s="220"/>
      <c r="AU158" s="239"/>
      <c r="AV158" s="220"/>
      <c r="AW158" s="246"/>
      <c r="AX158" s="220"/>
    </row>
    <row r="159" spans="1:50" s="54" customFormat="1" ht="15" customHeight="1">
      <c r="A159" s="44" t="s">
        <v>37</v>
      </c>
      <c r="B159" s="158" t="s">
        <v>735</v>
      </c>
      <c r="C159" s="17"/>
      <c r="D159" s="217"/>
      <c r="E159" s="217"/>
      <c r="F159" s="217"/>
      <c r="G159" s="217"/>
      <c r="H159" s="226" t="str">
        <f>IF(ROUND(CF!H49,0)=ROUND(SUM(CF!D49:G49),0),"OK","ERROR")</f>
        <v>OK</v>
      </c>
      <c r="I159" s="210"/>
      <c r="J159" s="217"/>
      <c r="K159" s="217"/>
      <c r="L159" s="217"/>
      <c r="M159" s="217"/>
      <c r="N159" s="226" t="str">
        <f>IF(ROUND(CF!N49,0)=ROUND(SUM(CF!J49:M49),0),"OK","ERROR")</f>
        <v>OK</v>
      </c>
      <c r="O159" s="210"/>
      <c r="P159" s="217"/>
      <c r="Q159" s="217"/>
      <c r="R159" s="217"/>
      <c r="S159" s="217"/>
      <c r="T159" s="226" t="str">
        <f>IF(ROUND(CF!T49,0)=ROUND(SUM(CF!P49:S49),0),"OK","ERROR")</f>
        <v>OK</v>
      </c>
      <c r="U159" s="210"/>
      <c r="V159" s="217"/>
      <c r="W159" s="217"/>
      <c r="X159" s="217"/>
      <c r="Y159" s="217"/>
      <c r="Z159" s="226" t="str">
        <f>IF(ROUND(CF!Z49,0)=ROUND(SUM(CF!V49:Y49),0),"OK","ERROR")</f>
        <v>ERROR</v>
      </c>
      <c r="AA159" s="210"/>
      <c r="AB159" s="217"/>
      <c r="AC159" s="217"/>
      <c r="AD159" s="217"/>
      <c r="AE159" s="217"/>
      <c r="AF159" s="226" t="str">
        <f>IF(ROUND(CF!AF49,0)=ROUND(SUM(CF!AB49:AE49),0),"OK","ERROR")</f>
        <v>OK</v>
      </c>
      <c r="AG159" s="238"/>
      <c r="AH159" s="217"/>
      <c r="AI159" s="217"/>
      <c r="AJ159" s="212"/>
      <c r="AK159" s="212"/>
      <c r="AL159" s="226" t="str">
        <f>IF(ROUND(CF!AL49,0)=ROUND(SUM(CF!AH49:AK49),0),"OK","ERROR")</f>
        <v>ERROR</v>
      </c>
      <c r="AM159" s="239"/>
      <c r="AN159" s="212"/>
      <c r="AO159" s="212"/>
      <c r="AP159" s="212"/>
      <c r="AQ159" s="212"/>
      <c r="AR159" s="226" t="str">
        <f>IF(ROUND(CF!AR49,0)=ROUND(SUM(CF!AN49:AQ49),0),"OK","ERROR")</f>
        <v>OK</v>
      </c>
      <c r="AS159" s="239"/>
      <c r="AT159" s="226" t="str">
        <f>IF(ROUND(CF!AT49,0)=ROUND(SUM(CF!AP49:AS49),0),"OK","ERROR")</f>
        <v>OK</v>
      </c>
      <c r="AU159" s="239"/>
      <c r="AV159" s="226" t="str">
        <f>IF(ROUND(CF!AV49,0)=ROUND(SUM(CF!AR49:AU49),0),"OK","ERROR")</f>
        <v>OK</v>
      </c>
      <c r="AW159" s="246"/>
      <c r="AX159" s="226" t="str">
        <f>IF(ROUND(CF!AX49,0)=ROUND(SUM(CF!AT49:AW49),0),"OK","ERROR")</f>
        <v>OK</v>
      </c>
    </row>
    <row r="161" spans="1:50" s="41" customFormat="1" ht="15" customHeight="1">
      <c r="A161" s="44" t="s">
        <v>37</v>
      </c>
      <c r="B161" s="161" t="s">
        <v>743</v>
      </c>
      <c r="C161" s="18"/>
      <c r="D161" s="202"/>
      <c r="E161" s="202">
        <f>F161</f>
        <v>2020</v>
      </c>
      <c r="F161" s="202">
        <v>2020</v>
      </c>
      <c r="G161" s="202">
        <f>F161</f>
        <v>2020</v>
      </c>
      <c r="H161" s="202">
        <f>F161</f>
        <v>2020</v>
      </c>
      <c r="I161" s="18"/>
      <c r="J161" s="202">
        <f>L161</f>
        <v>2021</v>
      </c>
      <c r="K161" s="202">
        <f>L161</f>
        <v>2021</v>
      </c>
      <c r="L161" s="202">
        <v>2021</v>
      </c>
      <c r="M161" s="202">
        <f>L161</f>
        <v>2021</v>
      </c>
      <c r="N161" s="202">
        <f>L161</f>
        <v>2021</v>
      </c>
      <c r="O161" s="169"/>
      <c r="P161" s="202">
        <f>R161</f>
        <v>2022</v>
      </c>
      <c r="Q161" s="202">
        <f>R161</f>
        <v>2022</v>
      </c>
      <c r="R161" s="202">
        <v>2022</v>
      </c>
      <c r="S161" s="202">
        <f>R161</f>
        <v>2022</v>
      </c>
      <c r="T161" s="202">
        <f>R161</f>
        <v>2022</v>
      </c>
      <c r="U161" s="169"/>
      <c r="V161" s="202">
        <f>X161</f>
        <v>2023</v>
      </c>
      <c r="W161" s="202">
        <f>X161</f>
        <v>2023</v>
      </c>
      <c r="X161" s="202">
        <v>2023</v>
      </c>
      <c r="Y161" s="202">
        <f>X161</f>
        <v>2023</v>
      </c>
      <c r="Z161" s="202">
        <f>X161</f>
        <v>2023</v>
      </c>
      <c r="AA161" s="170"/>
      <c r="AB161" s="202">
        <f>AD161</f>
        <v>2024</v>
      </c>
      <c r="AC161" s="202">
        <f>AD161</f>
        <v>2024</v>
      </c>
      <c r="AD161" s="202">
        <v>2024</v>
      </c>
      <c r="AE161" s="202">
        <f>AD161</f>
        <v>2024</v>
      </c>
      <c r="AF161" s="202">
        <f>AD161</f>
        <v>2024</v>
      </c>
      <c r="AG161" s="170"/>
      <c r="AH161" s="202">
        <f>AJ161</f>
        <v>2025</v>
      </c>
      <c r="AI161" s="202">
        <f>AJ161</f>
        <v>2025</v>
      </c>
      <c r="AJ161" s="203">
        <v>2025</v>
      </c>
      <c r="AK161" s="202">
        <f>AJ161</f>
        <v>2025</v>
      </c>
      <c r="AL161" s="202">
        <f>AJ161</f>
        <v>2025</v>
      </c>
      <c r="AM161" s="171"/>
      <c r="AN161" s="202">
        <f>AP161</f>
        <v>2025</v>
      </c>
      <c r="AO161" s="202">
        <f>AP161</f>
        <v>2025</v>
      </c>
      <c r="AP161" s="203">
        <v>2025</v>
      </c>
      <c r="AQ161" s="202">
        <f>AP161</f>
        <v>2025</v>
      </c>
      <c r="AR161" s="202">
        <f>AP161</f>
        <v>2025</v>
      </c>
      <c r="AS161" s="18"/>
      <c r="AT161" s="162"/>
      <c r="AU161" s="18"/>
      <c r="AV161" s="163"/>
      <c r="AW161" s="18"/>
      <c r="AX161" s="163"/>
    </row>
    <row r="162" spans="1:50" s="41" customFormat="1" ht="15" customHeight="1">
      <c r="B162" s="164"/>
      <c r="C162" s="18"/>
      <c r="D162" s="779">
        <v>2020</v>
      </c>
      <c r="E162" s="779"/>
      <c r="F162" s="779"/>
      <c r="G162" s="779"/>
      <c r="H162" s="779"/>
      <c r="I162" s="169"/>
      <c r="J162" s="779">
        <f>D162+1</f>
        <v>2021</v>
      </c>
      <c r="K162" s="779"/>
      <c r="L162" s="779"/>
      <c r="M162" s="779"/>
      <c r="N162" s="779"/>
      <c r="O162" s="169"/>
      <c r="P162" s="779">
        <f>J162+1</f>
        <v>2022</v>
      </c>
      <c r="Q162" s="779"/>
      <c r="R162" s="779"/>
      <c r="S162" s="779"/>
      <c r="T162" s="779"/>
      <c r="U162" s="169"/>
      <c r="V162" s="779">
        <f>P162+1</f>
        <v>2023</v>
      </c>
      <c r="W162" s="779"/>
      <c r="X162" s="779"/>
      <c r="Y162" s="779"/>
      <c r="Z162" s="779"/>
      <c r="AA162" s="169"/>
      <c r="AB162" s="779">
        <f>V162+1</f>
        <v>2024</v>
      </c>
      <c r="AC162" s="779"/>
      <c r="AD162" s="779"/>
      <c r="AE162" s="779"/>
      <c r="AF162" s="779"/>
      <c r="AG162" s="169"/>
      <c r="AH162" s="777">
        <f>AB162+1</f>
        <v>2025</v>
      </c>
      <c r="AI162" s="777"/>
      <c r="AJ162" s="777"/>
      <c r="AK162" s="777"/>
      <c r="AL162" s="777"/>
      <c r="AM162" s="169"/>
      <c r="AN162" s="777">
        <f>AH162+1</f>
        <v>2026</v>
      </c>
      <c r="AO162" s="777"/>
      <c r="AP162" s="777"/>
      <c r="AQ162" s="777"/>
      <c r="AR162" s="777"/>
      <c r="AS162" s="171"/>
      <c r="AT162" s="166">
        <f>AN162+1</f>
        <v>2027</v>
      </c>
      <c r="AU162" s="167"/>
      <c r="AV162" s="166">
        <f>+AT162+1</f>
        <v>2028</v>
      </c>
      <c r="AW162" s="167"/>
      <c r="AX162" s="166">
        <f>+AV162+1</f>
        <v>2029</v>
      </c>
    </row>
    <row r="163" spans="1:50" s="41" customFormat="1" ht="15" customHeight="1">
      <c r="B163" s="164"/>
      <c r="C163" s="18"/>
      <c r="D163" s="168" t="s">
        <v>243</v>
      </c>
      <c r="E163" s="168" t="s">
        <v>244</v>
      </c>
      <c r="F163" s="168" t="s">
        <v>245</v>
      </c>
      <c r="G163" s="168" t="s">
        <v>246</v>
      </c>
      <c r="H163" s="168" t="s">
        <v>247</v>
      </c>
      <c r="I163" s="18"/>
      <c r="J163" s="168" t="s">
        <v>243</v>
      </c>
      <c r="K163" s="168" t="s">
        <v>244</v>
      </c>
      <c r="L163" s="168" t="s">
        <v>245</v>
      </c>
      <c r="M163" s="168" t="s">
        <v>246</v>
      </c>
      <c r="N163" s="168" t="s">
        <v>247</v>
      </c>
      <c r="O163" s="165"/>
      <c r="P163" s="168" t="s">
        <v>243</v>
      </c>
      <c r="Q163" s="168" t="s">
        <v>244</v>
      </c>
      <c r="R163" s="168" t="s">
        <v>245</v>
      </c>
      <c r="S163" s="168" t="s">
        <v>246</v>
      </c>
      <c r="T163" s="168" t="s">
        <v>247</v>
      </c>
      <c r="U163" s="165"/>
      <c r="V163" s="168" t="s">
        <v>243</v>
      </c>
      <c r="W163" s="168" t="s">
        <v>244</v>
      </c>
      <c r="X163" s="168" t="s">
        <v>245</v>
      </c>
      <c r="Y163" s="168" t="s">
        <v>246</v>
      </c>
      <c r="Z163" s="168" t="s">
        <v>247</v>
      </c>
      <c r="AA163" s="165"/>
      <c r="AB163" s="168" t="s">
        <v>243</v>
      </c>
      <c r="AC163" s="168" t="s">
        <v>244</v>
      </c>
      <c r="AD163" s="168" t="s">
        <v>245</v>
      </c>
      <c r="AE163" s="168" t="s">
        <v>246</v>
      </c>
      <c r="AF163" s="168" t="s">
        <v>247</v>
      </c>
      <c r="AG163" s="165"/>
      <c r="AH163" s="168" t="s">
        <v>243</v>
      </c>
      <c r="AI163" s="168" t="s">
        <v>244</v>
      </c>
      <c r="AJ163" s="168" t="s">
        <v>245</v>
      </c>
      <c r="AK163" s="168" t="s">
        <v>246</v>
      </c>
      <c r="AL163" s="168" t="s">
        <v>247</v>
      </c>
      <c r="AM163" s="165"/>
      <c r="AN163" s="168" t="s">
        <v>243</v>
      </c>
      <c r="AO163" s="168" t="s">
        <v>244</v>
      </c>
      <c r="AP163" s="168" t="s">
        <v>245</v>
      </c>
      <c r="AQ163" s="168" t="s">
        <v>246</v>
      </c>
      <c r="AR163" s="168" t="s">
        <v>247</v>
      </c>
      <c r="AS163" s="165"/>
      <c r="AT163" s="168" t="s">
        <v>247</v>
      </c>
      <c r="AU163" s="165"/>
      <c r="AV163" s="168" t="s">
        <v>247</v>
      </c>
      <c r="AW163" s="165"/>
      <c r="AX163" s="168" t="s">
        <v>247</v>
      </c>
    </row>
    <row r="164" spans="1:50" s="41" customFormat="1" ht="4.3499999999999996" customHeight="1">
      <c r="A164" s="43"/>
      <c r="B164" s="176"/>
      <c r="C164" s="35"/>
      <c r="D164" s="177"/>
      <c r="E164" s="177"/>
      <c r="F164" s="177"/>
      <c r="G164" s="177"/>
      <c r="H164" s="177"/>
      <c r="I164" s="35"/>
      <c r="J164" s="177"/>
      <c r="K164" s="177"/>
      <c r="L164" s="177"/>
      <c r="M164" s="177"/>
      <c r="N164" s="177"/>
      <c r="O164" s="178"/>
      <c r="P164" s="177"/>
      <c r="Q164" s="177"/>
      <c r="R164" s="177"/>
      <c r="S164" s="177"/>
      <c r="T164" s="177"/>
      <c r="U164" s="178"/>
      <c r="V164" s="177"/>
      <c r="W164" s="177"/>
      <c r="X164" s="177"/>
      <c r="Y164" s="177"/>
      <c r="Z164" s="177"/>
      <c r="AA164" s="178"/>
      <c r="AB164" s="177"/>
      <c r="AC164" s="177"/>
      <c r="AD164" s="177"/>
      <c r="AE164" s="177"/>
      <c r="AF164" s="177"/>
      <c r="AG164" s="178"/>
      <c r="AH164" s="177"/>
      <c r="AI164" s="177"/>
      <c r="AJ164" s="177"/>
      <c r="AK164" s="177"/>
      <c r="AL164" s="179"/>
      <c r="AM164" s="180"/>
      <c r="AN164" s="179"/>
      <c r="AO164" s="179"/>
      <c r="AP164" s="179"/>
      <c r="AQ164" s="179"/>
      <c r="AR164" s="179"/>
      <c r="AS164" s="180"/>
      <c r="AT164" s="179"/>
      <c r="AU164" s="180"/>
      <c r="AV164" s="179"/>
      <c r="AW164" s="180"/>
      <c r="AX164" s="179"/>
    </row>
    <row r="165" spans="1:50" s="41" customFormat="1" ht="4.3499999999999996" customHeight="1">
      <c r="A165" s="43"/>
      <c r="B165" s="172"/>
      <c r="C165" s="19"/>
      <c r="D165" s="173"/>
      <c r="E165" s="173"/>
      <c r="F165" s="173"/>
      <c r="G165" s="173"/>
      <c r="H165" s="173"/>
      <c r="I165" s="19"/>
      <c r="J165" s="173"/>
      <c r="K165" s="173"/>
      <c r="L165" s="173"/>
      <c r="M165" s="173"/>
      <c r="N165" s="173"/>
      <c r="O165" s="174"/>
      <c r="P165" s="173"/>
      <c r="Q165" s="173"/>
      <c r="R165" s="173"/>
      <c r="S165" s="173"/>
      <c r="T165" s="173"/>
      <c r="U165" s="174"/>
      <c r="V165" s="173"/>
      <c r="W165" s="173"/>
      <c r="X165" s="173"/>
      <c r="Y165" s="173"/>
      <c r="Z165" s="173"/>
      <c r="AA165" s="174"/>
      <c r="AB165" s="173"/>
      <c r="AC165" s="173"/>
      <c r="AD165" s="173"/>
      <c r="AE165" s="173"/>
      <c r="AF165" s="173"/>
      <c r="AG165" s="204"/>
      <c r="AH165" s="173"/>
      <c r="AI165" s="173"/>
      <c r="AJ165" s="173"/>
      <c r="AK165" s="173"/>
      <c r="AL165" s="175"/>
      <c r="AM165" s="34"/>
      <c r="AN165" s="175"/>
      <c r="AO165" s="175"/>
      <c r="AP165" s="175"/>
      <c r="AQ165" s="175"/>
      <c r="AR165" s="175"/>
      <c r="AS165" s="34"/>
      <c r="AT165" s="175"/>
      <c r="AU165" s="34"/>
      <c r="AV165" s="175"/>
      <c r="AW165" s="34"/>
      <c r="AX165" s="175"/>
    </row>
    <row r="166" spans="1:50" s="54" customFormat="1" ht="15" customHeight="1">
      <c r="A166" s="43"/>
      <c r="B166" s="154"/>
      <c r="C166" s="17"/>
      <c r="D166" s="46"/>
      <c r="E166" s="46"/>
      <c r="F166" s="46"/>
      <c r="G166" s="46"/>
      <c r="H166" s="57"/>
      <c r="I166" s="48"/>
      <c r="J166" s="46"/>
      <c r="K166" s="46"/>
      <c r="L166" s="46"/>
      <c r="M166" s="46"/>
      <c r="N166" s="57"/>
      <c r="O166" s="47"/>
      <c r="P166" s="46"/>
      <c r="Q166" s="46"/>
      <c r="R166" s="46"/>
      <c r="S166" s="46"/>
      <c r="T166" s="57"/>
      <c r="U166" s="47"/>
      <c r="V166" s="46"/>
      <c r="W166" s="46"/>
      <c r="X166" s="46"/>
      <c r="Y166" s="46"/>
      <c r="Z166" s="57"/>
      <c r="AA166" s="47"/>
      <c r="AB166" s="46"/>
      <c r="AC166" s="46"/>
      <c r="AD166" s="46"/>
      <c r="AE166" s="46"/>
      <c r="AF166" s="57"/>
      <c r="AG166" s="49"/>
      <c r="AH166" s="46"/>
      <c r="AI166" s="46"/>
      <c r="AJ166" s="50"/>
      <c r="AK166" s="50"/>
      <c r="AL166" s="58"/>
      <c r="AM166" s="53"/>
      <c r="AN166" s="50"/>
      <c r="AO166" s="50"/>
      <c r="AP166" s="50"/>
      <c r="AQ166" s="50"/>
      <c r="AR166" s="58"/>
      <c r="AS166" s="53"/>
      <c r="AT166" s="58"/>
      <c r="AU166" s="53"/>
      <c r="AV166" s="58"/>
      <c r="AX166" s="58"/>
    </row>
    <row r="167" spans="1:50" s="54" customFormat="1" ht="15" customHeight="1">
      <c r="A167" s="44" t="s">
        <v>37</v>
      </c>
      <c r="B167" s="154" t="s">
        <v>709</v>
      </c>
      <c r="C167" s="17"/>
      <c r="D167" s="208"/>
      <c r="E167" s="208"/>
      <c r="F167" s="208"/>
      <c r="G167" s="208"/>
      <c r="H167" s="220"/>
      <c r="I167" s="210"/>
      <c r="J167" s="208"/>
      <c r="K167" s="208"/>
      <c r="L167" s="208"/>
      <c r="M167" s="208"/>
      <c r="N167" s="220"/>
      <c r="O167" s="209"/>
      <c r="P167" s="208"/>
      <c r="Q167" s="208"/>
      <c r="R167" s="208"/>
      <c r="S167" s="208"/>
      <c r="T167" s="220"/>
      <c r="U167" s="209"/>
      <c r="V167" s="208"/>
      <c r="W167" s="208"/>
      <c r="X167" s="208"/>
      <c r="Y167" s="208"/>
      <c r="Z167" s="220"/>
      <c r="AA167" s="209"/>
      <c r="AB167" s="208"/>
      <c r="AC167" s="208"/>
      <c r="AD167" s="208"/>
      <c r="AE167" s="208"/>
      <c r="AF167" s="220"/>
      <c r="AG167" s="211"/>
      <c r="AH167" s="208"/>
      <c r="AI167" s="208"/>
      <c r="AJ167" s="212"/>
      <c r="AK167" s="212"/>
      <c r="AL167" s="222"/>
      <c r="AM167" s="215"/>
      <c r="AN167" s="212"/>
      <c r="AO167" s="212"/>
      <c r="AP167" s="212"/>
      <c r="AQ167" s="212"/>
      <c r="AR167" s="222"/>
      <c r="AS167" s="215"/>
      <c r="AT167" s="222"/>
      <c r="AU167" s="215"/>
      <c r="AV167" s="222"/>
      <c r="AW167" s="246"/>
      <c r="AX167" s="222"/>
    </row>
    <row r="168" spans="1:50" s="54" customFormat="1" ht="15" customHeight="1" thickBot="1">
      <c r="A168" s="84"/>
      <c r="B168" s="157" t="s">
        <v>715</v>
      </c>
      <c r="C168" s="26"/>
      <c r="D168" s="217" t="str">
        <f>IF(ROUND(CF!D25,0)=ROUND(SUM(CF!D15,CF!D17:D19,CF!D21:D24),0),"OK","ERROR")</f>
        <v>ERROR</v>
      </c>
      <c r="E168" s="217" t="str">
        <f>IF(ROUND(CF!E25,0)=ROUND(SUM(CF!E15,CF!E17:E19,CF!E21:E24),0),"OK","ERROR")</f>
        <v>ERROR</v>
      </c>
      <c r="F168" s="217" t="str">
        <f>IF(ROUND(CF!F25,0)=ROUND(SUM(CF!F15,CF!F17:F19,CF!F21:F24),0),"OK","ERROR")</f>
        <v>ERROR</v>
      </c>
      <c r="G168" s="217" t="str">
        <f>IF(ROUND(CF!G25,0)=ROUND(SUM(CF!G15,CF!G17:G19,CF!G21:G24),0),"OK","ERROR")</f>
        <v>ERROR</v>
      </c>
      <c r="H168" s="237" t="str">
        <f>IF(ROUND(CF!H25,0)=ROUND(SUM(CF!H15,CF!H17:H19,CF!H21:H24),0),"OK","ERROR")</f>
        <v>ERROR</v>
      </c>
      <c r="I168" s="210"/>
      <c r="J168" s="217" t="str">
        <f>IF(ROUND(CF!J25,0)=ROUND(SUM(CF!J15,CF!J17:J19,CF!J21:J24),0),"OK","ERROR")</f>
        <v>ERROR</v>
      </c>
      <c r="K168" s="217" t="str">
        <f>IF(ROUND(CF!K25,0)=ROUND(SUM(CF!K15,CF!K17:K19,CF!K21:K24),0),"OK","ERROR")</f>
        <v>ERROR</v>
      </c>
      <c r="L168" s="217" t="str">
        <f>IF(ROUND(CF!L25,0)=ROUND(SUM(CF!L15,CF!L17:L19,CF!L21:L24),0),"OK","ERROR")</f>
        <v>ERROR</v>
      </c>
      <c r="M168" s="217" t="str">
        <f>IF(ROUND(CF!M25,0)=ROUND(SUM(CF!M15,CF!M17:M19,CF!M21:M24),0),"OK","ERROR")</f>
        <v>ERROR</v>
      </c>
      <c r="N168" s="237" t="str">
        <f>IF(ROUND(CF!N25,0)=ROUND(SUM(CF!N15,CF!N17:N19,CF!N21:N24),0),"OK","ERROR")</f>
        <v>ERROR</v>
      </c>
      <c r="O168" s="210"/>
      <c r="P168" s="217" t="str">
        <f>IF(ROUND(CF!P25,0)=ROUND(SUM(CF!P15,CF!P17:P19,CF!P21:P24),0),"OK","ERROR")</f>
        <v>ERROR</v>
      </c>
      <c r="Q168" s="217" t="str">
        <f>IF(ROUND(CF!Q25,0)=ROUND(SUM(CF!Q15,CF!Q17:Q19,CF!Q21:Q24),0),"OK","ERROR")</f>
        <v>ERROR</v>
      </c>
      <c r="R168" s="217" t="str">
        <f>IF(ROUND(CF!R25,0)=ROUND(SUM(CF!R15,CF!R17:R19,CF!R21:R24),0),"OK","ERROR")</f>
        <v>ERROR</v>
      </c>
      <c r="S168" s="217" t="str">
        <f>IF(ROUND(CF!S25,0)=ROUND(SUM(CF!S15,CF!S17:S19,CF!S21:S24),0),"OK","ERROR")</f>
        <v>ERROR</v>
      </c>
      <c r="T168" s="237" t="str">
        <f>IF(ROUND(CF!T25,0)=ROUND(SUM(CF!T15,CF!T17:T19,CF!T21:T24),0),"OK","ERROR")</f>
        <v>ERROR</v>
      </c>
      <c r="U168" s="210"/>
      <c r="V168" s="217" t="str">
        <f>IF(ROUND(CF!V25,0)=ROUND(SUM(CF!V15,CF!V17:V19,CF!V21:V24),0),"OK","ERROR")</f>
        <v>ERROR</v>
      </c>
      <c r="W168" s="217" t="str">
        <f>IF(ROUND(CF!W25,0)=ROUND(SUM(CF!W15,CF!W17:W19,CF!W21:W24),0),"OK","ERROR")</f>
        <v>ERROR</v>
      </c>
      <c r="X168" s="217" t="str">
        <f>IF(ROUND(CF!X25,0)=ROUND(SUM(CF!X15,CF!X17:X19,CF!X21:X24),0),"OK","ERROR")</f>
        <v>ERROR</v>
      </c>
      <c r="Y168" s="217" t="str">
        <f>IF(ROUND(CF!Y25,0)=ROUND(SUM(CF!Y15,CF!Y17:Y19,CF!Y21:Y24),0),"OK","ERROR")</f>
        <v>ERROR</v>
      </c>
      <c r="Z168" s="237" t="str">
        <f>IF(ROUND(CF!Z25,0)=ROUND(SUM(CF!Z15,CF!Z17:Z19,CF!Z21:Z24),0),"OK","ERROR")</f>
        <v>ERROR</v>
      </c>
      <c r="AA168" s="228"/>
      <c r="AB168" s="217" t="str">
        <f>IF(ROUND(CF!AB25,0)=ROUND(SUM(CF!AB15,CF!AB17:AB19,CF!AB21:AB24),0),"OK","ERROR")</f>
        <v>ERROR</v>
      </c>
      <c r="AC168" s="217" t="str">
        <f>IF(ROUND(CF!AC25,0)=ROUND(SUM(CF!AC15,CF!AC17:AC19,CF!AC21:AC24),0),"OK","ERROR")</f>
        <v>ERROR</v>
      </c>
      <c r="AD168" s="217" t="str">
        <f>IF(ROUND(CF!AD25,0)=ROUND(SUM(CF!AD15,CF!AD17:AD19,CF!AD21:AD24),0),"OK","ERROR")</f>
        <v>ERROR</v>
      </c>
      <c r="AE168" s="217" t="str">
        <f>IF(ROUND(CF!AE25,0)=ROUND(SUM(CF!AE15,CF!AE17:AE19,CF!AE21:AE24),0),"OK","ERROR")</f>
        <v>ERROR</v>
      </c>
      <c r="AF168" s="237" t="str">
        <f>IF(ROUND(CF!AF25,0)=ROUND(SUM(CF!AF15,CF!AF17:AF19,CF!AF21:AF24),0),"OK","ERROR")</f>
        <v>ERROR</v>
      </c>
      <c r="AG168" s="229"/>
      <c r="AH168" s="217" t="str">
        <f>IF(ROUND(CF!AH25,0)=ROUND(SUM(CF!AH15,CF!AH17:AH19,CF!AH21:AH24),0),"OK","ERROR")</f>
        <v>ERROR</v>
      </c>
      <c r="AI168" s="217" t="str">
        <f>IF(ROUND(CF!AI25,0)=ROUND(SUM(CF!AI15,CF!AI17:AI19,CF!AI21:AI24),0),"OK","ERROR")</f>
        <v>ERROR</v>
      </c>
      <c r="AJ168" s="217" t="str">
        <f>IF(ROUND(CF!AJ24,0)=ROUND(SUM(CF!AJ15,CF!AJ17:AJ19,CF!AJ21:AJ24),0),"OK","ERROR")</f>
        <v>OK</v>
      </c>
      <c r="AK168" s="217" t="str">
        <f>IF(ROUND(CF!AK25,0)=ROUND(SUM(CF!AK15,CF!AK17:AK19,CF!AK21:AK24),0),"OK","ERROR")</f>
        <v>OK</v>
      </c>
      <c r="AL168" s="237" t="str">
        <f>IF(ROUND(CF!AL25,0)=ROUND(SUM(CF!AL15,CF!AL17:AL19,CF!AL21:AL24),0),"OK","ERROR")</f>
        <v>OK</v>
      </c>
      <c r="AM168" s="230"/>
      <c r="AN168" s="217" t="str">
        <f>IF(ROUND(CF!AN25,0)=ROUND(SUM(CF!AN15,CF!AN17:AN19,CF!AN21:AN24),0),"OK","ERROR")</f>
        <v>OK</v>
      </c>
      <c r="AO168" s="217" t="str">
        <f>IF(ROUND(CF!AO25,0)=ROUND(SUM(CF!AO15,CF!AO17:AO19,CF!AO21:AO24),0),"OK","ERROR")</f>
        <v>OK</v>
      </c>
      <c r="AP168" s="217" t="str">
        <f>IF(ROUND(CF!AP25,0)=ROUND(SUM(CF!AP15,CF!AP17:AP19,CF!AP21:AP24),0),"OK","ERROR")</f>
        <v>OK</v>
      </c>
      <c r="AQ168" s="217" t="str">
        <f>IF(ROUND(CF!AQ25,0)=ROUND(SUM(CF!AQ15,CF!AQ17:AQ19,CF!AQ21:AQ24),0),"OK","ERROR")</f>
        <v>OK</v>
      </c>
      <c r="AR168" s="237" t="str">
        <f>IF(ROUND(CF!AR25,0)=ROUND(SUM(CF!AR15,CF!AR17:AR19,CF!AR21:AR24),0),"OK","ERROR")</f>
        <v>OK</v>
      </c>
      <c r="AS168" s="230"/>
      <c r="AT168" s="237" t="str">
        <f>IF(ROUND(CF!AT25,0)=ROUND(SUM(CF!AT15,CF!AT17:AT19,CF!AT21:AT24),0),"OK","ERROR")</f>
        <v>OK</v>
      </c>
      <c r="AU168" s="230"/>
      <c r="AV168" s="237" t="str">
        <f>IF(ROUND(CF!AV25,0)=ROUND(SUM(CF!AV15,CF!AV17:AV19,CF!AV21:AV24),0),"OK","ERROR")</f>
        <v>OK</v>
      </c>
      <c r="AW168" s="246"/>
      <c r="AX168" s="237" t="str">
        <f>IF(ROUND(CF!AX25,0)=ROUND(SUM(CF!AX15,CF!AX17:AX19,CF!AX21:AX24),0),"OK","ERROR")</f>
        <v>OK</v>
      </c>
    </row>
    <row r="169" spans="1:50" s="54" customFormat="1" ht="15" customHeight="1" thickTop="1">
      <c r="A169" s="43"/>
      <c r="B169" s="154"/>
      <c r="C169" s="17"/>
      <c r="D169" s="208"/>
      <c r="E169" s="208"/>
      <c r="F169" s="208"/>
      <c r="G169" s="208"/>
      <c r="H169" s="220"/>
      <c r="I169" s="210"/>
      <c r="J169" s="208"/>
      <c r="K169" s="208"/>
      <c r="L169" s="208"/>
      <c r="M169" s="208"/>
      <c r="N169" s="220"/>
      <c r="O169" s="210"/>
      <c r="P169" s="208"/>
      <c r="Q169" s="208"/>
      <c r="R169" s="208"/>
      <c r="S169" s="208"/>
      <c r="T169" s="220"/>
      <c r="U169" s="210"/>
      <c r="V169" s="208"/>
      <c r="W169" s="208"/>
      <c r="X169" s="208"/>
      <c r="Y169" s="208"/>
      <c r="Z169" s="220"/>
      <c r="AA169" s="213"/>
      <c r="AB169" s="208"/>
      <c r="AC169" s="208"/>
      <c r="AD169" s="208"/>
      <c r="AE169" s="208"/>
      <c r="AF169" s="220"/>
      <c r="AG169" s="211"/>
      <c r="AH169" s="208"/>
      <c r="AI169" s="208"/>
      <c r="AJ169" s="208"/>
      <c r="AK169" s="208"/>
      <c r="AL169" s="220"/>
      <c r="AM169" s="225"/>
      <c r="AN169" s="208"/>
      <c r="AO169" s="208"/>
      <c r="AP169" s="208"/>
      <c r="AQ169" s="208"/>
      <c r="AR169" s="220"/>
      <c r="AS169" s="225"/>
      <c r="AT169" s="220"/>
      <c r="AU169" s="225"/>
      <c r="AV169" s="220"/>
      <c r="AW169" s="246"/>
      <c r="AX169" s="220"/>
    </row>
    <row r="170" spans="1:50" s="54" customFormat="1" ht="15" customHeight="1">
      <c r="A170" s="44" t="s">
        <v>37</v>
      </c>
      <c r="B170" s="158" t="s">
        <v>716</v>
      </c>
      <c r="C170" s="115"/>
      <c r="D170" s="208"/>
      <c r="E170" s="208"/>
      <c r="F170" s="208"/>
      <c r="G170" s="208"/>
      <c r="H170" s="220"/>
      <c r="I170" s="210"/>
      <c r="J170" s="208"/>
      <c r="K170" s="208"/>
      <c r="L170" s="208"/>
      <c r="M170" s="208"/>
      <c r="N170" s="220"/>
      <c r="O170" s="210"/>
      <c r="P170" s="208"/>
      <c r="Q170" s="208"/>
      <c r="R170" s="208"/>
      <c r="S170" s="208"/>
      <c r="T170" s="220"/>
      <c r="U170" s="210"/>
      <c r="V170" s="208"/>
      <c r="W170" s="208"/>
      <c r="X170" s="208"/>
      <c r="Y170" s="208"/>
      <c r="Z170" s="220"/>
      <c r="AA170" s="228"/>
      <c r="AB170" s="208"/>
      <c r="AC170" s="208"/>
      <c r="AD170" s="208"/>
      <c r="AE170" s="208"/>
      <c r="AF170" s="220"/>
      <c r="AG170" s="229"/>
      <c r="AH170" s="208"/>
      <c r="AI170" s="208"/>
      <c r="AJ170" s="208"/>
      <c r="AK170" s="208"/>
      <c r="AL170" s="220"/>
      <c r="AM170" s="230"/>
      <c r="AN170" s="208"/>
      <c r="AO170" s="208"/>
      <c r="AP170" s="208"/>
      <c r="AQ170" s="208"/>
      <c r="AR170" s="220"/>
      <c r="AS170" s="230"/>
      <c r="AT170" s="220"/>
      <c r="AU170" s="230"/>
      <c r="AV170" s="220"/>
      <c r="AW170" s="246"/>
      <c r="AX170" s="220"/>
    </row>
    <row r="171" spans="1:50" s="54" customFormat="1" ht="15" customHeight="1" thickBot="1">
      <c r="A171" s="113"/>
      <c r="B171" s="160" t="s">
        <v>725</v>
      </c>
      <c r="C171" s="17"/>
      <c r="D171" s="217" t="str">
        <f>IF(ROUND(CF!D36,0)=ROUND(SUM(CF!D28:D35),0),"OK","ERROR")</f>
        <v>OK</v>
      </c>
      <c r="E171" s="217" t="str">
        <f>IF(ROUND(CF!E36,0)=ROUND(SUM(CF!E28:E35),0),"OK","ERROR")</f>
        <v>OK</v>
      </c>
      <c r="F171" s="217" t="str">
        <f>IF(ROUND(CF!F36,0)=ROUND(SUM(CF!F28:F35),0),"OK","ERROR")</f>
        <v>OK</v>
      </c>
      <c r="G171" s="217" t="str">
        <f>IF(ROUND(CF!G36,0)=ROUND(SUM(CF!G28:G35),0),"OK","ERROR")</f>
        <v>OK</v>
      </c>
      <c r="H171" s="237" t="str">
        <f>IF(ROUND(CF!H36,0)=ROUND(SUM(CF!H28:H35),0),"OK","ERROR")</f>
        <v>OK</v>
      </c>
      <c r="I171" s="210"/>
      <c r="J171" s="217" t="str">
        <f>IF(ROUND(CF!J36,0)=ROUND(SUM(CF!J28:J35),0),"OK","ERROR")</f>
        <v>OK</v>
      </c>
      <c r="K171" s="217" t="str">
        <f>IF(ROUND(CF!K36,0)=ROUND(SUM(CF!K28:K35),0),"OK","ERROR")</f>
        <v>OK</v>
      </c>
      <c r="L171" s="217" t="str">
        <f>IF(ROUND(CF!L36,0)=ROUND(SUM(CF!L28:L35),0),"OK","ERROR")</f>
        <v>OK</v>
      </c>
      <c r="M171" s="217" t="str">
        <f>IF(ROUND(CF!M36,0)=ROUND(SUM(CF!M28:M35),0),"OK","ERROR")</f>
        <v>OK</v>
      </c>
      <c r="N171" s="237" t="str">
        <f>IF(ROUND(CF!N36,0)=ROUND(SUM(CF!N28:N35),0),"OK","ERROR")</f>
        <v>OK</v>
      </c>
      <c r="O171" s="210"/>
      <c r="P171" s="217" t="str">
        <f>IF(ROUND(CF!P36,0)=ROUND(SUM(CF!P28:P35),0),"OK","ERROR")</f>
        <v>OK</v>
      </c>
      <c r="Q171" s="217" t="str">
        <f>IF(ROUND(CF!Q36,0)=ROUND(SUM(CF!Q28:Q35),0),"OK","ERROR")</f>
        <v>OK</v>
      </c>
      <c r="R171" s="217" t="str">
        <f>IF(ROUND(CF!R36,0)=ROUND(SUM(CF!R28:R35),0),"OK","ERROR")</f>
        <v>OK</v>
      </c>
      <c r="S171" s="217" t="str">
        <f>IF(ROUND(CF!S36,0)=ROUND(SUM(CF!S28:S35),0),"OK","ERROR")</f>
        <v>OK</v>
      </c>
      <c r="T171" s="237" t="str">
        <f>IF(ROUND(CF!T36,0)=ROUND(SUM(CF!T28:T35),0),"OK","ERROR")</f>
        <v>OK</v>
      </c>
      <c r="U171" s="210"/>
      <c r="V171" s="217" t="str">
        <f>IF(ROUND(CF!V36,0)=ROUND(SUM(CF!V28:V35),0),"OK","ERROR")</f>
        <v>OK</v>
      </c>
      <c r="W171" s="217" t="str">
        <f>IF(ROUND(CF!W36,0)=ROUND(SUM(CF!W28:W35),0),"OK","ERROR")</f>
        <v>OK</v>
      </c>
      <c r="X171" s="217" t="str">
        <f>IF(ROUND(CF!X36,0)=ROUND(SUM(CF!X28:X35),0),"OK","ERROR")</f>
        <v>OK</v>
      </c>
      <c r="Y171" s="217" t="str">
        <f>IF(ROUND(CF!Y36,0)=ROUND(SUM(CF!Y28:Y35),0),"OK","ERROR")</f>
        <v>OK</v>
      </c>
      <c r="Z171" s="237" t="str">
        <f>IF(ROUND(CF!Z36,0)=ROUND(SUM(CF!Z28:Z35),0),"OK","ERROR")</f>
        <v>OK</v>
      </c>
      <c r="AA171" s="213"/>
      <c r="AB171" s="217" t="str">
        <f>IF(ROUND(CF!AB36,0)=ROUND(SUM(CF!AB28:AB35),0),"OK","ERROR")</f>
        <v>OK</v>
      </c>
      <c r="AC171" s="217" t="str">
        <f>IF(ROUND(CF!AC36,0)=ROUND(SUM(CF!AC28:AC35),0),"OK","ERROR")</f>
        <v>OK</v>
      </c>
      <c r="AD171" s="217" t="str">
        <f>IF(ROUND(CF!AD36,0)=ROUND(SUM(CF!AD28:AD35),0),"OK","ERROR")</f>
        <v>OK</v>
      </c>
      <c r="AE171" s="217" t="str">
        <f>IF(ROUND(CF!AE36,0)=ROUND(SUM(CF!AE28:AE35),0),"OK","ERROR")</f>
        <v>OK</v>
      </c>
      <c r="AF171" s="237" t="str">
        <f>IF(ROUND(CF!AF36,0)=ROUND(SUM(CF!AF28:AF35),0),"OK","ERROR")</f>
        <v>OK</v>
      </c>
      <c r="AG171" s="211"/>
      <c r="AH171" s="217" t="str">
        <f>IF(ROUND(CF!AH36,0)=ROUND(SUM(CF!AH28:AH35),0),"OK","ERROR")</f>
        <v>OK</v>
      </c>
      <c r="AI171" s="217" t="str">
        <f>IF(ROUND(CF!AI36,0)=ROUND(SUM(CF!AI28:AI35),0),"OK","ERROR")</f>
        <v>OK</v>
      </c>
      <c r="AJ171" s="217" t="str">
        <f>IF(ROUND(CF!AJ36,0)=ROUND(SUM(CF!AJ28:AJ35),0),"OK","ERROR")</f>
        <v>OK</v>
      </c>
      <c r="AK171" s="217" t="str">
        <f>IF(ROUND(CF!AK36,0)=ROUND(SUM(CF!AK28:AK35),0),"OK","ERROR")</f>
        <v>OK</v>
      </c>
      <c r="AL171" s="237" t="str">
        <f>IF(ROUND(CF!AL36,0)=ROUND(SUM(CF!AL28:AL35),0),"OK","ERROR")</f>
        <v>OK</v>
      </c>
      <c r="AM171" s="215"/>
      <c r="AN171" s="217" t="str">
        <f>IF(ROUND(CF!AN36,0)=ROUND(SUM(CF!AN28:AN35),0),"OK","ERROR")</f>
        <v>OK</v>
      </c>
      <c r="AO171" s="217" t="str">
        <f>IF(ROUND(CF!AO36,0)=ROUND(SUM(CF!AO28:AO35),0),"OK","ERROR")</f>
        <v>OK</v>
      </c>
      <c r="AP171" s="217" t="str">
        <f>IF(ROUND(CF!AP36,0)=ROUND(SUM(CF!AP28:AP35),0),"OK","ERROR")</f>
        <v>OK</v>
      </c>
      <c r="AQ171" s="217" t="str">
        <f>IF(ROUND(CF!AQ36,0)=ROUND(SUM(CF!AQ28:AQ35),0),"OK","ERROR")</f>
        <v>OK</v>
      </c>
      <c r="AR171" s="237" t="str">
        <f>IF(ROUND(CF!AR36,0)=ROUND(SUM(CF!AR28:AR35),0),"OK","ERROR")</f>
        <v>OK</v>
      </c>
      <c r="AS171" s="215"/>
      <c r="AT171" s="237" t="str">
        <f>IF(ROUND(CF!AT36,0)=ROUND(SUM(CF!AT28:AT35),0),"OK","ERROR")</f>
        <v>OK</v>
      </c>
      <c r="AU171" s="215"/>
      <c r="AV171" s="237" t="str">
        <f>IF(ROUND(CF!AV36,0)=ROUND(SUM(CF!AV28:AV35),0),"OK","ERROR")</f>
        <v>OK</v>
      </c>
      <c r="AW171" s="246"/>
      <c r="AX171" s="237" t="str">
        <f>IF(ROUND(CF!AX36,0)=ROUND(SUM(CF!AX28:AX35),0),"OK","ERROR")</f>
        <v>OK</v>
      </c>
    </row>
    <row r="172" spans="1:50" s="54" customFormat="1" ht="15" customHeight="1" thickTop="1">
      <c r="A172" s="43"/>
      <c r="B172" s="154"/>
      <c r="C172" s="115"/>
      <c r="D172" s="208"/>
      <c r="E172" s="208"/>
      <c r="F172" s="208"/>
      <c r="G172" s="208"/>
      <c r="H172" s="220"/>
      <c r="I172" s="210"/>
      <c r="J172" s="208"/>
      <c r="K172" s="208"/>
      <c r="L172" s="208"/>
      <c r="M172" s="208"/>
      <c r="N172" s="220"/>
      <c r="O172" s="210"/>
      <c r="P172" s="208"/>
      <c r="Q172" s="208"/>
      <c r="R172" s="208"/>
      <c r="S172" s="208"/>
      <c r="T172" s="220"/>
      <c r="U172" s="210"/>
      <c r="V172" s="208"/>
      <c r="W172" s="208"/>
      <c r="X172" s="208"/>
      <c r="Y172" s="208"/>
      <c r="Z172" s="220"/>
      <c r="AA172" s="232"/>
      <c r="AB172" s="208"/>
      <c r="AC172" s="208"/>
      <c r="AD172" s="208"/>
      <c r="AE172" s="208"/>
      <c r="AF172" s="220"/>
      <c r="AG172" s="229"/>
      <c r="AH172" s="208"/>
      <c r="AI172" s="208"/>
      <c r="AJ172" s="208"/>
      <c r="AK172" s="208"/>
      <c r="AL172" s="220"/>
      <c r="AM172" s="230"/>
      <c r="AN172" s="208"/>
      <c r="AO172" s="208"/>
      <c r="AP172" s="208"/>
      <c r="AQ172" s="208"/>
      <c r="AR172" s="220"/>
      <c r="AS172" s="230"/>
      <c r="AT172" s="220"/>
      <c r="AU172" s="230"/>
      <c r="AV172" s="220"/>
      <c r="AW172" s="246"/>
      <c r="AX172" s="220"/>
    </row>
    <row r="173" spans="1:50" s="54" customFormat="1" ht="15" customHeight="1">
      <c r="A173" s="44" t="s">
        <v>37</v>
      </c>
      <c r="B173" s="158" t="s">
        <v>726</v>
      </c>
      <c r="C173" s="27"/>
      <c r="D173" s="208"/>
      <c r="E173" s="208"/>
      <c r="F173" s="208"/>
      <c r="G173" s="208"/>
      <c r="H173" s="220"/>
      <c r="I173" s="210"/>
      <c r="J173" s="208"/>
      <c r="K173" s="208"/>
      <c r="L173" s="208"/>
      <c r="M173" s="208"/>
      <c r="N173" s="220"/>
      <c r="O173" s="210"/>
      <c r="P173" s="208"/>
      <c r="Q173" s="208"/>
      <c r="R173" s="208"/>
      <c r="S173" s="208"/>
      <c r="T173" s="220"/>
      <c r="U173" s="210"/>
      <c r="V173" s="208"/>
      <c r="W173" s="208"/>
      <c r="X173" s="208"/>
      <c r="Y173" s="208"/>
      <c r="Z173" s="220"/>
      <c r="AA173" s="213"/>
      <c r="AB173" s="208"/>
      <c r="AC173" s="208"/>
      <c r="AD173" s="208"/>
      <c r="AE173" s="208"/>
      <c r="AF173" s="220"/>
      <c r="AG173" s="211"/>
      <c r="AH173" s="208"/>
      <c r="AI173" s="208"/>
      <c r="AJ173" s="208"/>
      <c r="AK173" s="208"/>
      <c r="AL173" s="220"/>
      <c r="AM173" s="215"/>
      <c r="AN173" s="208"/>
      <c r="AO173" s="208"/>
      <c r="AP173" s="208"/>
      <c r="AQ173" s="208"/>
      <c r="AR173" s="220"/>
      <c r="AS173" s="215"/>
      <c r="AT173" s="220"/>
      <c r="AU173" s="215"/>
      <c r="AV173" s="220"/>
      <c r="AW173" s="246"/>
      <c r="AX173" s="220"/>
    </row>
    <row r="174" spans="1:50" s="54" customFormat="1" ht="15" customHeight="1" thickBot="1">
      <c r="A174" s="113"/>
      <c r="B174" s="160" t="s">
        <v>733</v>
      </c>
      <c r="C174" s="17"/>
      <c r="D174" s="217" t="str">
        <f>IF(ROUND(CF!D45,0)=ROUND(SUM(CF!D39:D44),0),"OK","ERROR")</f>
        <v>OK</v>
      </c>
      <c r="E174" s="217" t="str">
        <f>IF(ROUND(CF!E45,0)=ROUND(SUM(CF!E39:E44),0),"OK","ERROR")</f>
        <v>OK</v>
      </c>
      <c r="F174" s="217" t="str">
        <f>IF(ROUND(CF!F45,0)=ROUND(SUM(CF!F39:F44),0),"OK","ERROR")</f>
        <v>OK</v>
      </c>
      <c r="G174" s="217" t="str">
        <f>IF(ROUND(CF!G45,0)=ROUND(SUM(CF!G39:G44),0),"OK","ERROR")</f>
        <v>OK</v>
      </c>
      <c r="H174" s="237" t="str">
        <f>IF(ROUND(CF!H45,0)=ROUND(SUM(CF!H39:H44),0),"OK","ERROR")</f>
        <v>OK</v>
      </c>
      <c r="I174" s="210"/>
      <c r="J174" s="217" t="str">
        <f>IF(ROUND(CF!J45,0)=ROUND(SUM(CF!J39:J44),0),"OK","ERROR")</f>
        <v>OK</v>
      </c>
      <c r="K174" s="217" t="str">
        <f>IF(ROUND(CF!K45,0)=ROUND(SUM(CF!K39:K44),0),"OK","ERROR")</f>
        <v>OK</v>
      </c>
      <c r="L174" s="217" t="str">
        <f>IF(ROUND(CF!L45,0)=ROUND(SUM(CF!L39:L44),0),"OK","ERROR")</f>
        <v>OK</v>
      </c>
      <c r="M174" s="217" t="str">
        <f>IF(ROUND(CF!M45,0)=ROUND(SUM(CF!M39:M44),0),"OK","ERROR")</f>
        <v>OK</v>
      </c>
      <c r="N174" s="237" t="str">
        <f>IF(ROUND(CF!N45,0)=ROUND(SUM(CF!N39:N44),0),"OK","ERROR")</f>
        <v>OK</v>
      </c>
      <c r="O174" s="210"/>
      <c r="P174" s="217" t="str">
        <f>IF(ROUND(CF!P45,0)=ROUND(SUM(CF!P39:P44),0),"OK","ERROR")</f>
        <v>OK</v>
      </c>
      <c r="Q174" s="217" t="str">
        <f>IF(ROUND(CF!Q45,0)=ROUND(SUM(CF!Q39:Q44),0),"OK","ERROR")</f>
        <v>OK</v>
      </c>
      <c r="R174" s="217" t="str">
        <f>IF(ROUND(CF!R45,0)=ROUND(SUM(CF!R39:R44),0),"OK","ERROR")</f>
        <v>OK</v>
      </c>
      <c r="S174" s="217" t="str">
        <f>IF(ROUND(CF!S45,0)=ROUND(SUM(CF!S39:S44),0),"OK","ERROR")</f>
        <v>OK</v>
      </c>
      <c r="T174" s="237" t="str">
        <f>IF(ROUND(CF!T45,0)=ROUND(SUM(CF!T39:T44),0),"OK","ERROR")</f>
        <v>OK</v>
      </c>
      <c r="U174" s="210"/>
      <c r="V174" s="217" t="str">
        <f>IF(ROUND(CF!V45,0)=ROUND(SUM(CF!V39:V44),0),"OK","ERROR")</f>
        <v>OK</v>
      </c>
      <c r="W174" s="217" t="str">
        <f>IF(ROUND(CF!W45,0)=ROUND(SUM(CF!W39:W44),0),"OK","ERROR")</f>
        <v>OK</v>
      </c>
      <c r="X174" s="217" t="str">
        <f>IF(ROUND(CF!X45,0)=ROUND(SUM(CF!X39:X44),0),"OK","ERROR")</f>
        <v>OK</v>
      </c>
      <c r="Y174" s="217" t="str">
        <f>IF(ROUND(CF!Y45,0)=ROUND(SUM(CF!Y39:Y44),0),"OK","ERROR")</f>
        <v>OK</v>
      </c>
      <c r="Z174" s="237" t="str">
        <f>IF(ROUND(CF!Z45,0)=ROUND(SUM(CF!Z39:Z44),0),"OK","ERROR")</f>
        <v>OK</v>
      </c>
      <c r="AA174" s="210"/>
      <c r="AB174" s="217" t="str">
        <f>IF(ROUND(CF!AB45,0)=ROUND(SUM(CF!AB39:AB44),0),"OK","ERROR")</f>
        <v>OK</v>
      </c>
      <c r="AC174" s="217" t="str">
        <f>IF(ROUND(CF!AC45,0)=ROUND(SUM(CF!AC39:AC44),0),"OK","ERROR")</f>
        <v>OK</v>
      </c>
      <c r="AD174" s="217" t="str">
        <f>IF(ROUND(CF!AD45,0)=ROUND(SUM(CF!AD39:AD44),0),"OK","ERROR")</f>
        <v>OK</v>
      </c>
      <c r="AE174" s="217" t="str">
        <f>IF(ROUND(CF!AE45,0)=ROUND(SUM(CF!AE39:AE44),0),"OK","ERROR")</f>
        <v>OK</v>
      </c>
      <c r="AF174" s="237" t="str">
        <f>IF(ROUND(CF!AF45,0)=ROUND(SUM(CF!AF39:AF44),0),"OK","ERROR")</f>
        <v>OK</v>
      </c>
      <c r="AG174" s="238"/>
      <c r="AH174" s="217" t="str">
        <f>IF(ROUND(CF!AH45,0)=ROUND(SUM(CF!AH39:AH44),0),"OK","ERROR")</f>
        <v>OK</v>
      </c>
      <c r="AI174" s="217" t="str">
        <f>IF(ROUND(CF!AI45,0)=ROUND(SUM(CF!AI39:AI44),0),"OK","ERROR")</f>
        <v>OK</v>
      </c>
      <c r="AJ174" s="217" t="str">
        <f>IF(ROUND(CF!AJ45,0)=ROUND(SUM(CF!AJ39:AJ44),0),"OK","ERROR")</f>
        <v>OK</v>
      </c>
      <c r="AK174" s="217" t="str">
        <f>IF(ROUND(CF!AK45,0)=ROUND(SUM(CF!AK39:AK44),0),"OK","ERROR")</f>
        <v>OK</v>
      </c>
      <c r="AL174" s="237" t="str">
        <f>IF(ROUND(CF!AL45,0)=ROUND(SUM(CF!AL39:AL44),0),"OK","ERROR")</f>
        <v>OK</v>
      </c>
      <c r="AM174" s="239"/>
      <c r="AN174" s="217" t="str">
        <f>IF(ROUND(CF!AN45,0)=ROUND(SUM(CF!AN39:AN44),0),"OK","ERROR")</f>
        <v>OK</v>
      </c>
      <c r="AO174" s="217" t="str">
        <f>IF(ROUND(CF!AO45,0)=ROUND(SUM(CF!AO39:AO44),0),"OK","ERROR")</f>
        <v>OK</v>
      </c>
      <c r="AP174" s="217" t="str">
        <f>IF(ROUND(CF!AP45,0)=ROUND(SUM(CF!AP39:AP44),0),"OK","ERROR")</f>
        <v>OK</v>
      </c>
      <c r="AQ174" s="217" t="str">
        <f>IF(ROUND(CF!AQ45,0)=ROUND(SUM(CF!AQ39:AQ44),0),"OK","ERROR")</f>
        <v>OK</v>
      </c>
      <c r="AR174" s="237" t="str">
        <f>IF(ROUND(CF!AR45,0)=ROUND(SUM(CF!AR39:AR44),0),"OK","ERROR")</f>
        <v>OK</v>
      </c>
      <c r="AS174" s="239"/>
      <c r="AT174" s="237" t="str">
        <f>IF(ROUND(CF!AT45,0)=ROUND(SUM(CF!AT39:AT44),0),"OK","ERROR")</f>
        <v>OK</v>
      </c>
      <c r="AU174" s="239"/>
      <c r="AV174" s="237" t="str">
        <f>IF(ROUND(CF!AV45,0)=ROUND(SUM(CF!AV39:AV44),0),"OK","ERROR")</f>
        <v>OK</v>
      </c>
      <c r="AW174" s="246"/>
      <c r="AX174" s="237" t="str">
        <f>IF(ROUND(CF!AX45,0)=ROUND(SUM(CF!AX39:AX44),0),"OK","ERROR")</f>
        <v>OK</v>
      </c>
    </row>
    <row r="175" spans="1:50" s="54" customFormat="1" ht="15" customHeight="1" thickTop="1">
      <c r="A175" s="113"/>
      <c r="B175" s="9"/>
      <c r="C175" s="115"/>
      <c r="D175" s="208"/>
      <c r="E175" s="208"/>
      <c r="F175" s="208"/>
      <c r="G175" s="208"/>
      <c r="H175" s="220"/>
      <c r="I175" s="210"/>
      <c r="J175" s="208"/>
      <c r="K175" s="208"/>
      <c r="L175" s="208"/>
      <c r="M175" s="208"/>
      <c r="N175" s="220"/>
      <c r="O175" s="210"/>
      <c r="P175" s="208"/>
      <c r="Q175" s="208"/>
      <c r="R175" s="208"/>
      <c r="S175" s="208"/>
      <c r="T175" s="220"/>
      <c r="U175" s="210"/>
      <c r="V175" s="208"/>
      <c r="W175" s="208"/>
      <c r="X175" s="208"/>
      <c r="Y175" s="208"/>
      <c r="Z175" s="220"/>
      <c r="AA175" s="228"/>
      <c r="AB175" s="208"/>
      <c r="AC175" s="208"/>
      <c r="AD175" s="208"/>
      <c r="AE175" s="208"/>
      <c r="AF175" s="220"/>
      <c r="AG175" s="229"/>
      <c r="AH175" s="208"/>
      <c r="AI175" s="208"/>
      <c r="AJ175" s="208"/>
      <c r="AK175" s="208"/>
      <c r="AL175" s="220"/>
      <c r="AM175" s="230"/>
      <c r="AN175" s="208"/>
      <c r="AO175" s="208"/>
      <c r="AP175" s="208"/>
      <c r="AQ175" s="208"/>
      <c r="AR175" s="220"/>
      <c r="AS175" s="230"/>
      <c r="AT175" s="220"/>
      <c r="AU175" s="230"/>
      <c r="AV175" s="220"/>
      <c r="AW175" s="246"/>
      <c r="AX175" s="220"/>
    </row>
    <row r="176" spans="1:50" s="54" customFormat="1" ht="15" customHeight="1">
      <c r="A176" s="44" t="s">
        <v>37</v>
      </c>
      <c r="B176" s="158" t="s">
        <v>735</v>
      </c>
      <c r="C176" s="17"/>
      <c r="D176" s="217" t="str">
        <f>IF(ROUND(CF!D49,0)=ROUND(SUM(CF!D25,CF!D36,CF!D45,CF!D47),0),"OK","ERROR")</f>
        <v>OK</v>
      </c>
      <c r="E176" s="217" t="str">
        <f>IF(ROUND(CF!E49,0)=ROUND(SUM(CF!E25,CF!E36,CF!E45,CF!E47),0),"OK","ERROR")</f>
        <v>OK</v>
      </c>
      <c r="F176" s="217" t="str">
        <f>IF(ROUND(CF!F49,0)=ROUND(SUM(CF!F25,CF!F36,CF!F45,CF!F47),0),"OK","ERROR")</f>
        <v>OK</v>
      </c>
      <c r="G176" s="217" t="str">
        <f>IF(ROUND(CF!G49,0)=ROUND(SUM(CF!G25,CF!G36,CF!G45,CF!G47),0),"OK","ERROR")</f>
        <v>OK</v>
      </c>
      <c r="H176" s="226" t="str">
        <f>IF(ROUND(CF!H49,0)=ROUND(SUM(CF!H25,CF!H36,CF!H45,CF!H47),0),"OK","ERROR")</f>
        <v>OK</v>
      </c>
      <c r="I176" s="210"/>
      <c r="J176" s="217" t="str">
        <f>IF(ROUND(CF!J49,0)=ROUND(SUM(CF!J25,CF!J36,CF!J45,CF!J47),0),"OK","ERROR")</f>
        <v>OK</v>
      </c>
      <c r="K176" s="217" t="str">
        <f>IF(ROUND(CF!K49,0)=ROUND(SUM(CF!K25,CF!K36,CF!K45,CF!K47),0),"OK","ERROR")</f>
        <v>OK</v>
      </c>
      <c r="L176" s="217" t="str">
        <f>IF(ROUND(CF!L49,0)=ROUND(SUM(CF!L25,CF!L36,CF!L45,CF!L47),0),"OK","ERROR")</f>
        <v>OK</v>
      </c>
      <c r="M176" s="217" t="str">
        <f>IF(ROUND(CF!M49,0)=ROUND(SUM(CF!M25,CF!M36,CF!M45,CF!M47),0),"OK","ERROR")</f>
        <v>OK</v>
      </c>
      <c r="N176" s="226" t="str">
        <f>IF(ROUND(CF!N49,0)=ROUND(SUM(CF!N25,CF!N36,CF!N45,CF!N47),0),"OK","ERROR")</f>
        <v>OK</v>
      </c>
      <c r="O176" s="210"/>
      <c r="P176" s="217" t="str">
        <f>IF(ROUND(CF!P49,0)=ROUND(SUM(CF!P25,CF!P36,CF!P45,CF!P47),0),"OK","ERROR")</f>
        <v>OK</v>
      </c>
      <c r="Q176" s="217" t="str">
        <f>IF(ROUND(CF!Q49,0)=ROUND(SUM(CF!Q25,CF!Q36,CF!Q45,CF!Q47),0),"OK","ERROR")</f>
        <v>OK</v>
      </c>
      <c r="R176" s="217" t="str">
        <f>IF(ROUND(CF!R49,0)=ROUND(SUM(CF!R25,CF!R36,CF!R45,CF!R47),0),"OK","ERROR")</f>
        <v>OK</v>
      </c>
      <c r="S176" s="217" t="str">
        <f>IF(ROUND(CF!S49,0)=ROUND(SUM(CF!S25,CF!S36,CF!S45,CF!S47),0),"OK","ERROR")</f>
        <v>OK</v>
      </c>
      <c r="T176" s="226" t="str">
        <f>IF(ROUND(CF!T49,0)=ROUND(SUM(CF!T25,CF!T36,CF!T45,CF!T47),0),"OK","ERROR")</f>
        <v>OK</v>
      </c>
      <c r="U176" s="210"/>
      <c r="V176" s="217" t="str">
        <f>IF(ROUND(CF!V49,0)=ROUND(SUM(CF!V25,CF!V36,CF!V45,CF!V47),0),"OK","ERROR")</f>
        <v>OK</v>
      </c>
      <c r="W176" s="217" t="str">
        <f>IF(ROUND(CF!W49,0)=ROUND(SUM(CF!W25,CF!W36,CF!W45,CF!W47),0),"OK","ERROR")</f>
        <v>OK</v>
      </c>
      <c r="X176" s="217" t="str">
        <f>IF(ROUND(CF!X49,0)=ROUND(SUM(CF!X25,CF!X36,CF!X45,CF!X47),0),"OK","ERROR")</f>
        <v>OK</v>
      </c>
      <c r="Y176" s="217" t="str">
        <f>IF(ROUND(CF!Y49,0)=ROUND(SUM(CF!Y25,CF!Y36,CF!Y45,CF!Y47),0),"OK","ERROR")</f>
        <v>OK</v>
      </c>
      <c r="Z176" s="226" t="str">
        <f>IF(ROUND(CF!Z49,0)=ROUND(SUM(CF!Z25,CF!Z36,CF!Z45,CF!Z47),0),"OK","ERROR")</f>
        <v>OK</v>
      </c>
      <c r="AA176" s="210"/>
      <c r="AB176" s="217" t="str">
        <f>IF(ROUND(CF!AB49,0)=ROUND(SUM(CF!AB25,CF!AB36,CF!AB45,CF!AB47),0),"OK","ERROR")</f>
        <v>OK</v>
      </c>
      <c r="AC176" s="217" t="str">
        <f>IF(ROUND(CF!AC49,0)=ROUND(SUM(CF!AC25,CF!AC36,CF!AC45,CF!AC47),0),"OK","ERROR")</f>
        <v>OK</v>
      </c>
      <c r="AD176" s="217" t="str">
        <f>IF(ROUND(CF!AD49,0)=ROUND(SUM(CF!AD25,CF!AD36,CF!AD45,CF!AD47),0),"OK","ERROR")</f>
        <v>OK</v>
      </c>
      <c r="AE176" s="217" t="str">
        <f>IF(ROUND(CF!AE49,0)=ROUND(SUM(CF!AE25,CF!AE36,CF!AE45,CF!AE47),0),"OK","ERROR")</f>
        <v>OK</v>
      </c>
      <c r="AF176" s="226" t="str">
        <f>IF(ROUND(CF!AF49,0)=ROUND(SUM(CF!AF25,CF!AF36,CF!AF45,CF!AF47),0),"OK","ERROR")</f>
        <v>OK</v>
      </c>
      <c r="AG176" s="238"/>
      <c r="AH176" s="217" t="str">
        <f>IF(ROUND(CF!AH49,0)=ROUND(SUM(CF!AH25,CF!AH36,CF!AH45,CF!AH47),0),"OK","ERROR")</f>
        <v>OK</v>
      </c>
      <c r="AI176" s="217" t="str">
        <f>IF(ROUND(CF!AI49,0)=ROUND(SUM(CF!AI25,CF!AI36,CF!AI45,CF!AI47),0),"OK","ERROR")</f>
        <v>OK</v>
      </c>
      <c r="AJ176" s="217" t="str">
        <f>IF(ROUND(CF!AJ49,0)=ROUND(SUM(CF!AJ24,CF!AJ36,CF!AJ45,CF!AJ47),0),"OK","ERROR")</f>
        <v>OK</v>
      </c>
      <c r="AK176" s="217" t="str">
        <f>IF(ROUND(CF!AK49,0)=ROUND(SUM(CF!AK25,CF!AK36,CF!AK45,CF!AK47),0),"OK","ERROR")</f>
        <v>OK</v>
      </c>
      <c r="AL176" s="226" t="str">
        <f>IF(ROUND(CF!AL49,0)=ROUND(SUM(CF!AL25,CF!AL36,CF!AL45,CF!AL47),0),"OK","ERROR")</f>
        <v>OK</v>
      </c>
      <c r="AM176" s="239"/>
      <c r="AN176" s="217" t="str">
        <f>IF(ROUND(CF!AN49,0)=ROUND(SUM(CF!AN25,CF!AN36,CF!AN45,CF!AN47),0),"OK","ERROR")</f>
        <v>OK</v>
      </c>
      <c r="AO176" s="217" t="str">
        <f>IF(ROUND(CF!AO49,0)=ROUND(SUM(CF!AO25,CF!AO36,CF!AO45,CF!AO47),0),"OK","ERROR")</f>
        <v>OK</v>
      </c>
      <c r="AP176" s="217" t="str">
        <f>IF(ROUND(CF!AP49,0)=ROUND(SUM(CF!AP25,CF!AP36,CF!AP45,CF!AP47),0),"OK","ERROR")</f>
        <v>OK</v>
      </c>
      <c r="AQ176" s="217" t="str">
        <f>IF(ROUND(CF!AQ49,0)=ROUND(SUM(CF!AQ25,CF!AQ36,CF!AQ45,CF!AQ47),0),"OK","ERROR")</f>
        <v>OK</v>
      </c>
      <c r="AR176" s="226" t="str">
        <f>IF(ROUND(CF!AR49,0)=ROUND(SUM(CF!AR25,CF!AR36,CF!AR45,CF!AR47),0),"OK","ERROR")</f>
        <v>OK</v>
      </c>
      <c r="AS176" s="239"/>
      <c r="AT176" s="226" t="str">
        <f>IF(ROUND(CF!AT49,0)=ROUND(SUM(CF!AT25,CF!AT36,CF!AT45,CF!AT47),0),"OK","ERROR")</f>
        <v>OK</v>
      </c>
      <c r="AU176" s="239"/>
      <c r="AV176" s="226" t="str">
        <f>IF(ROUND(CF!AV49,0)=ROUND(SUM(CF!AV25,CF!AV36,CF!AV45,CF!AV47),0),"OK","ERROR")</f>
        <v>OK</v>
      </c>
      <c r="AW176" s="246"/>
      <c r="AX176" s="226" t="str">
        <f>IF(ROUND(CF!AX49,0)=ROUND(SUM(CF!AX25,CF!AX36,CF!AX45,CF!AX47),0),"OK","ERROR")</f>
        <v>OK</v>
      </c>
    </row>
    <row r="177" spans="2:50" s="54" customFormat="1" ht="15" customHeight="1" thickBot="1">
      <c r="B177" s="158" t="s">
        <v>736</v>
      </c>
      <c r="C177" s="115"/>
      <c r="D177" s="208" t="str">
        <f>IF(ROUND(CF!D50,0)=ROUND(SUM(CF!D49,CF!D12),0),"OK","ERROR")</f>
        <v>OK</v>
      </c>
      <c r="E177" s="208" t="str">
        <f>IF(ROUND(CF!E50,0)=ROUND(SUM(CF!E49,CF!E12),0),"OK","ERROR")</f>
        <v>OK</v>
      </c>
      <c r="F177" s="208" t="str">
        <f>IF(ROUND(CF!F50,0)=ROUND(SUM(CF!F49,CF!F12),0),"OK","ERROR")</f>
        <v>OK</v>
      </c>
      <c r="G177" s="208" t="str">
        <f>IF(ROUND(CF!G50,0)=ROUND(SUM(CF!G49,CF!G12),0),"OK","ERROR")</f>
        <v>OK</v>
      </c>
      <c r="H177" s="237" t="str">
        <f>IF(ROUND(CF!H50,0)=ROUND(SUM(CF!H49,CF!H12),0),"OK","ERROR")</f>
        <v>ERROR</v>
      </c>
      <c r="I177" s="210"/>
      <c r="J177" s="208" t="str">
        <f>IF(ROUND(CF!J50,0)=ROUND(SUM(CF!J49,CF!J12),0),"OK","ERROR")</f>
        <v>OK</v>
      </c>
      <c r="K177" s="208" t="str">
        <f>IF(ROUND(CF!K50,0)=ROUND(SUM(CF!K49,CF!K12),0),"OK","ERROR")</f>
        <v>OK</v>
      </c>
      <c r="L177" s="208" t="str">
        <f>IF(ROUND(CF!L50,0)=ROUND(SUM(CF!L49,CF!L12),0),"OK","ERROR")</f>
        <v>OK</v>
      </c>
      <c r="M177" s="208" t="str">
        <f>IF(ROUND(CF!M50,0)=ROUND(SUM(CF!M49,CF!M12),0),"OK","ERROR")</f>
        <v>OK</v>
      </c>
      <c r="N177" s="237" t="str">
        <f>IF(ROUND(CF!N50,0)=ROUND(SUM(CF!N49,CF!N12),0),"OK","ERROR")</f>
        <v>ERROR</v>
      </c>
      <c r="O177" s="210"/>
      <c r="P177" s="208" t="str">
        <f>IF(ROUND(CF!P50,0)=ROUND(SUM(CF!P49,CF!P12),0),"OK","ERROR")</f>
        <v>OK</v>
      </c>
      <c r="Q177" s="208" t="str">
        <f>IF(ROUND(CF!Q50,0)=ROUND(SUM(CF!Q49,CF!Q12),0),"OK","ERROR")</f>
        <v>ERROR</v>
      </c>
      <c r="R177" s="208" t="str">
        <f>IF(ROUND(CF!R50,0)=ROUND(SUM(CF!R49,CF!R12),0),"OK","ERROR")</f>
        <v>ERROR</v>
      </c>
      <c r="S177" s="208" t="str">
        <f>IF(ROUND(CF!S50,0)=ROUND(SUM(CF!S49,CF!S12),0),"OK","ERROR")</f>
        <v>OK</v>
      </c>
      <c r="T177" s="237" t="str">
        <f>IF(ROUND(CF!T50,0)=ROUND(SUM(CF!T49,CF!T12),0),"OK","ERROR")</f>
        <v>ERROR</v>
      </c>
      <c r="U177" s="210"/>
      <c r="V177" s="208" t="str">
        <f>IF(ROUND(CF!V50,0)=ROUND(SUM(CF!V49,CF!V12),0),"OK","ERROR")</f>
        <v>OK</v>
      </c>
      <c r="W177" s="208" t="str">
        <f>IF(ROUND(CF!W50,0)=ROUND(SUM(CF!W49,CF!W12),0),"OK","ERROR")</f>
        <v>OK</v>
      </c>
      <c r="X177" s="208" t="str">
        <f>IF(ROUND(CF!X50,0)=ROUND(SUM(CF!X49,CF!X12),0),"OK","ERROR")</f>
        <v>ERROR</v>
      </c>
      <c r="Y177" s="208" t="str">
        <f>IF(ROUND(CF!Y50,0)=ROUND(SUM(CF!Y49,CF!Y12),0),"OK","ERROR")</f>
        <v>OK</v>
      </c>
      <c r="Z177" s="237" t="str">
        <f>IF(ROUND(CF!Z50,0)=ROUND(SUM(CF!Z49,CF!Z12),0),"OK","ERROR")</f>
        <v>ERROR</v>
      </c>
      <c r="AA177" s="210"/>
      <c r="AB177" s="208" t="str">
        <f>IF(ROUND(CF!AB50,0)=ROUND(SUM(CF!AB49,CF!AB12),0),"OK","ERROR")</f>
        <v>OK</v>
      </c>
      <c r="AC177" s="208" t="str">
        <f>IF(ROUND(CF!AC50,0)=ROUND(SUM(CF!AC49,CF!AC12),0),"OK","ERROR")</f>
        <v>OK</v>
      </c>
      <c r="AD177" s="208" t="str">
        <f>IF(ROUND(CF!AD50,0)=ROUND(SUM(CF!AD49,CF!AD12),0),"OK","ERROR")</f>
        <v>OK</v>
      </c>
      <c r="AE177" s="208" t="str">
        <f>IF(ROUND(CF!AE50,0)=ROUND(SUM(CF!AE49,CF!AE12),0),"OK","ERROR")</f>
        <v>OK</v>
      </c>
      <c r="AF177" s="237" t="str">
        <f>IF(ROUND(CF!AF50,0)=ROUND(SUM(CF!AF49,CF!AF12),0),"OK","ERROR")</f>
        <v>ERROR</v>
      </c>
      <c r="AG177" s="238"/>
      <c r="AH177" s="208" t="str">
        <f>IF(ROUND(CF!AH50,0)=ROUND(SUM(CF!AH49,CF!AH12),0),"OK","ERROR")</f>
        <v>OK</v>
      </c>
      <c r="AI177" s="208" t="str">
        <f>IF(ROUND(CF!AI50,0)=ROUND(SUM(CF!AI49,CF!AI12),0),"OK","ERROR")</f>
        <v>OK</v>
      </c>
      <c r="AJ177" s="208" t="str">
        <f>IF(ROUND(CF!AJ50,0)=ROUND(SUM(CF!AJ49,CF!AJ12),0),"OK","ERROR")</f>
        <v>OK</v>
      </c>
      <c r="AK177" s="208" t="str">
        <f>IF(ROUND(CF!AK50,0)=ROUND(SUM(CF!AK49,CF!AK12),0),"OK","ERROR")</f>
        <v>OK</v>
      </c>
      <c r="AL177" s="237" t="str">
        <f>IF(ROUND(CF!AL50,0)=ROUND(SUM(CF!AL49,CF!AL12),0),"OK","ERROR")</f>
        <v>OK</v>
      </c>
      <c r="AM177" s="239"/>
      <c r="AN177" s="208" t="str">
        <f>IF(ROUND(CF!AN50,0)=ROUND(SUM(CF!AN49,CF!AN12),0),"OK","ERROR")</f>
        <v>OK</v>
      </c>
      <c r="AO177" s="208" t="str">
        <f>IF(ROUND(CF!AO50,0)=ROUND(SUM(CF!AO49,CF!AO12),0),"OK","ERROR")</f>
        <v>OK</v>
      </c>
      <c r="AP177" s="208" t="str">
        <f>IF(ROUND(CF!AP50,0)=ROUND(SUM(CF!AP49,CF!AP12),0),"OK","ERROR")</f>
        <v>OK</v>
      </c>
      <c r="AQ177" s="208" t="str">
        <f>IF(ROUND(CF!AQ50,0)=ROUND(SUM(CF!AQ49,CF!AQ12),0),"OK","ERROR")</f>
        <v>OK</v>
      </c>
      <c r="AR177" s="237" t="str">
        <f>IF(ROUND(CF!AR50,0)=ROUND(SUM(CF!AR49,CF!AR12),0),"OK","ERROR")</f>
        <v>OK</v>
      </c>
      <c r="AS177" s="239"/>
      <c r="AT177" s="237" t="str">
        <f>IF(ROUND(CF!AT50,0)=ROUND(SUM(CF!AT49,CF!AT12),0),"OK","ERROR")</f>
        <v>OK</v>
      </c>
      <c r="AU177" s="239"/>
      <c r="AV177" s="237" t="str">
        <f>IF(ROUND(CF!AV50,0)=ROUND(SUM(CF!AV49,CF!AV12),0),"OK","ERROR")</f>
        <v>OK</v>
      </c>
      <c r="AW177" s="246"/>
      <c r="AX177" s="237" t="str">
        <f>IF(ROUND(CF!AX50,0)=ROUND(SUM(CF!AX49,CF!AX12),0),"OK","ERROR")</f>
        <v>OK</v>
      </c>
    </row>
  </sheetData>
  <mergeCells count="35">
    <mergeCell ref="AN162:AR162"/>
    <mergeCell ref="D162:H162"/>
    <mergeCell ref="J162:N162"/>
    <mergeCell ref="P162:T162"/>
    <mergeCell ref="V162:Z162"/>
    <mergeCell ref="AB162:AF162"/>
    <mergeCell ref="AH162:AL162"/>
    <mergeCell ref="AN90:AR90"/>
    <mergeCell ref="D120:H120"/>
    <mergeCell ref="J120:N120"/>
    <mergeCell ref="P120:T120"/>
    <mergeCell ref="V120:Z120"/>
    <mergeCell ref="AB120:AF120"/>
    <mergeCell ref="AH120:AL120"/>
    <mergeCell ref="AN120:AR120"/>
    <mergeCell ref="D90:H90"/>
    <mergeCell ref="J90:N90"/>
    <mergeCell ref="P90:T90"/>
    <mergeCell ref="V90:Z90"/>
    <mergeCell ref="AB90:AF90"/>
    <mergeCell ref="AH90:AL90"/>
    <mergeCell ref="AN8:AR8"/>
    <mergeCell ref="D63:H63"/>
    <mergeCell ref="J63:N63"/>
    <mergeCell ref="P63:T63"/>
    <mergeCell ref="V63:Z63"/>
    <mergeCell ref="AB63:AF63"/>
    <mergeCell ref="AH63:AL63"/>
    <mergeCell ref="AN63:AR63"/>
    <mergeCell ref="D8:H8"/>
    <mergeCell ref="J8:N8"/>
    <mergeCell ref="P8:T8"/>
    <mergeCell ref="V8:Z8"/>
    <mergeCell ref="AB8:AF8"/>
    <mergeCell ref="AH8:AL8"/>
  </mergeCell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4" tint="-0.499984740745262"/>
    <pageSetUpPr autoPageBreaks="0"/>
  </sheetPr>
  <dimension ref="A1:W176"/>
  <sheetViews>
    <sheetView showGridLines="0" zoomScaleNormal="100" workbookViewId="0">
      <selection activeCell="G69" sqref="G69"/>
    </sheetView>
  </sheetViews>
  <sheetFormatPr defaultColWidth="9" defaultRowHeight="15" customHeight="1"/>
  <cols>
    <col min="1" max="1" width="2.125" customWidth="1"/>
    <col min="2" max="2" width="12.625" customWidth="1"/>
    <col min="3" max="3" width="9.5" bestFit="1" customWidth="1"/>
    <col min="4" max="4" width="18.125" customWidth="1"/>
    <col min="5" max="5" width="22.625" bestFit="1" customWidth="1"/>
    <col min="6" max="6" width="11.625" customWidth="1"/>
    <col min="7" max="9" width="8.625"/>
    <col min="10" max="10" width="10.125" customWidth="1"/>
    <col min="11" max="11" width="8.625"/>
    <col min="12" max="12" width="14" customWidth="1"/>
    <col min="13" max="15" width="8.625"/>
    <col min="16" max="16" width="10.125" customWidth="1"/>
    <col min="17" max="17" width="12.375" bestFit="1" customWidth="1"/>
    <col min="18" max="18" width="12.5" customWidth="1"/>
    <col min="19" max="20" width="8.625"/>
    <col min="21" max="21" width="12.125" customWidth="1"/>
    <col min="22" max="23" width="8.625" customWidth="1"/>
    <col min="24" max="16384" width="9" style="4"/>
  </cols>
  <sheetData>
    <row r="1" spans="1:23" s="468" customFormat="1" ht="15" customHeight="1"/>
    <row r="2" spans="1:23" s="468" customFormat="1" ht="15" customHeight="1"/>
    <row r="3" spans="1:23" s="468" customFormat="1" ht="15" customHeight="1"/>
    <row r="4" spans="1:23" s="468" customFormat="1" ht="15" customHeight="1"/>
    <row r="5" spans="1:23" s="467" customFormat="1" ht="4.3499999999999996" customHeight="1">
      <c r="A5" s="38"/>
      <c r="B5" s="38"/>
      <c r="C5" s="38"/>
      <c r="D5" s="38"/>
      <c r="E5" s="38"/>
      <c r="F5" s="38"/>
      <c r="G5" s="38"/>
      <c r="H5" s="38"/>
      <c r="I5" s="38"/>
      <c r="J5" s="38"/>
      <c r="K5" s="38"/>
      <c r="L5" s="38"/>
      <c r="M5" s="38"/>
      <c r="N5" s="38"/>
      <c r="O5" s="38"/>
      <c r="P5" s="38"/>
      <c r="Q5" s="38"/>
      <c r="R5" s="38"/>
      <c r="S5" s="38"/>
      <c r="T5" s="38"/>
      <c r="U5" s="38"/>
      <c r="V5" s="38"/>
      <c r="W5" s="38"/>
    </row>
    <row r="7" spans="1:23" s="453" customFormat="1" ht="15" customHeight="1">
      <c r="B7" s="2" t="s">
        <v>744</v>
      </c>
      <c r="C7" s="2"/>
      <c r="D7" s="2"/>
      <c r="E7" s="2"/>
      <c r="F7" s="2"/>
      <c r="G7" s="2"/>
      <c r="H7" s="2"/>
      <c r="I7" s="2"/>
      <c r="J7" s="2"/>
      <c r="K7" s="2"/>
      <c r="L7" s="2"/>
      <c r="M7" s="2"/>
      <c r="N7" s="2"/>
      <c r="O7" s="2"/>
      <c r="P7" s="2"/>
      <c r="Q7" s="2"/>
      <c r="R7" s="2"/>
      <c r="S7" s="13" t="e">
        <f ca="1">+_xll.BDP(D15,"SHORT_NAME")</f>
        <v>#NAME?</v>
      </c>
    </row>
    <row r="8" spans="1:23" s="453" customFormat="1" ht="15" customHeight="1">
      <c r="B8" s="2"/>
      <c r="C8" s="2"/>
      <c r="D8" s="2"/>
      <c r="E8" s="2"/>
      <c r="F8" s="2"/>
      <c r="G8" s="2"/>
      <c r="H8" s="2"/>
      <c r="I8" s="2"/>
      <c r="J8" s="2"/>
      <c r="K8" s="2"/>
      <c r="L8" s="2"/>
      <c r="M8" s="2"/>
      <c r="N8" s="2"/>
      <c r="O8" s="2"/>
      <c r="P8" s="2"/>
      <c r="Q8" s="2"/>
      <c r="R8" s="2"/>
    </row>
    <row r="9" spans="1:23" s="453" customFormat="1" ht="15" customHeight="1">
      <c r="B9" s="2"/>
      <c r="C9" s="2"/>
      <c r="D9" s="2"/>
      <c r="E9" s="2"/>
      <c r="F9" s="2"/>
      <c r="G9" s="2"/>
      <c r="H9" s="2"/>
      <c r="I9" s="2"/>
      <c r="J9" s="2"/>
      <c r="K9" s="2"/>
      <c r="L9" s="2"/>
      <c r="M9" s="2"/>
      <c r="N9" s="2"/>
      <c r="O9" s="2"/>
      <c r="P9" s="2"/>
      <c r="Q9" s="2"/>
      <c r="R9" s="2"/>
    </row>
    <row r="10" spans="1:23" ht="4.3499999999999996" customHeight="1">
      <c r="B10" s="38"/>
      <c r="C10" s="38"/>
      <c r="D10" s="38"/>
      <c r="E10" s="38"/>
      <c r="F10" s="38"/>
      <c r="G10" s="38"/>
      <c r="H10" s="38"/>
      <c r="I10" s="38"/>
      <c r="J10" s="38"/>
      <c r="K10" s="38"/>
      <c r="L10" s="38"/>
      <c r="M10" s="38"/>
      <c r="N10" s="38"/>
      <c r="O10" s="38"/>
      <c r="P10" s="38"/>
      <c r="Q10" s="38"/>
      <c r="R10" s="38"/>
    </row>
    <row r="11" spans="1:23" ht="4.3499999999999996" customHeight="1"/>
    <row r="12" spans="1:23" ht="15" customHeight="1" thickBot="1">
      <c r="B12" s="406" t="s">
        <v>85</v>
      </c>
      <c r="C12" s="407"/>
      <c r="D12" s="407"/>
      <c r="F12" s="408" t="s">
        <v>745</v>
      </c>
      <c r="G12" s="407"/>
      <c r="H12" s="407"/>
      <c r="I12" s="407"/>
      <c r="J12" s="407"/>
      <c r="L12" s="408" t="s">
        <v>746</v>
      </c>
      <c r="M12" s="407"/>
      <c r="O12" s="408" t="s">
        <v>747</v>
      </c>
      <c r="P12" s="407"/>
      <c r="Q12" s="407"/>
      <c r="R12" s="407"/>
    </row>
    <row r="13" spans="1:23" ht="15" customHeight="1">
      <c r="B13" s="1" t="s">
        <v>748</v>
      </c>
      <c r="D13" s="405" t="s">
        <v>749</v>
      </c>
      <c r="F13" s="6" t="s">
        <v>750</v>
      </c>
      <c r="J13" s="349">
        <f>'Stock Data'!AQ4</f>
        <v>53088.326999999997</v>
      </c>
      <c r="L13" s="1" t="s">
        <v>751</v>
      </c>
      <c r="M13" s="352">
        <f>J18/(IS!AI18+IS!AH18+IS!AE18+IS!AD18)</f>
        <v>1.6433971174327462</v>
      </c>
      <c r="O13" s="10" t="s">
        <v>752</v>
      </c>
      <c r="R13" s="363" t="s">
        <v>753</v>
      </c>
    </row>
    <row r="14" spans="1:23" ht="15" customHeight="1">
      <c r="B14" s="1" t="s">
        <v>754</v>
      </c>
      <c r="D14" s="363" t="s">
        <v>755</v>
      </c>
      <c r="F14" s="6" t="s">
        <v>756</v>
      </c>
      <c r="J14" s="349">
        <f>Inputs!U63</f>
        <v>58288.077283799998</v>
      </c>
      <c r="L14" s="1" t="s">
        <v>757</v>
      </c>
      <c r="M14" s="352">
        <f>J18/(IS!AI33+IS!AH33+IS!AE33+IS!AD33+IS!AI28+IS!AH28+IS!AE28+IS!AD28)</f>
        <v>14.17363113429389</v>
      </c>
      <c r="O14" s="10" t="s">
        <v>758</v>
      </c>
      <c r="R14" s="363" t="s">
        <v>759</v>
      </c>
    </row>
    <row r="15" spans="1:23" ht="15" customHeight="1">
      <c r="B15" s="1" t="s">
        <v>760</v>
      </c>
      <c r="D15" s="362" t="s">
        <v>761</v>
      </c>
      <c r="F15" s="6" t="s">
        <v>762</v>
      </c>
      <c r="J15" s="350">
        <f>BS!AI53</f>
        <v>0</v>
      </c>
      <c r="L15" s="1" t="s">
        <v>763</v>
      </c>
      <c r="M15" s="352">
        <f>J13/(IS!AI52+IS!AH52+IS!AE52+IS!AD52)</f>
        <v>11.656389589060344</v>
      </c>
    </row>
    <row r="16" spans="1:23" ht="15" customHeight="1" thickBot="1">
      <c r="B16" s="368" t="s">
        <v>764</v>
      </c>
      <c r="D16" s="362"/>
      <c r="F16" s="6" t="s">
        <v>765</v>
      </c>
      <c r="J16" s="350">
        <f>BS!AI38+BS!AI39+BS!AI44+BS!AI45</f>
        <v>37274</v>
      </c>
      <c r="L16" s="1" t="s">
        <v>766</v>
      </c>
      <c r="M16" s="352">
        <f>W63</f>
        <v>0.6663</v>
      </c>
      <c r="O16" s="408" t="s">
        <v>767</v>
      </c>
      <c r="P16" s="407"/>
      <c r="Q16" s="407"/>
      <c r="R16" s="407"/>
    </row>
    <row r="17" spans="1:23" ht="15" customHeight="1">
      <c r="B17" t="s">
        <v>768</v>
      </c>
      <c r="C17" s="10"/>
      <c r="D17" s="15">
        <v>45808</v>
      </c>
      <c r="F17" s="16" t="s">
        <v>769</v>
      </c>
      <c r="G17" s="7"/>
      <c r="H17" s="7"/>
      <c r="I17" s="7"/>
      <c r="J17" s="351">
        <f>BS!AI15</f>
        <v>5029</v>
      </c>
      <c r="O17" s="1" t="s">
        <v>748</v>
      </c>
      <c r="R17" s="405" t="s">
        <v>749</v>
      </c>
    </row>
    <row r="18" spans="1:23" ht="15" customHeight="1">
      <c r="B18" t="s">
        <v>770</v>
      </c>
      <c r="C18" s="10"/>
      <c r="D18" s="15">
        <v>45900</v>
      </c>
      <c r="F18" s="5" t="s">
        <v>771</v>
      </c>
      <c r="G18" s="1"/>
      <c r="H18" s="1"/>
      <c r="I18" s="1"/>
      <c r="J18" s="8">
        <f>J13+J14-J17+J16+J15</f>
        <v>143621.40428379999</v>
      </c>
      <c r="L18" s="1" t="s">
        <v>21</v>
      </c>
      <c r="M18" s="40">
        <v>1.29</v>
      </c>
      <c r="O18" s="1" t="s">
        <v>754</v>
      </c>
      <c r="Q18" s="4"/>
      <c r="R18" s="363" t="s">
        <v>755</v>
      </c>
      <c r="S18" s="4"/>
    </row>
    <row r="19" spans="1:23" ht="15" customHeight="1">
      <c r="C19" s="10"/>
      <c r="F19" s="5"/>
      <c r="G19" s="1"/>
      <c r="H19" s="1"/>
      <c r="I19" s="1"/>
      <c r="J19" s="8"/>
      <c r="O19" s="10"/>
    </row>
    <row r="20" spans="1:23" ht="15" customHeight="1" thickBot="1">
      <c r="B20" s="408" t="s">
        <v>772</v>
      </c>
      <c r="C20" s="407"/>
      <c r="D20" s="407"/>
      <c r="E20" s="407"/>
      <c r="F20" s="407"/>
      <c r="G20" s="1"/>
      <c r="H20" s="408" t="s">
        <v>773</v>
      </c>
      <c r="I20" s="407"/>
      <c r="J20" s="407"/>
      <c r="K20" s="407"/>
      <c r="L20" s="407"/>
      <c r="N20" s="408" t="s">
        <v>774</v>
      </c>
      <c r="O20" s="407"/>
      <c r="P20" s="407"/>
      <c r="Q20" s="407"/>
      <c r="R20" s="407"/>
    </row>
    <row r="21" spans="1:23" ht="15" customHeight="1">
      <c r="B21" s="10" t="s">
        <v>300</v>
      </c>
      <c r="C21" s="10"/>
      <c r="E21" s="371" t="s">
        <v>775</v>
      </c>
      <c r="F21" s="370"/>
      <c r="G21" s="1"/>
      <c r="H21" s="10" t="s">
        <v>318</v>
      </c>
      <c r="I21" s="10"/>
      <c r="K21" s="369" t="s">
        <v>776</v>
      </c>
      <c r="L21" s="370"/>
      <c r="N21" s="10" t="s">
        <v>335</v>
      </c>
      <c r="O21" s="10"/>
      <c r="Q21" s="369" t="s">
        <v>777</v>
      </c>
      <c r="R21" s="370"/>
    </row>
    <row r="22" spans="1:23" ht="15" customHeight="1">
      <c r="B22" s="10" t="s">
        <v>303</v>
      </c>
      <c r="C22" s="10"/>
      <c r="E22" s="371" t="s">
        <v>778</v>
      </c>
      <c r="F22" s="372"/>
      <c r="G22" s="1"/>
      <c r="H22" s="10" t="s">
        <v>321</v>
      </c>
      <c r="I22" s="10"/>
      <c r="K22" s="606" t="s">
        <v>779</v>
      </c>
      <c r="L22" s="372"/>
      <c r="N22" s="10" t="s">
        <v>338</v>
      </c>
      <c r="O22" s="10"/>
      <c r="Q22" s="371" t="s">
        <v>780</v>
      </c>
      <c r="R22" s="372"/>
    </row>
    <row r="23" spans="1:23" ht="15" customHeight="1">
      <c r="B23" s="10" t="s">
        <v>306</v>
      </c>
      <c r="C23" s="10"/>
      <c r="E23" s="371" t="s">
        <v>781</v>
      </c>
      <c r="F23" s="372"/>
      <c r="G23" s="1"/>
      <c r="H23" s="10" t="s">
        <v>325</v>
      </c>
      <c r="I23" s="10"/>
      <c r="K23" s="371" t="s">
        <v>782</v>
      </c>
      <c r="L23" s="372"/>
      <c r="N23" s="10" t="s">
        <v>341</v>
      </c>
      <c r="O23" s="10"/>
      <c r="Q23" s="371" t="s">
        <v>783</v>
      </c>
      <c r="R23" s="372"/>
    </row>
    <row r="24" spans="1:23" ht="15" customHeight="1">
      <c r="B24" s="10" t="s">
        <v>309</v>
      </c>
      <c r="C24" s="10"/>
      <c r="E24" s="371" t="s">
        <v>784</v>
      </c>
      <c r="F24" s="372"/>
      <c r="G24" s="1"/>
      <c r="H24" s="10" t="s">
        <v>328</v>
      </c>
      <c r="I24" s="10"/>
      <c r="K24" s="371" t="s">
        <v>785</v>
      </c>
      <c r="L24" s="372"/>
      <c r="N24" s="10" t="s">
        <v>345</v>
      </c>
      <c r="O24" s="10"/>
      <c r="Q24" s="371" t="s">
        <v>786</v>
      </c>
      <c r="R24" s="372"/>
    </row>
    <row r="25" spans="1:23" ht="15" customHeight="1">
      <c r="B25" s="10" t="s">
        <v>312</v>
      </c>
      <c r="C25" s="10"/>
      <c r="E25" s="369" t="s">
        <v>787</v>
      </c>
      <c r="F25" s="370"/>
      <c r="G25" s="1"/>
      <c r="H25" s="10" t="s">
        <v>331</v>
      </c>
      <c r="I25" s="10"/>
      <c r="K25" s="369" t="s">
        <v>788</v>
      </c>
      <c r="L25" s="370"/>
      <c r="N25" s="10" t="s">
        <v>348</v>
      </c>
      <c r="O25" s="10"/>
      <c r="Q25" s="369" t="s">
        <v>789</v>
      </c>
      <c r="R25" s="370"/>
    </row>
    <row r="26" spans="1:23" ht="15" customHeight="1">
      <c r="A26" s="4"/>
      <c r="B26" s="4"/>
      <c r="C26" s="4"/>
      <c r="D26" s="4"/>
      <c r="E26" s="4"/>
      <c r="F26" s="4"/>
      <c r="G26" s="4"/>
      <c r="H26" s="4"/>
      <c r="I26" s="4"/>
      <c r="J26" s="4"/>
      <c r="K26" s="4"/>
      <c r="L26" s="4"/>
      <c r="M26" s="4"/>
      <c r="N26" s="4"/>
      <c r="O26" s="4"/>
      <c r="P26" s="4"/>
      <c r="Q26" s="4"/>
      <c r="R26" s="4"/>
      <c r="S26" s="4"/>
      <c r="T26" s="4"/>
      <c r="U26" s="4"/>
      <c r="V26" s="4"/>
      <c r="W26" s="4"/>
    </row>
    <row r="27" spans="1:23" s="453" customFormat="1" ht="15" customHeight="1">
      <c r="B27" s="2" t="s">
        <v>3</v>
      </c>
      <c r="C27" s="2"/>
      <c r="D27" s="2"/>
      <c r="E27" s="2"/>
      <c r="F27" s="2"/>
      <c r="G27" s="2"/>
      <c r="H27" s="2"/>
      <c r="I27" s="2"/>
      <c r="J27" s="2"/>
      <c r="K27" s="2"/>
      <c r="L27" s="2"/>
      <c r="M27" s="2"/>
      <c r="N27" s="2"/>
      <c r="O27" s="2"/>
      <c r="P27" s="2"/>
      <c r="Q27" s="2"/>
      <c r="R27" s="2"/>
      <c r="S27" s="2"/>
      <c r="T27" s="2"/>
      <c r="U27" s="2"/>
    </row>
    <row r="28" spans="1:23" ht="4.3499999999999996" customHeight="1">
      <c r="B28" s="38"/>
      <c r="C28" s="38"/>
      <c r="D28" s="38"/>
      <c r="E28" s="38"/>
      <c r="F28" s="38"/>
      <c r="G28" s="38"/>
      <c r="H28" s="38"/>
      <c r="I28" s="38"/>
      <c r="J28" s="38"/>
      <c r="K28" s="38"/>
      <c r="L28" s="38"/>
      <c r="M28" s="38"/>
      <c r="N28" s="38"/>
      <c r="O28" s="38"/>
      <c r="P28" s="38"/>
      <c r="Q28" s="38"/>
      <c r="R28" s="38"/>
      <c r="S28" s="38"/>
      <c r="T28" s="38"/>
      <c r="U28" s="38"/>
    </row>
    <row r="30" spans="1:23" ht="15" customHeight="1">
      <c r="B30" s="2" t="e">
        <f ca="1">S7&amp;" vs "&amp;R13</f>
        <v>#NAME?</v>
      </c>
      <c r="C30" s="2"/>
      <c r="D30" s="2"/>
      <c r="E30" s="2"/>
      <c r="F30" s="2"/>
      <c r="G30" s="2"/>
      <c r="H30" s="2"/>
      <c r="I30" s="2"/>
      <c r="J30" s="2"/>
      <c r="L30" s="2" t="s">
        <v>790</v>
      </c>
      <c r="M30" s="2"/>
      <c r="N30" s="2"/>
      <c r="O30" s="2"/>
      <c r="P30" s="2"/>
      <c r="Q30" s="2"/>
      <c r="R30" s="2"/>
      <c r="S30" s="2"/>
      <c r="T30" s="2"/>
      <c r="U30" s="2"/>
    </row>
    <row r="56" spans="1:23" s="453" customFormat="1" ht="15" customHeight="1">
      <c r="A56" s="12"/>
      <c r="B56" s="2" t="s">
        <v>744</v>
      </c>
      <c r="C56" s="2"/>
      <c r="D56" s="2"/>
      <c r="E56" s="2"/>
      <c r="F56" s="2"/>
      <c r="G56" s="2"/>
      <c r="H56" s="2"/>
      <c r="I56" s="2"/>
      <c r="J56" s="2"/>
      <c r="K56" s="2"/>
      <c r="L56" s="2"/>
      <c r="M56" s="2"/>
      <c r="N56" s="2"/>
      <c r="O56" s="2"/>
      <c r="P56" s="2"/>
      <c r="Q56" s="2"/>
      <c r="R56" s="2"/>
      <c r="S56" s="2"/>
      <c r="T56" s="2"/>
      <c r="U56" s="2"/>
      <c r="V56" s="2"/>
      <c r="W56" s="2"/>
    </row>
    <row r="57" spans="1:23" s="453" customFormat="1" ht="15" customHeight="1">
      <c r="A57" s="12"/>
      <c r="B57" s="2"/>
      <c r="C57" s="2"/>
      <c r="D57" s="2"/>
      <c r="E57" s="2"/>
      <c r="F57" s="2"/>
      <c r="G57" s="2"/>
      <c r="H57" s="2"/>
      <c r="I57" s="2"/>
      <c r="J57" s="2"/>
      <c r="K57" s="2"/>
      <c r="L57" s="2"/>
      <c r="M57" s="2"/>
      <c r="N57" s="2"/>
      <c r="O57" s="2"/>
      <c r="P57" s="2"/>
      <c r="Q57" s="2"/>
      <c r="R57" s="2"/>
      <c r="S57" s="2"/>
      <c r="T57" s="2"/>
      <c r="U57" s="2"/>
      <c r="V57" s="2"/>
      <c r="W57" s="2"/>
    </row>
    <row r="58" spans="1:23" s="453" customFormat="1" ht="15" customHeight="1">
      <c r="A58" s="12"/>
      <c r="B58" s="2"/>
      <c r="C58" s="2"/>
      <c r="D58" s="2"/>
      <c r="E58" s="2"/>
      <c r="F58" s="2"/>
      <c r="G58" s="2"/>
      <c r="H58" s="2"/>
      <c r="I58" s="2"/>
      <c r="J58" s="2"/>
      <c r="K58" s="2"/>
      <c r="L58" s="2"/>
      <c r="M58" s="2"/>
      <c r="N58" s="2"/>
      <c r="O58" s="2"/>
      <c r="P58" s="2"/>
      <c r="Q58" s="2"/>
      <c r="R58" s="2"/>
      <c r="S58" s="2"/>
      <c r="T58" s="2"/>
      <c r="U58" s="2"/>
      <c r="V58" s="2"/>
      <c r="W58" s="2"/>
    </row>
    <row r="59" spans="1:23" ht="4.3499999999999996" customHeight="1">
      <c r="B59" s="38"/>
      <c r="C59" s="38"/>
      <c r="D59" s="38"/>
      <c r="E59" s="38"/>
      <c r="F59" s="38"/>
      <c r="G59" s="38"/>
      <c r="H59" s="38"/>
      <c r="I59" s="38"/>
      <c r="J59" s="38"/>
      <c r="K59" s="38"/>
      <c r="L59" s="38"/>
      <c r="M59" s="38"/>
      <c r="N59" s="38"/>
      <c r="O59" s="38"/>
      <c r="P59" s="38"/>
      <c r="Q59" s="38"/>
      <c r="R59" s="38"/>
      <c r="S59" s="38"/>
      <c r="T59" s="38"/>
      <c r="U59" s="38"/>
      <c r="V59" s="38"/>
      <c r="W59" s="38"/>
    </row>
    <row r="60" spans="1:23" ht="4.3499999999999996" customHeight="1"/>
    <row r="61" spans="1:23" ht="15" customHeight="1">
      <c r="A61" s="13" t="str">
        <f>D13</f>
        <v>USD</v>
      </c>
      <c r="B61" s="10"/>
      <c r="C61" s="10"/>
      <c r="D61" s="10"/>
      <c r="E61" s="10"/>
      <c r="F61" s="10"/>
      <c r="G61" s="10"/>
      <c r="H61" s="10"/>
      <c r="I61" s="10"/>
      <c r="J61" s="10"/>
      <c r="K61" s="10"/>
      <c r="L61" s="10"/>
      <c r="M61" s="10"/>
      <c r="N61" s="10"/>
      <c r="O61" s="10"/>
      <c r="P61" s="10"/>
      <c r="Q61" s="10"/>
      <c r="R61" s="10"/>
      <c r="S61" s="10"/>
      <c r="T61" s="10"/>
      <c r="U61" s="10"/>
      <c r="V61" s="10"/>
      <c r="W61" s="10"/>
    </row>
    <row r="62" spans="1:23" ht="15" customHeight="1">
      <c r="A62" s="10" t="s">
        <v>37</v>
      </c>
      <c r="B62" s="366" t="str">
        <f>$D$15</f>
        <v>FDX US Equity</v>
      </c>
      <c r="C62" s="367"/>
      <c r="D62" s="367"/>
      <c r="E62" s="364">
        <v>2015</v>
      </c>
      <c r="F62" s="364">
        <f t="shared" ref="F62:N62" si="0">+E62+1</f>
        <v>2016</v>
      </c>
      <c r="G62" s="364">
        <f t="shared" si="0"/>
        <v>2017</v>
      </c>
      <c r="H62" s="364">
        <f t="shared" si="0"/>
        <v>2018</v>
      </c>
      <c r="I62" s="364">
        <f t="shared" si="0"/>
        <v>2019</v>
      </c>
      <c r="J62" s="364">
        <f t="shared" si="0"/>
        <v>2020</v>
      </c>
      <c r="K62" s="364">
        <f t="shared" si="0"/>
        <v>2021</v>
      </c>
      <c r="L62" s="364">
        <f t="shared" si="0"/>
        <v>2022</v>
      </c>
      <c r="M62" s="364">
        <f t="shared" si="0"/>
        <v>2023</v>
      </c>
      <c r="N62" s="364">
        <f t="shared" si="0"/>
        <v>2024</v>
      </c>
      <c r="O62" s="10"/>
      <c r="P62" s="3"/>
      <c r="Q62" s="3"/>
      <c r="R62" s="410" t="s">
        <v>292</v>
      </c>
      <c r="S62" s="454" t="s">
        <v>791</v>
      </c>
      <c r="T62" s="3"/>
      <c r="U62" s="410" t="s">
        <v>792</v>
      </c>
      <c r="V62" s="3"/>
      <c r="W62" s="410" t="s">
        <v>793</v>
      </c>
    </row>
    <row r="63" spans="1:23" ht="15" customHeight="1">
      <c r="A63" s="10"/>
      <c r="B63" s="10" t="s">
        <v>470</v>
      </c>
      <c r="C63" s="10"/>
      <c r="D63" s="10"/>
      <c r="E63" s="11">
        <v>47453</v>
      </c>
      <c r="F63" s="11">
        <v>50365</v>
      </c>
      <c r="G63" s="11">
        <v>60319</v>
      </c>
      <c r="H63" s="11">
        <v>65450</v>
      </c>
      <c r="I63" s="11">
        <v>69693</v>
      </c>
      <c r="J63" s="11">
        <v>69217</v>
      </c>
      <c r="K63" s="11">
        <v>83959</v>
      </c>
      <c r="L63" s="11">
        <v>93512</v>
      </c>
      <c r="M63" s="11">
        <v>90155</v>
      </c>
      <c r="N63" s="11">
        <v>87693</v>
      </c>
      <c r="O63" s="10"/>
      <c r="P63" s="10"/>
      <c r="Q63" s="302">
        <v>45937</v>
      </c>
      <c r="R63" s="303">
        <v>247.03</v>
      </c>
      <c r="S63" s="303">
        <v>235.95545999999999</v>
      </c>
      <c r="U63" s="409">
        <v>58288.077283799998</v>
      </c>
      <c r="W63" s="352">
        <v>0.6663</v>
      </c>
    </row>
    <row r="64" spans="1:23" ht="15" customHeight="1">
      <c r="A64" s="10"/>
      <c r="B64" s="10" t="s">
        <v>794</v>
      </c>
      <c r="C64" s="10"/>
      <c r="D64" s="10"/>
      <c r="E64" s="11">
        <v>4530</v>
      </c>
      <c r="F64" s="11">
        <v>5015</v>
      </c>
      <c r="G64" s="11">
        <v>4930</v>
      </c>
      <c r="H64" s="11">
        <v>4789</v>
      </c>
      <c r="I64" s="11">
        <v>5220</v>
      </c>
      <c r="J64" s="11">
        <v>3916</v>
      </c>
      <c r="K64" s="11">
        <v>5050.0886</v>
      </c>
      <c r="L64" s="11">
        <v>6865</v>
      </c>
      <c r="M64" s="11">
        <v>5373</v>
      </c>
      <c r="N64" s="11">
        <v>6241</v>
      </c>
      <c r="O64" s="10"/>
      <c r="P64" s="10"/>
      <c r="Q64" s="302">
        <v>45936</v>
      </c>
      <c r="R64" s="303">
        <v>247.03</v>
      </c>
      <c r="S64" s="303">
        <v>235.95545999999999</v>
      </c>
      <c r="U64" s="409">
        <v>58288.077283799998</v>
      </c>
      <c r="W64" s="352">
        <v>0.6663</v>
      </c>
    </row>
    <row r="65" spans="1:23" ht="15" customHeight="1">
      <c r="A65" s="10"/>
      <c r="B65" s="10" t="s">
        <v>370</v>
      </c>
      <c r="C65" s="10"/>
      <c r="D65" s="10"/>
      <c r="E65" s="14">
        <v>0.1182013316301455</v>
      </c>
      <c r="F65" s="14">
        <v>0.12073687550258992</v>
      </c>
      <c r="G65" s="14">
        <v>8.0504227048944527E-2</v>
      </c>
      <c r="H65" s="14">
        <v>0.10939947095902747</v>
      </c>
      <c r="I65" s="14">
        <v>0.17642311160787996</v>
      </c>
      <c r="J65" s="14">
        <v>3.9563684875737658E-2</v>
      </c>
      <c r="K65" s="14">
        <v>4.0557755723985685E-2</v>
      </c>
      <c r="L65" s="14">
        <v>8.8850882478019505E-2</v>
      </c>
      <c r="M65" s="14">
        <v>3.9729410903504667E-2</v>
      </c>
      <c r="N65" s="14">
        <v>4.8325846314442637E-2</v>
      </c>
      <c r="O65" s="10"/>
      <c r="P65" s="10"/>
      <c r="Q65" s="302">
        <v>45935</v>
      </c>
      <c r="R65" s="303">
        <v>244.61</v>
      </c>
      <c r="S65" s="303">
        <v>235.95545999999999</v>
      </c>
      <c r="U65" s="409">
        <v>57717.065070600001</v>
      </c>
      <c r="W65" s="352">
        <v>0.65980000000000005</v>
      </c>
    </row>
    <row r="66" spans="1:23" ht="15" customHeight="1">
      <c r="A66" s="10"/>
      <c r="B66" s="10" t="s">
        <v>441</v>
      </c>
      <c r="C66" s="10"/>
      <c r="D66" s="10"/>
      <c r="E66" s="14">
        <v>8.6661976274629529E-2</v>
      </c>
      <c r="F66" s="14">
        <v>8.0508760262589671E-2</v>
      </c>
      <c r="G66" s="14">
        <v>9.0100119842763476E-2</v>
      </c>
      <c r="H66" s="14">
        <v>0.10659063901260174</v>
      </c>
      <c r="I66" s="14">
        <v>9.1683902468278997E-2</v>
      </c>
      <c r="J66" s="14">
        <v>4.6968594556117148E-2</v>
      </c>
      <c r="K66" s="14">
        <v>7.6385609430200493E-2</v>
      </c>
      <c r="L66" s="14">
        <v>7.4913480457426768E-2</v>
      </c>
      <c r="M66" s="14">
        <v>7.1934603500870692E-2</v>
      </c>
      <c r="N66" s="14">
        <v>7.9345865001534996E-2</v>
      </c>
      <c r="O66" s="10"/>
      <c r="P66" s="10"/>
      <c r="Q66" s="302">
        <v>45934</v>
      </c>
      <c r="R66" s="303">
        <v>244.61</v>
      </c>
      <c r="S66" s="303">
        <v>235.95545999999999</v>
      </c>
      <c r="U66" s="409">
        <v>57717.065070600001</v>
      </c>
      <c r="W66" s="352">
        <v>0.65980000000000005</v>
      </c>
    </row>
    <row r="67" spans="1:23" ht="15" customHeight="1">
      <c r="A67" s="10"/>
      <c r="B67" s="10" t="s">
        <v>795</v>
      </c>
      <c r="C67" s="10"/>
      <c r="D67" s="10"/>
      <c r="E67" s="11">
        <v>-4347</v>
      </c>
      <c r="F67" s="11">
        <v>-4828</v>
      </c>
      <c r="G67" s="11">
        <v>-5116</v>
      </c>
      <c r="H67" s="11">
        <v>-5663</v>
      </c>
      <c r="I67" s="11">
        <v>-5490</v>
      </c>
      <c r="J67" s="11">
        <v>-5868</v>
      </c>
      <c r="K67" s="11">
        <v>-5884</v>
      </c>
      <c r="L67" s="11">
        <v>-6763</v>
      </c>
      <c r="M67" s="11">
        <v>-6174</v>
      </c>
      <c r="N67" s="11">
        <v>-5176</v>
      </c>
      <c r="O67" s="10"/>
      <c r="P67" s="10"/>
      <c r="Q67" s="302">
        <v>45933</v>
      </c>
      <c r="R67" s="303">
        <v>244.61</v>
      </c>
      <c r="S67" s="303">
        <v>235.95545999999999</v>
      </c>
      <c r="U67" s="409">
        <v>57717.065070600001</v>
      </c>
      <c r="W67" s="352">
        <v>0.65980000000000005</v>
      </c>
    </row>
    <row r="68" spans="1:23" ht="15" customHeight="1">
      <c r="A68" s="10"/>
      <c r="B68" s="10" t="s">
        <v>796</v>
      </c>
      <c r="C68" s="10"/>
      <c r="D68" s="10"/>
      <c r="E68" s="14">
        <v>0.48475999999999997</v>
      </c>
      <c r="F68" s="14">
        <v>0.99840400000000007</v>
      </c>
      <c r="G68" s="14">
        <v>0.92894900000000002</v>
      </c>
      <c r="H68" s="14">
        <v>0.85419200000000006</v>
      </c>
      <c r="I68" s="14">
        <v>0.99008799999999997</v>
      </c>
      <c r="J68" s="14">
        <v>1.9743649999999999</v>
      </c>
      <c r="K68" s="14">
        <v>1.5086889999999999</v>
      </c>
      <c r="L68" s="14">
        <v>1.4913990000000001</v>
      </c>
      <c r="M68" s="14">
        <v>1.4693350000000001</v>
      </c>
      <c r="N68" s="14">
        <v>1.3675219999999999</v>
      </c>
      <c r="O68" s="10"/>
      <c r="P68" s="10"/>
      <c r="Q68" s="302">
        <v>45932</v>
      </c>
      <c r="R68" s="303">
        <v>242.32</v>
      </c>
      <c r="S68" s="303">
        <v>235.95545999999999</v>
      </c>
      <c r="U68" s="409">
        <v>57176.727067199994</v>
      </c>
      <c r="W68" s="352">
        <v>0.65359999999999996</v>
      </c>
    </row>
    <row r="69" spans="1:23" ht="15" customHeight="1">
      <c r="A69" s="10"/>
      <c r="B69" s="10" t="s">
        <v>797</v>
      </c>
      <c r="C69" s="10"/>
      <c r="D69" s="10"/>
      <c r="E69" s="14">
        <v>9.5462879059279707E-2</v>
      </c>
      <c r="F69" s="14">
        <v>9.9573116251365029E-2</v>
      </c>
      <c r="G69" s="14">
        <v>8.1732124206303158E-2</v>
      </c>
      <c r="H69" s="14">
        <v>7.3170359052711992E-2</v>
      </c>
      <c r="I69" s="14">
        <v>7.489991821273298E-2</v>
      </c>
      <c r="J69" s="14">
        <v>5.657569672190358E-2</v>
      </c>
      <c r="K69" s="14">
        <v>6.0149461046463154E-2</v>
      </c>
      <c r="L69" s="14">
        <v>7.3413037898879291E-2</v>
      </c>
      <c r="M69" s="14">
        <v>5.9597360102046477E-2</v>
      </c>
      <c r="N69" s="14">
        <v>7.1168736387168877E-2</v>
      </c>
      <c r="O69" s="10"/>
      <c r="P69" s="10"/>
      <c r="Q69" s="302">
        <v>45931</v>
      </c>
      <c r="R69" s="303">
        <v>239.55</v>
      </c>
      <c r="S69" s="303">
        <v>235.95545999999999</v>
      </c>
      <c r="U69" s="409">
        <v>56523.130443000002</v>
      </c>
      <c r="W69" s="352">
        <v>0.6462</v>
      </c>
    </row>
    <row r="70" spans="1:23" ht="15" customHeight="1">
      <c r="A70" s="10"/>
      <c r="B70" s="10" t="s">
        <v>798</v>
      </c>
      <c r="C70" s="10"/>
      <c r="D70" s="10"/>
      <c r="E70" s="365">
        <v>1.3639353348643768</v>
      </c>
      <c r="F70" s="365">
        <v>1.4996737635605253</v>
      </c>
      <c r="G70" s="365">
        <v>0.8934974469449648</v>
      </c>
      <c r="H70" s="365">
        <v>1.0263515818316244</v>
      </c>
      <c r="I70" s="365">
        <v>1.9242539514384134</v>
      </c>
      <c r="J70" s="365">
        <v>0.84234338390661767</v>
      </c>
      <c r="K70" s="365">
        <v>0.53096068783802108</v>
      </c>
      <c r="L70" s="365">
        <v>1.1860466492210751</v>
      </c>
      <c r="M70" s="365">
        <v>0.55229901841363149</v>
      </c>
      <c r="N70" s="365">
        <v>0.60905311591861455</v>
      </c>
      <c r="O70" s="10"/>
      <c r="P70" s="10"/>
      <c r="Q70" s="302">
        <v>45930</v>
      </c>
      <c r="R70" s="303">
        <v>235.81</v>
      </c>
      <c r="S70" s="303">
        <v>235.95545999999999</v>
      </c>
      <c r="U70" s="409">
        <v>55640.657022599997</v>
      </c>
      <c r="W70" s="352">
        <v>0.6361</v>
      </c>
    </row>
    <row r="71" spans="1:23" ht="15" customHeight="1">
      <c r="A71" s="10"/>
      <c r="B71" s="10" t="s">
        <v>799</v>
      </c>
      <c r="C71" s="10"/>
      <c r="D71" s="10"/>
      <c r="E71" s="14">
        <v>9.1606431627083637E-2</v>
      </c>
      <c r="F71" s="14">
        <v>9.586022039114464E-2</v>
      </c>
      <c r="G71" s="14">
        <v>8.481572970374178E-2</v>
      </c>
      <c r="H71" s="14">
        <v>8.6524064171122989E-2</v>
      </c>
      <c r="I71" s="14">
        <v>7.8774051913391582E-2</v>
      </c>
      <c r="J71" s="14">
        <v>8.4776861175722723E-2</v>
      </c>
      <c r="K71" s="14">
        <v>7.0081825652997295E-2</v>
      </c>
      <c r="L71" s="14">
        <v>7.2322268799726239E-2</v>
      </c>
      <c r="M71" s="14">
        <v>6.8482058676723426E-2</v>
      </c>
      <c r="N71" s="14">
        <v>5.9024095423808057E-2</v>
      </c>
      <c r="O71" s="10"/>
      <c r="P71" s="10"/>
      <c r="Q71" s="10"/>
      <c r="R71" s="303"/>
      <c r="S71" s="303"/>
      <c r="U71" s="409"/>
      <c r="W71" s="352"/>
    </row>
    <row r="72" spans="1:23" ht="15" customHeight="1">
      <c r="A72" s="10"/>
      <c r="B72" s="10"/>
      <c r="C72" s="10"/>
      <c r="D72" s="10"/>
      <c r="E72" s="10"/>
      <c r="F72" s="10"/>
      <c r="G72" s="10"/>
      <c r="H72" s="10"/>
      <c r="I72" s="10"/>
      <c r="J72" s="10"/>
      <c r="K72" s="10"/>
      <c r="L72" s="10"/>
      <c r="M72" s="10"/>
      <c r="N72" s="10"/>
      <c r="O72" s="10"/>
      <c r="P72" s="10"/>
      <c r="Q72" s="10"/>
      <c r="R72" s="10"/>
      <c r="S72" s="10"/>
      <c r="T72" s="10"/>
      <c r="U72" s="10"/>
      <c r="V72" s="10"/>
      <c r="W72" s="10"/>
    </row>
    <row r="73" spans="1:23" ht="15" customHeight="1">
      <c r="A73" s="10" t="s">
        <v>37</v>
      </c>
      <c r="B73" s="366" t="str">
        <f>E21</f>
        <v>UPS US Equity</v>
      </c>
      <c r="C73" s="367"/>
      <c r="D73" s="367"/>
      <c r="E73" s="364">
        <v>2015</v>
      </c>
      <c r="F73" s="364">
        <f t="shared" ref="F73:N73" si="1">+E73+1</f>
        <v>2016</v>
      </c>
      <c r="G73" s="364">
        <f t="shared" si="1"/>
        <v>2017</v>
      </c>
      <c r="H73" s="364">
        <f t="shared" si="1"/>
        <v>2018</v>
      </c>
      <c r="I73" s="364">
        <f t="shared" si="1"/>
        <v>2019</v>
      </c>
      <c r="J73" s="364">
        <f t="shared" si="1"/>
        <v>2020</v>
      </c>
      <c r="K73" s="364">
        <f t="shared" si="1"/>
        <v>2021</v>
      </c>
      <c r="L73" s="364">
        <f t="shared" si="1"/>
        <v>2022</v>
      </c>
      <c r="M73" s="364">
        <f t="shared" si="1"/>
        <v>2023</v>
      </c>
      <c r="N73" s="364">
        <f t="shared" si="1"/>
        <v>2024</v>
      </c>
      <c r="O73" s="10"/>
      <c r="P73" s="10"/>
      <c r="Q73" s="10"/>
      <c r="R73" s="10"/>
      <c r="S73" s="10"/>
      <c r="T73" s="10"/>
      <c r="U73" s="10"/>
      <c r="V73" s="10"/>
      <c r="W73" s="10"/>
    </row>
    <row r="74" spans="1:23" ht="15" customHeight="1">
      <c r="A74" s="10"/>
      <c r="B74" s="10" t="s">
        <v>470</v>
      </c>
      <c r="C74" s="10"/>
      <c r="D74" s="10"/>
      <c r="E74" s="11">
        <v>58363</v>
      </c>
      <c r="F74" s="11">
        <v>60906</v>
      </c>
      <c r="G74" s="11">
        <v>66585</v>
      </c>
      <c r="H74" s="11">
        <v>71861</v>
      </c>
      <c r="I74" s="11">
        <v>74094</v>
      </c>
      <c r="J74" s="11">
        <v>84628</v>
      </c>
      <c r="K74" s="11">
        <v>97287</v>
      </c>
      <c r="L74" s="11">
        <v>100338</v>
      </c>
      <c r="M74" s="11">
        <v>90958</v>
      </c>
      <c r="N74" s="11">
        <v>91070</v>
      </c>
      <c r="O74" s="10"/>
      <c r="S74" s="10"/>
      <c r="T74" s="10"/>
      <c r="U74" s="10"/>
      <c r="V74" s="10"/>
      <c r="W74" s="10"/>
    </row>
    <row r="75" spans="1:23" ht="15" customHeight="1">
      <c r="A75" s="10"/>
      <c r="B75" s="10" t="s">
        <v>794</v>
      </c>
      <c r="C75" s="10"/>
      <c r="D75" s="10"/>
      <c r="E75" s="11">
        <v>7803</v>
      </c>
      <c r="F75" s="11">
        <v>8126</v>
      </c>
      <c r="G75" s="11">
        <v>8329</v>
      </c>
      <c r="H75" s="11">
        <v>7384</v>
      </c>
      <c r="I75" s="11">
        <v>8150</v>
      </c>
      <c r="J75" s="11">
        <v>8718</v>
      </c>
      <c r="K75" s="11">
        <v>13144</v>
      </c>
      <c r="L75" s="11">
        <v>13831.493700000001</v>
      </c>
      <c r="M75" s="11">
        <v>9873</v>
      </c>
      <c r="N75" s="11">
        <v>9565</v>
      </c>
      <c r="O75" s="10"/>
      <c r="S75" s="10"/>
      <c r="T75" s="10"/>
      <c r="U75" s="10"/>
      <c r="V75" s="10"/>
      <c r="W75" s="10"/>
    </row>
    <row r="76" spans="1:23" ht="15" customHeight="1">
      <c r="A76" s="10"/>
      <c r="B76" s="10" t="s">
        <v>370</v>
      </c>
      <c r="C76" s="10"/>
      <c r="D76" s="10"/>
      <c r="E76" s="14">
        <v>0.21156571228684662</v>
      </c>
      <c r="F76" s="14">
        <v>0.26632965660189223</v>
      </c>
      <c r="G76" s="14">
        <v>0.23887364105236134</v>
      </c>
      <c r="H76" s="14">
        <v>0.22451586027056439</v>
      </c>
      <c r="I76" s="14">
        <v>0.25266048877775227</v>
      </c>
      <c r="J76" s="14">
        <v>0.34012804510624123</v>
      </c>
      <c r="K76" s="14">
        <v>0.15087789703692711</v>
      </c>
      <c r="L76" s="14">
        <v>0.17390102013109549</v>
      </c>
      <c r="M76" s="14">
        <v>0.14964033442694027</v>
      </c>
      <c r="N76" s="14">
        <v>0.14641831770741212</v>
      </c>
      <c r="O76" s="10"/>
      <c r="S76" s="10"/>
      <c r="T76" s="10"/>
      <c r="U76" s="10"/>
      <c r="V76" s="10"/>
      <c r="W76" s="10"/>
    </row>
    <row r="77" spans="1:23" ht="15" customHeight="1">
      <c r="A77" s="10"/>
      <c r="B77" s="10" t="s">
        <v>441</v>
      </c>
      <c r="C77" s="10"/>
      <c r="D77" s="10"/>
      <c r="E77" s="14">
        <v>7.6232462154454117E-2</v>
      </c>
      <c r="F77" s="14">
        <v>7.1697602028577764E-2</v>
      </c>
      <c r="G77" s="14">
        <v>7.054028330814513E-2</v>
      </c>
      <c r="H77" s="14">
        <v>9.8638869424851935E-2</v>
      </c>
      <c r="I77" s="14">
        <v>7.8231593947457004E-2</v>
      </c>
      <c r="J77" s="14">
        <v>6.4240403024920248E-2</v>
      </c>
      <c r="K77" s="14">
        <v>7.6877064267929868E-2</v>
      </c>
      <c r="L77" s="14">
        <v>7.9260237737876049E-2</v>
      </c>
      <c r="M77" s="14">
        <v>9.7170770655148342E-2</v>
      </c>
      <c r="N77" s="14">
        <v>8.3727831494272639E-2</v>
      </c>
      <c r="O77" s="10"/>
      <c r="S77" s="10"/>
      <c r="T77" s="10"/>
      <c r="U77" s="10"/>
      <c r="V77" s="10"/>
      <c r="W77" s="10"/>
    </row>
    <row r="78" spans="1:23" ht="15" customHeight="1">
      <c r="A78" s="10"/>
      <c r="B78" s="10" t="s">
        <v>795</v>
      </c>
      <c r="C78" s="10"/>
      <c r="D78" s="10"/>
      <c r="E78" s="11">
        <v>-2379</v>
      </c>
      <c r="F78" s="11">
        <v>-2965</v>
      </c>
      <c r="G78" s="11">
        <v>-5227</v>
      </c>
      <c r="H78" s="11">
        <v>-6283</v>
      </c>
      <c r="I78" s="11">
        <v>-6380</v>
      </c>
      <c r="J78" s="11">
        <v>-5412</v>
      </c>
      <c r="K78" s="11">
        <v>-4194</v>
      </c>
      <c r="L78" s="11">
        <v>-4769</v>
      </c>
      <c r="M78" s="11">
        <v>-5158</v>
      </c>
      <c r="N78" s="11">
        <v>-3909</v>
      </c>
      <c r="O78" s="10"/>
      <c r="S78" s="10"/>
      <c r="T78" s="10"/>
      <c r="U78" s="10"/>
      <c r="V78" s="10"/>
      <c r="W78" s="10"/>
    </row>
    <row r="79" spans="1:23" ht="15" customHeight="1">
      <c r="A79" s="10"/>
      <c r="B79" s="10" t="s">
        <v>796</v>
      </c>
      <c r="C79" s="10"/>
      <c r="D79" s="10"/>
      <c r="E79" s="14">
        <v>5.7543160000000002</v>
      </c>
      <c r="F79" s="14">
        <v>37.470862000000004</v>
      </c>
      <c r="G79" s="14">
        <v>23.719726999999999</v>
      </c>
      <c r="H79" s="14">
        <v>7.4863350000000004</v>
      </c>
      <c r="I79" s="14">
        <v>8.5796530000000004</v>
      </c>
      <c r="J79" s="14">
        <v>41.485799999999998</v>
      </c>
      <c r="K79" s="14">
        <v>1.789053</v>
      </c>
      <c r="L79" s="14">
        <v>1.1877489999999999</v>
      </c>
      <c r="M79" s="14">
        <v>1.5437799999999999</v>
      </c>
      <c r="N79" s="14">
        <v>1.532103</v>
      </c>
      <c r="O79" s="10"/>
      <c r="S79" s="10"/>
      <c r="T79" s="10"/>
      <c r="U79" s="10"/>
      <c r="V79" s="10"/>
      <c r="W79" s="10"/>
    </row>
    <row r="80" spans="1:23" ht="15" customHeight="1">
      <c r="A80" s="10"/>
      <c r="B80" s="10" t="s">
        <v>797</v>
      </c>
      <c r="C80" s="10"/>
      <c r="D80" s="10"/>
      <c r="E80" s="14">
        <v>0.13369771944553913</v>
      </c>
      <c r="F80" s="14">
        <v>0.13341871080024956</v>
      </c>
      <c r="G80" s="14">
        <v>0.12508823308552977</v>
      </c>
      <c r="H80" s="14">
        <v>0.10275392772157359</v>
      </c>
      <c r="I80" s="14">
        <v>0.10999541123437795</v>
      </c>
      <c r="J80" s="14">
        <v>0.10301555040884813</v>
      </c>
      <c r="K80" s="14">
        <v>0.13510540976697813</v>
      </c>
      <c r="L80" s="14">
        <v>0.13784900735513964</v>
      </c>
      <c r="M80" s="14">
        <v>0.10854460300358407</v>
      </c>
      <c r="N80" s="14">
        <v>0.10502909849566268</v>
      </c>
      <c r="O80" s="10"/>
      <c r="S80" s="10"/>
      <c r="T80" s="10"/>
      <c r="U80" s="10"/>
      <c r="V80" s="10"/>
      <c r="W80" s="10"/>
    </row>
    <row r="81" spans="1:23" ht="15" customHeight="1">
      <c r="A81" s="10"/>
      <c r="B81" s="10" t="s">
        <v>798</v>
      </c>
      <c r="C81" s="10"/>
      <c r="D81" s="10"/>
      <c r="E81" s="365">
        <v>2.7752706171052779</v>
      </c>
      <c r="F81" s="365">
        <v>3.7146243258698743</v>
      </c>
      <c r="G81" s="365">
        <v>3.3863436585429638</v>
      </c>
      <c r="H81" s="365">
        <v>2.2761398379734259</v>
      </c>
      <c r="I81" s="365">
        <v>3.2296477168475901</v>
      </c>
      <c r="J81" s="365">
        <v>5.2946125660870802</v>
      </c>
      <c r="K81" s="365">
        <v>1.9625866111522097</v>
      </c>
      <c r="L81" s="365">
        <v>2.1940512051731269</v>
      </c>
      <c r="M81" s="365">
        <v>1.5399727039111628</v>
      </c>
      <c r="N81" s="365">
        <v>1.7487413097212221</v>
      </c>
      <c r="O81" s="10"/>
      <c r="S81" s="10"/>
      <c r="T81" s="10"/>
      <c r="U81" s="10"/>
      <c r="V81" s="10"/>
      <c r="W81" s="10"/>
    </row>
    <row r="82" spans="1:23" ht="15" customHeight="1">
      <c r="A82" s="10"/>
      <c r="B82" s="10" t="s">
        <v>799</v>
      </c>
      <c r="C82" s="10"/>
      <c r="D82" s="10"/>
      <c r="E82" s="14">
        <v>4.076212668985487E-2</v>
      </c>
      <c r="F82" s="14">
        <v>4.8681574885889735E-2</v>
      </c>
      <c r="G82" s="14">
        <v>7.8501163925809123E-2</v>
      </c>
      <c r="H82" s="14">
        <v>8.7432682539903425E-2</v>
      </c>
      <c r="I82" s="14">
        <v>8.610683726077685E-2</v>
      </c>
      <c r="J82" s="14">
        <v>6.3950465566951831E-2</v>
      </c>
      <c r="K82" s="14">
        <v>4.3109562428690372E-2</v>
      </c>
      <c r="L82" s="14">
        <v>4.7529350794315216E-2</v>
      </c>
      <c r="M82" s="14">
        <v>5.6707491369643134E-2</v>
      </c>
      <c r="N82" s="14">
        <v>4.292302624354892E-2</v>
      </c>
      <c r="O82" s="10"/>
      <c r="S82" s="10"/>
      <c r="T82" s="10"/>
      <c r="U82" s="10"/>
      <c r="V82" s="10"/>
      <c r="W82" s="10"/>
    </row>
    <row r="83" spans="1:23" ht="15" customHeight="1">
      <c r="A83" s="10"/>
      <c r="B83" s="10"/>
      <c r="C83" s="10"/>
      <c r="D83" s="10"/>
      <c r="E83" s="10"/>
      <c r="F83" s="10"/>
      <c r="G83" s="10"/>
      <c r="H83" s="10"/>
      <c r="I83" s="10"/>
      <c r="J83" s="10"/>
      <c r="K83" s="10"/>
      <c r="L83" s="10"/>
      <c r="M83" s="10"/>
      <c r="N83" s="10"/>
      <c r="O83" s="10"/>
      <c r="S83" s="10"/>
      <c r="T83" s="10"/>
      <c r="U83" s="10"/>
      <c r="V83" s="10"/>
      <c r="W83" s="10"/>
    </row>
    <row r="84" spans="1:23" ht="15" customHeight="1">
      <c r="A84" s="10" t="s">
        <v>37</v>
      </c>
      <c r="B84" s="366" t="str">
        <f>+E22</f>
        <v>DHL GR Equity</v>
      </c>
      <c r="C84" s="367"/>
      <c r="D84" s="367"/>
      <c r="E84" s="364">
        <v>2015</v>
      </c>
      <c r="F84" s="364">
        <v>2016</v>
      </c>
      <c r="G84" s="364">
        <v>2017</v>
      </c>
      <c r="H84" s="364">
        <v>2018</v>
      </c>
      <c r="I84" s="364">
        <v>2019</v>
      </c>
      <c r="J84" s="364">
        <v>2020</v>
      </c>
      <c r="K84" s="364">
        <v>2021</v>
      </c>
      <c r="L84" s="364">
        <v>2022</v>
      </c>
      <c r="M84" s="364">
        <v>2023</v>
      </c>
      <c r="N84" s="364">
        <v>2024</v>
      </c>
      <c r="O84" s="10"/>
      <c r="S84" s="10"/>
      <c r="T84" s="10"/>
      <c r="U84" s="10"/>
      <c r="V84" s="10"/>
      <c r="W84" s="10"/>
    </row>
    <row r="85" spans="1:23" ht="15" customHeight="1">
      <c r="A85" s="10"/>
      <c r="B85" s="10" t="s">
        <v>470</v>
      </c>
      <c r="C85" s="10"/>
      <c r="D85" s="10"/>
      <c r="E85" s="11">
        <v>65745.337400000004</v>
      </c>
      <c r="F85" s="11">
        <v>63458.915399999998</v>
      </c>
      <c r="G85" s="11">
        <v>68284.873600000006</v>
      </c>
      <c r="H85" s="11">
        <v>72698.200800000006</v>
      </c>
      <c r="I85" s="11">
        <v>70909.477299999999</v>
      </c>
      <c r="J85" s="11">
        <v>76171.786300000007</v>
      </c>
      <c r="K85" s="11">
        <v>96687.6204</v>
      </c>
      <c r="L85" s="11">
        <v>99467.390299999999</v>
      </c>
      <c r="M85" s="11">
        <v>88423.689799999993</v>
      </c>
      <c r="N85" s="11">
        <v>91070.542400000006</v>
      </c>
      <c r="O85" s="10"/>
      <c r="S85" s="10"/>
      <c r="T85" s="10"/>
      <c r="U85" s="10"/>
      <c r="V85" s="10"/>
      <c r="W85" s="10"/>
    </row>
    <row r="86" spans="1:23" ht="15" customHeight="1">
      <c r="A86" s="10"/>
      <c r="B86" s="10" t="s">
        <v>794</v>
      </c>
      <c r="C86" s="10"/>
      <c r="D86" s="10"/>
      <c r="E86" s="11">
        <v>2953.7116999999998</v>
      </c>
      <c r="F86" s="11">
        <v>3787.5677000000001</v>
      </c>
      <c r="G86" s="11">
        <v>4047.7914000000001</v>
      </c>
      <c r="H86" s="11">
        <v>4004.0113999999999</v>
      </c>
      <c r="I86" s="11">
        <v>4194.7208000000001</v>
      </c>
      <c r="J86" s="11">
        <v>5782.8720999999996</v>
      </c>
      <c r="K86" s="11">
        <v>9345.0388000000003</v>
      </c>
      <c r="L86" s="11">
        <v>8818.0460000000003</v>
      </c>
      <c r="M86" s="11">
        <v>6878.5276999999996</v>
      </c>
      <c r="N86" s="11">
        <v>6714.5945000000002</v>
      </c>
    </row>
    <row r="87" spans="1:23" ht="15" customHeight="1">
      <c r="A87" s="10"/>
      <c r="B87" s="10" t="s">
        <v>370</v>
      </c>
      <c r="C87" s="10"/>
      <c r="D87" s="10"/>
      <c r="E87" s="14">
        <v>7.2950012837081135E-2</v>
      </c>
      <c r="F87" s="14">
        <v>0.21169286997396064</v>
      </c>
      <c r="G87" s="14">
        <v>0.16869977061820893</v>
      </c>
      <c r="H87" s="14">
        <v>0.10346665764138557</v>
      </c>
      <c r="I87" s="14">
        <v>9.8104586410658487E-2</v>
      </c>
      <c r="J87" s="14">
        <v>0.11302453601580882</v>
      </c>
      <c r="K87" s="14">
        <v>0.15413873631614131</v>
      </c>
      <c r="L87" s="14">
        <v>0.13683928573878049</v>
      </c>
      <c r="M87" s="14">
        <v>9.1465617871654428E-2</v>
      </c>
      <c r="N87" s="14">
        <v>8.7971255033584578E-2</v>
      </c>
    </row>
    <row r="88" spans="1:23" ht="15" customHeight="1">
      <c r="A88" s="10"/>
      <c r="B88" s="10" t="s">
        <v>441</v>
      </c>
      <c r="C88" s="10"/>
      <c r="D88" s="10"/>
      <c r="E88" s="14">
        <v>8.2887010284027701E-2</v>
      </c>
      <c r="F88" s="14">
        <v>7.3445818762277459E-2</v>
      </c>
      <c r="G88" s="14">
        <v>8.3045889901869174E-2</v>
      </c>
      <c r="H88" s="14">
        <v>6.7728405059601413E-2</v>
      </c>
      <c r="I88" s="14">
        <v>7.0029492885008995E-2</v>
      </c>
      <c r="J88" s="14">
        <v>6.21610651753823E-2</v>
      </c>
      <c r="K88" s="14">
        <v>7.120368178056688E-2</v>
      </c>
      <c r="L88" s="14">
        <v>8.7391193912150805E-2</v>
      </c>
      <c r="M88" s="14">
        <v>9.4059975488323316E-2</v>
      </c>
      <c r="N88" s="14">
        <v>7.8026150546236975E-2</v>
      </c>
    </row>
    <row r="89" spans="1:23" ht="15" customHeight="1">
      <c r="A89" s="10"/>
      <c r="B89" s="10" t="s">
        <v>795</v>
      </c>
      <c r="C89" s="10"/>
      <c r="D89" s="10"/>
      <c r="E89" s="11">
        <v>-2335.4413</v>
      </c>
      <c r="F89" s="11">
        <v>-2176.0252</v>
      </c>
      <c r="G89" s="11">
        <v>-2488.7759999999998</v>
      </c>
      <c r="H89" s="11">
        <v>-3128.7982999999999</v>
      </c>
      <c r="I89" s="11">
        <v>-4043.59</v>
      </c>
      <c r="J89" s="11">
        <v>-3336.1406000000002</v>
      </c>
      <c r="K89" s="11">
        <v>-4418.8159999999998</v>
      </c>
      <c r="L89" s="11">
        <v>-4120.4246999999996</v>
      </c>
      <c r="M89" s="11">
        <v>-3656.6513</v>
      </c>
      <c r="N89" s="11">
        <v>-3176.0994999999998</v>
      </c>
    </row>
    <row r="90" spans="1:23" ht="15" customHeight="1">
      <c r="A90" s="10"/>
      <c r="B90" s="10" t="s">
        <v>796</v>
      </c>
      <c r="C90" s="10"/>
      <c r="D90" s="10"/>
      <c r="E90" s="14">
        <v>0.44736600000000004</v>
      </c>
      <c r="F90" s="14">
        <v>0.52105699999999999</v>
      </c>
      <c r="G90" s="14">
        <v>0.46547300000000003</v>
      </c>
      <c r="H90" s="14">
        <v>1.1838819999999999</v>
      </c>
      <c r="I90" s="14">
        <v>1.177807</v>
      </c>
      <c r="J90" s="14">
        <v>1.352749</v>
      </c>
      <c r="K90" s="14">
        <v>1.0197450000000001</v>
      </c>
      <c r="L90" s="14">
        <v>0.92891499999999994</v>
      </c>
      <c r="M90" s="14">
        <v>0.98741800000000002</v>
      </c>
      <c r="N90" s="14">
        <v>0.99756299999999998</v>
      </c>
    </row>
    <row r="91" spans="1:23" ht="15" customHeight="1">
      <c r="A91" s="10"/>
      <c r="B91" s="10" t="s">
        <v>797</v>
      </c>
      <c r="C91" s="10"/>
      <c r="D91" s="10"/>
      <c r="E91" s="14">
        <v>4.4926557788111672E-2</v>
      </c>
      <c r="F91" s="14">
        <v>5.9685351949775055E-2</v>
      </c>
      <c r="G91" s="14">
        <v>5.9278009705505258E-2</v>
      </c>
      <c r="H91" s="14">
        <v>5.5077173244155439E-2</v>
      </c>
      <c r="I91" s="14">
        <v>5.9155996627266075E-2</v>
      </c>
      <c r="J91" s="14">
        <v>7.5918819564298426E-2</v>
      </c>
      <c r="K91" s="14">
        <v>9.6651864647606944E-2</v>
      </c>
      <c r="L91" s="14">
        <v>8.8652632520107452E-2</v>
      </c>
      <c r="M91" s="14">
        <v>7.7790552685124442E-2</v>
      </c>
      <c r="N91" s="14">
        <v>7.372959821089195E-2</v>
      </c>
    </row>
    <row r="92" spans="1:23" ht="15" customHeight="1">
      <c r="A92" s="10"/>
      <c r="B92" s="10" t="s">
        <v>798</v>
      </c>
      <c r="C92" s="10"/>
      <c r="D92" s="10"/>
      <c r="E92" s="365">
        <v>0.88011393567103458</v>
      </c>
      <c r="F92" s="365">
        <v>2.8822998169459897</v>
      </c>
      <c r="G92" s="365">
        <v>2.03140421299058</v>
      </c>
      <c r="H92" s="365">
        <v>1.5276700750642846</v>
      </c>
      <c r="I92" s="365">
        <v>1.4009038530630207</v>
      </c>
      <c r="J92" s="365">
        <v>1.8182528838094947</v>
      </c>
      <c r="K92" s="365">
        <v>2.1647579515784154</v>
      </c>
      <c r="L92" s="365">
        <v>1.5658246513525942</v>
      </c>
      <c r="M92" s="365">
        <v>0.97241804919467634</v>
      </c>
      <c r="N92" s="365">
        <v>1.1274586073736177</v>
      </c>
    </row>
    <row r="93" spans="1:23" ht="15" customHeight="1">
      <c r="A93" s="10"/>
      <c r="B93" s="10" t="s">
        <v>799</v>
      </c>
      <c r="C93" s="10"/>
      <c r="D93" s="10"/>
      <c r="E93" s="14">
        <v>3.5522538819612169E-2</v>
      </c>
      <c r="F93" s="14">
        <v>3.4290299263450695E-2</v>
      </c>
      <c r="G93" s="14">
        <v>3.6446959169592716E-2</v>
      </c>
      <c r="H93" s="14">
        <v>4.3038180664300561E-2</v>
      </c>
      <c r="I93" s="14">
        <v>5.7024676446176543E-2</v>
      </c>
      <c r="J93" s="14">
        <v>4.3797589134390559E-2</v>
      </c>
      <c r="K93" s="14">
        <v>4.5701983167226651E-2</v>
      </c>
      <c r="L93" s="14">
        <v>4.142487992871368E-2</v>
      </c>
      <c r="M93" s="14">
        <v>4.1353751559912853E-2</v>
      </c>
      <c r="N93" s="14">
        <v>3.4875157392276604E-2</v>
      </c>
    </row>
    <row r="94" spans="1:23" ht="15" customHeight="1">
      <c r="A94" s="10"/>
      <c r="B94" s="10"/>
      <c r="C94" s="10"/>
      <c r="D94" s="10"/>
      <c r="E94" s="10"/>
      <c r="F94" s="10"/>
      <c r="G94" s="10"/>
      <c r="H94" s="10"/>
      <c r="I94" s="10"/>
      <c r="J94" s="10"/>
      <c r="K94" s="10"/>
      <c r="L94" s="10"/>
      <c r="M94" s="10"/>
      <c r="N94" s="10"/>
    </row>
    <row r="95" spans="1:23" ht="15" customHeight="1">
      <c r="A95" s="10" t="s">
        <v>37</v>
      </c>
      <c r="B95" s="366" t="str">
        <f>+E23</f>
        <v>ODFL UW Equity</v>
      </c>
      <c r="C95" s="367"/>
      <c r="D95" s="367"/>
      <c r="E95" s="364">
        <f>+E84</f>
        <v>2015</v>
      </c>
      <c r="F95" s="364">
        <f>+F84</f>
        <v>2016</v>
      </c>
      <c r="G95" s="364">
        <f>+G84</f>
        <v>2017</v>
      </c>
      <c r="H95" s="364">
        <f t="shared" ref="H95:N95" si="2">+G95+1</f>
        <v>2018</v>
      </c>
      <c r="I95" s="364">
        <f t="shared" si="2"/>
        <v>2019</v>
      </c>
      <c r="J95" s="364">
        <f t="shared" si="2"/>
        <v>2020</v>
      </c>
      <c r="K95" s="364">
        <f t="shared" si="2"/>
        <v>2021</v>
      </c>
      <c r="L95" s="364">
        <f t="shared" si="2"/>
        <v>2022</v>
      </c>
      <c r="M95" s="364">
        <f t="shared" si="2"/>
        <v>2023</v>
      </c>
      <c r="N95" s="364">
        <f t="shared" si="2"/>
        <v>2024</v>
      </c>
    </row>
    <row r="96" spans="1:23" ht="15" customHeight="1">
      <c r="A96" s="10"/>
      <c r="B96" s="10" t="s">
        <v>470</v>
      </c>
      <c r="C96" s="10"/>
      <c r="D96" s="10"/>
      <c r="E96" s="11">
        <v>2972.442</v>
      </c>
      <c r="F96" s="11">
        <v>2991.5169999999998</v>
      </c>
      <c r="G96" s="11">
        <v>3358.1120000000001</v>
      </c>
      <c r="H96" s="11">
        <v>4043.6950000000002</v>
      </c>
      <c r="I96" s="11">
        <v>4109.1109999999999</v>
      </c>
      <c r="J96" s="11">
        <v>4015.1289999999999</v>
      </c>
      <c r="K96" s="11">
        <v>5256.3280000000004</v>
      </c>
      <c r="L96" s="11">
        <v>6260.0770000000002</v>
      </c>
      <c r="M96" s="11">
        <v>5866.152</v>
      </c>
      <c r="N96" s="11">
        <v>5814.81</v>
      </c>
    </row>
    <row r="97" spans="1:14" ht="15" customHeight="1">
      <c r="A97" s="10"/>
      <c r="B97" s="10" t="s">
        <v>794</v>
      </c>
      <c r="C97" s="10"/>
      <c r="D97" s="10"/>
      <c r="E97" s="11">
        <v>498.24</v>
      </c>
      <c r="F97" s="11">
        <v>484.00299999999999</v>
      </c>
      <c r="G97" s="11">
        <v>577.16</v>
      </c>
      <c r="H97" s="11">
        <v>817.52800000000002</v>
      </c>
      <c r="I97" s="11">
        <v>824.77200000000005</v>
      </c>
      <c r="J97" s="11">
        <v>907.61800000000005</v>
      </c>
      <c r="K97" s="11">
        <v>1391.039</v>
      </c>
      <c r="L97" s="11">
        <v>1837.2070000000001</v>
      </c>
      <c r="M97" s="11">
        <v>1618.1179999999999</v>
      </c>
      <c r="N97" s="11">
        <v>1540.597</v>
      </c>
    </row>
    <row r="98" spans="1:14" ht="15" customHeight="1">
      <c r="A98" s="10"/>
      <c r="B98" s="10" t="s">
        <v>370</v>
      </c>
      <c r="C98" s="10"/>
      <c r="D98" s="10"/>
      <c r="E98" s="14">
        <v>0.1583564105289281</v>
      </c>
      <c r="F98" s="14">
        <v>0.13946817133541009</v>
      </c>
      <c r="G98" s="14">
        <v>0.19314128264108044</v>
      </c>
      <c r="H98" s="14">
        <v>0.21871496929836279</v>
      </c>
      <c r="I98" s="14">
        <v>0.18986921379738461</v>
      </c>
      <c r="J98" s="14">
        <v>0.1872380063678355</v>
      </c>
      <c r="K98" s="14">
        <v>0.26223646828787583</v>
      </c>
      <c r="L98" s="14">
        <v>0.33129450362870061</v>
      </c>
      <c r="M98" s="14">
        <v>0.27419353101736138</v>
      </c>
      <c r="N98" s="14">
        <v>0.24404482817202436</v>
      </c>
    </row>
    <row r="99" spans="1:14" ht="15" customHeight="1">
      <c r="A99" s="10"/>
      <c r="B99" s="10" t="s">
        <v>441</v>
      </c>
      <c r="C99" s="10"/>
      <c r="D99" s="10"/>
      <c r="E99" s="14">
        <v>9.5636573035389597E-2</v>
      </c>
      <c r="F99" s="14">
        <v>9.8809574101142578E-2</v>
      </c>
      <c r="G99" s="14">
        <v>0.10081687596811958</v>
      </c>
      <c r="H99" s="14">
        <v>0.11794023111502444</v>
      </c>
      <c r="I99" s="14">
        <v>9.2852295593438786E-2</v>
      </c>
      <c r="J99" s="14">
        <v>8.4172649828452142E-2</v>
      </c>
      <c r="K99" s="14">
        <v>9.707279679528559E-2</v>
      </c>
      <c r="L99" s="14">
        <v>9.2105242491372183E-2</v>
      </c>
      <c r="M99" s="14">
        <v>0.12061134716361581</v>
      </c>
      <c r="N99" s="14">
        <v>0.11285327489401659</v>
      </c>
    </row>
    <row r="100" spans="1:14" ht="15" customHeight="1">
      <c r="A100" s="10"/>
      <c r="B100" s="10" t="s">
        <v>795</v>
      </c>
      <c r="C100" s="10"/>
      <c r="D100" s="10"/>
      <c r="E100" s="11">
        <v>-462.05900000000003</v>
      </c>
      <c r="F100" s="11">
        <v>-417.94099999999997</v>
      </c>
      <c r="G100" s="11">
        <v>-382.125</v>
      </c>
      <c r="H100" s="11">
        <v>-588.29200000000003</v>
      </c>
      <c r="I100" s="11">
        <v>-479.32499999999999</v>
      </c>
      <c r="J100" s="11">
        <v>-225.08099999999999</v>
      </c>
      <c r="K100" s="11">
        <v>-550.077</v>
      </c>
      <c r="L100" s="11">
        <v>-775.14800000000002</v>
      </c>
      <c r="M100" s="11">
        <v>-757.30899999999997</v>
      </c>
      <c r="N100" s="11">
        <v>-771.31799999999998</v>
      </c>
    </row>
    <row r="101" spans="1:14" ht="15" customHeight="1">
      <c r="A101" s="10"/>
      <c r="B101" s="10" t="s">
        <v>796</v>
      </c>
      <c r="C101" s="10"/>
      <c r="D101" s="10"/>
      <c r="E101" s="14">
        <v>7.9426999999999998E-2</v>
      </c>
      <c r="F101" s="14">
        <v>5.6708000000000001E-2</v>
      </c>
      <c r="G101" s="14">
        <v>4.1723999999999997E-2</v>
      </c>
      <c r="H101" s="14">
        <v>1.6788000000000001E-2</v>
      </c>
      <c r="I101" s="14">
        <v>3.6193000000000003E-2</v>
      </c>
      <c r="J101" s="14">
        <v>6.2E-2</v>
      </c>
      <c r="K101" s="14">
        <v>5.5096999999999993E-2</v>
      </c>
      <c r="L101" s="14">
        <v>5.4221000000000005E-2</v>
      </c>
      <c r="M101" s="14">
        <v>4.7060999999999999E-2</v>
      </c>
      <c r="N101" s="14">
        <v>3.9647000000000002E-2</v>
      </c>
    </row>
    <row r="102" spans="1:14" ht="15" customHeight="1">
      <c r="A102" s="10"/>
      <c r="B102" s="10" t="s">
        <v>797</v>
      </c>
      <c r="C102" s="10"/>
      <c r="D102" s="10"/>
      <c r="E102" s="14">
        <v>0.16761975507007371</v>
      </c>
      <c r="F102" s="14">
        <v>0.16179182668859982</v>
      </c>
      <c r="G102" s="14">
        <v>0.17187038431118437</v>
      </c>
      <c r="H102" s="14">
        <v>0.20217350715125645</v>
      </c>
      <c r="I102" s="14">
        <v>0.20071786817148529</v>
      </c>
      <c r="J102" s="14">
        <v>0.22604952418714319</v>
      </c>
      <c r="K102" s="14">
        <v>0.26464082911112091</v>
      </c>
      <c r="L102" s="14">
        <v>0.29347993642889697</v>
      </c>
      <c r="M102" s="14">
        <v>0.27583976685227385</v>
      </c>
      <c r="N102" s="14">
        <v>0.26494365250111351</v>
      </c>
    </row>
    <row r="103" spans="1:14" ht="15" customHeight="1">
      <c r="A103" s="10"/>
      <c r="B103" s="10" t="s">
        <v>798</v>
      </c>
      <c r="C103" s="10"/>
      <c r="D103" s="10"/>
      <c r="E103" s="365">
        <v>1.6558143553547187</v>
      </c>
      <c r="F103" s="365">
        <v>1.4114843890800393</v>
      </c>
      <c r="G103" s="365">
        <v>1.9157634154638532</v>
      </c>
      <c r="H103" s="365">
        <v>1.854456000557223</v>
      </c>
      <c r="I103" s="365">
        <v>2.0448521232985146</v>
      </c>
      <c r="J103" s="365">
        <v>2.2244518468818013</v>
      </c>
      <c r="K103" s="365">
        <v>2.7014413609705694</v>
      </c>
      <c r="L103" s="365">
        <v>3.5969125607560732</v>
      </c>
      <c r="M103" s="365">
        <v>2.2733643016639475</v>
      </c>
      <c r="N103" s="365">
        <v>2.1624966435507798</v>
      </c>
    </row>
    <row r="104" spans="1:14" ht="15" customHeight="1">
      <c r="A104" s="10"/>
      <c r="B104" s="10" t="s">
        <v>799</v>
      </c>
      <c r="C104" s="10"/>
      <c r="D104" s="10"/>
      <c r="E104" s="14">
        <v>0.15544760839740523</v>
      </c>
      <c r="F104" s="14">
        <v>0.13970871634692364</v>
      </c>
      <c r="G104" s="14">
        <v>0.11379161862379814</v>
      </c>
      <c r="H104" s="14">
        <v>0.14548377164944437</v>
      </c>
      <c r="I104" s="14">
        <v>0.11664931903762152</v>
      </c>
      <c r="J104" s="14">
        <v>5.6058223783096384E-2</v>
      </c>
      <c r="K104" s="14">
        <v>0.10465043277360164</v>
      </c>
      <c r="L104" s="14">
        <v>0.12382403603022775</v>
      </c>
      <c r="M104" s="14">
        <v>0.12909808678670445</v>
      </c>
      <c r="N104" s="14">
        <v>0.13264715442121067</v>
      </c>
    </row>
    <row r="105" spans="1:14" ht="15" customHeight="1">
      <c r="A105" s="10"/>
      <c r="B105" s="10"/>
      <c r="C105" s="10"/>
      <c r="D105" s="10"/>
      <c r="E105" s="10"/>
      <c r="F105" s="10"/>
      <c r="G105" s="10"/>
      <c r="H105" s="10"/>
      <c r="I105" s="10"/>
      <c r="J105" s="10"/>
      <c r="K105" s="10"/>
      <c r="L105" s="10"/>
      <c r="M105" s="10"/>
      <c r="N105" s="10"/>
    </row>
    <row r="106" spans="1:14" ht="15" customHeight="1">
      <c r="A106" s="10" t="s">
        <v>37</v>
      </c>
      <c r="B106" s="366" t="str">
        <f>+E24</f>
        <v>XPO US Equity</v>
      </c>
      <c r="C106" s="367"/>
      <c r="D106" s="367"/>
      <c r="E106" s="364">
        <v>2015</v>
      </c>
      <c r="F106" s="364">
        <v>2016</v>
      </c>
      <c r="G106" s="364">
        <v>2017</v>
      </c>
      <c r="H106" s="364">
        <v>2018</v>
      </c>
      <c r="I106" s="364">
        <v>2019</v>
      </c>
      <c r="J106" s="364">
        <v>2020</v>
      </c>
      <c r="K106" s="364">
        <v>2021</v>
      </c>
      <c r="L106" s="364">
        <v>2022</v>
      </c>
      <c r="M106" s="364">
        <v>2023</v>
      </c>
      <c r="N106" s="364">
        <v>2024</v>
      </c>
    </row>
    <row r="107" spans="1:14" ht="15" customHeight="1">
      <c r="A107" s="10"/>
      <c r="B107" s="10" t="s">
        <v>470</v>
      </c>
      <c r="C107" s="10"/>
      <c r="D107" s="10"/>
      <c r="E107" s="11">
        <v>7623.2</v>
      </c>
      <c r="F107" s="11">
        <v>14619</v>
      </c>
      <c r="G107" s="11">
        <v>15381</v>
      </c>
      <c r="H107" s="11">
        <v>17279</v>
      </c>
      <c r="I107" s="11">
        <v>16648</v>
      </c>
      <c r="J107" s="11">
        <v>6168</v>
      </c>
      <c r="K107" s="11">
        <v>7202</v>
      </c>
      <c r="L107" s="11">
        <v>7718</v>
      </c>
      <c r="M107" s="11">
        <v>7744</v>
      </c>
      <c r="N107" s="11">
        <v>8072</v>
      </c>
    </row>
    <row r="108" spans="1:14" ht="15" customHeight="1">
      <c r="A108" s="10"/>
      <c r="B108" s="10" t="s">
        <v>794</v>
      </c>
      <c r="C108" s="10"/>
      <c r="D108" s="10"/>
      <c r="E108" s="11">
        <v>182.6</v>
      </c>
      <c r="F108" s="11">
        <v>567.20000000000005</v>
      </c>
      <c r="G108" s="11">
        <v>660</v>
      </c>
      <c r="H108" s="11">
        <v>760</v>
      </c>
      <c r="I108" s="11">
        <v>765</v>
      </c>
      <c r="J108" s="11">
        <v>118</v>
      </c>
      <c r="K108" s="11">
        <v>296</v>
      </c>
      <c r="L108" s="11">
        <v>489</v>
      </c>
      <c r="M108" s="11">
        <v>543</v>
      </c>
      <c r="N108" s="11">
        <v>700</v>
      </c>
    </row>
    <row r="109" spans="1:14" ht="15" customHeight="1">
      <c r="A109" s="10"/>
      <c r="B109" s="10" t="s">
        <v>370</v>
      </c>
      <c r="C109" s="10"/>
      <c r="D109" s="10"/>
      <c r="E109" s="14">
        <v>-5.9062876947384487E-3</v>
      </c>
      <c r="F109" s="14">
        <v>3.729191700305666E-2</v>
      </c>
      <c r="G109" s="14">
        <v>6.6752504727799464E-2</v>
      </c>
      <c r="H109" s="14">
        <v>6.7536677739049644E-2</v>
      </c>
      <c r="I109" s="14">
        <v>6.8818039791165894E-2</v>
      </c>
      <c r="J109" s="14">
        <v>1.3325355416207935E-2</v>
      </c>
      <c r="K109" s="14">
        <v>4.3014922816300899E-2</v>
      </c>
      <c r="L109" s="14">
        <v>6.747398790608608E-2</v>
      </c>
      <c r="M109" s="14">
        <v>6.6525329873746167E-2</v>
      </c>
      <c r="N109" s="14">
        <v>0.10095595461449119</v>
      </c>
    </row>
    <row r="110" spans="1:14" ht="15" customHeight="1">
      <c r="A110" s="10"/>
      <c r="B110" s="10" t="s">
        <v>441</v>
      </c>
      <c r="C110" s="10"/>
      <c r="D110" s="10"/>
      <c r="E110" s="14">
        <v>7.6287173713307649E-2</v>
      </c>
      <c r="F110" s="14">
        <v>8.6845352244266968E-2</v>
      </c>
      <c r="G110" s="14">
        <v>0.1223587315226056</v>
      </c>
      <c r="H110" s="14">
        <v>9.0661457253509478E-2</v>
      </c>
      <c r="I110" s="14">
        <v>5.866556338476505E-2</v>
      </c>
      <c r="J110" s="14">
        <v>9.0814127023176441E-2</v>
      </c>
      <c r="K110" s="14">
        <v>0.11511937596979299</v>
      </c>
      <c r="L110" s="14">
        <v>7.3419620021299772E-2</v>
      </c>
      <c r="M110" s="14">
        <v>0.10735596303791561</v>
      </c>
      <c r="N110" s="14">
        <v>0.11659638915164368</v>
      </c>
    </row>
    <row r="111" spans="1:14" ht="15" customHeight="1">
      <c r="A111" s="10"/>
      <c r="B111" s="10" t="s">
        <v>795</v>
      </c>
      <c r="C111" s="10"/>
      <c r="D111" s="10"/>
      <c r="E111" s="11">
        <v>-249</v>
      </c>
      <c r="F111" s="11">
        <v>-483</v>
      </c>
      <c r="G111" s="11">
        <v>-504</v>
      </c>
      <c r="H111" s="11">
        <v>-551</v>
      </c>
      <c r="I111" s="11">
        <v>-601</v>
      </c>
      <c r="J111" s="11">
        <v>-249</v>
      </c>
      <c r="K111" s="11">
        <v>-269</v>
      </c>
      <c r="L111" s="11">
        <v>-521</v>
      </c>
      <c r="M111" s="11">
        <v>-1533</v>
      </c>
      <c r="N111" s="11">
        <v>-789</v>
      </c>
    </row>
    <row r="112" spans="1:14" ht="15" customHeight="1">
      <c r="A112" s="10"/>
      <c r="B112" s="10" t="s">
        <v>796</v>
      </c>
      <c r="C112" s="10"/>
      <c r="D112" s="10"/>
      <c r="E112" s="14">
        <v>1.766826</v>
      </c>
      <c r="F112" s="14">
        <v>1.602581</v>
      </c>
      <c r="G112" s="14">
        <v>1.1276809999999999</v>
      </c>
      <c r="H112" s="14">
        <v>1.075315</v>
      </c>
      <c r="I112" s="14">
        <v>2.593232</v>
      </c>
      <c r="J112" s="14">
        <v>2.586522</v>
      </c>
      <c r="K112" s="14">
        <v>3.7557119999999999</v>
      </c>
      <c r="L112" s="14">
        <v>3.2065220000000001</v>
      </c>
      <c r="M112" s="14">
        <v>3.248815</v>
      </c>
      <c r="N112" s="14">
        <v>2.5699130000000001</v>
      </c>
    </row>
    <row r="113" spans="1:23" ht="15" customHeight="1">
      <c r="A113" s="10"/>
      <c r="B113" s="10" t="s">
        <v>797</v>
      </c>
      <c r="C113" s="10"/>
      <c r="D113" s="10"/>
      <c r="E113" s="14">
        <v>2.3953195508447895E-2</v>
      </c>
      <c r="F113" s="14">
        <v>3.8798823448936322E-2</v>
      </c>
      <c r="G113" s="14">
        <v>4.2910083869709383E-2</v>
      </c>
      <c r="H113" s="14">
        <v>4.3984026853405869E-2</v>
      </c>
      <c r="I113" s="14">
        <v>4.5951465641518502E-2</v>
      </c>
      <c r="J113" s="14">
        <v>1.913099870298314E-2</v>
      </c>
      <c r="K113" s="14">
        <v>4.1099694529297418E-2</v>
      </c>
      <c r="L113" s="14">
        <v>6.335838300077741E-2</v>
      </c>
      <c r="M113" s="14">
        <v>7.0118801652892568E-2</v>
      </c>
      <c r="N113" s="14">
        <v>8.67195242814668E-2</v>
      </c>
    </row>
    <row r="114" spans="1:23" ht="15" customHeight="1">
      <c r="A114" s="10"/>
      <c r="B114" s="10" t="s">
        <v>798</v>
      </c>
      <c r="C114" s="10"/>
      <c r="D114" s="10"/>
      <c r="E114" s="365">
        <v>-7.7421765773296E-2</v>
      </c>
      <c r="F114" s="365">
        <v>0.42940601931312289</v>
      </c>
      <c r="G114" s="365">
        <v>0.54554753794147526</v>
      </c>
      <c r="H114" s="365">
        <v>0.74493262942158722</v>
      </c>
      <c r="I114" s="365">
        <v>1.1730568296057198</v>
      </c>
      <c r="J114" s="365">
        <v>0.14673218642301331</v>
      </c>
      <c r="K114" s="365">
        <v>0.37365493388000903</v>
      </c>
      <c r="L114" s="365">
        <v>0.91901848424864085</v>
      </c>
      <c r="M114" s="365">
        <v>0.61967056129197939</v>
      </c>
      <c r="N114" s="365">
        <v>0.86585832845294419</v>
      </c>
    </row>
    <row r="115" spans="1:23" ht="15" customHeight="1">
      <c r="A115" s="10"/>
      <c r="B115" s="10" t="s">
        <v>799</v>
      </c>
      <c r="C115" s="10"/>
      <c r="D115" s="10"/>
      <c r="E115" s="14">
        <v>3.2663448420610766E-2</v>
      </c>
      <c r="F115" s="14">
        <v>3.303919556741227E-2</v>
      </c>
      <c r="G115" s="14">
        <v>3.2767700409596257E-2</v>
      </c>
      <c r="H115" s="14">
        <v>3.1888419468719252E-2</v>
      </c>
      <c r="I115" s="14">
        <v>3.6100432484382508E-2</v>
      </c>
      <c r="J115" s="14">
        <v>4.0369649805447473E-2</v>
      </c>
      <c r="K115" s="14">
        <v>3.7350735906692585E-2</v>
      </c>
      <c r="L115" s="14">
        <v>6.750453485358901E-2</v>
      </c>
      <c r="M115" s="14">
        <v>0.19795971074380164</v>
      </c>
      <c r="N115" s="14">
        <v>9.774529236868186E-2</v>
      </c>
    </row>
    <row r="116" spans="1:23" ht="15" customHeight="1">
      <c r="A116" s="10"/>
      <c r="B116" s="10"/>
      <c r="C116" s="10"/>
      <c r="D116" s="10"/>
      <c r="E116" s="10"/>
      <c r="F116" s="10"/>
      <c r="G116" s="10"/>
      <c r="H116" s="10"/>
      <c r="I116" s="10"/>
      <c r="J116" s="10"/>
      <c r="K116" s="10"/>
      <c r="L116" s="10"/>
      <c r="M116" s="10"/>
      <c r="N116" s="10"/>
    </row>
    <row r="117" spans="1:23" ht="15" customHeight="1">
      <c r="A117" s="10" t="s">
        <v>37</v>
      </c>
      <c r="B117" s="366" t="str">
        <f>+E25</f>
        <v>JBHT US Equity</v>
      </c>
      <c r="C117" s="367"/>
      <c r="D117" s="367"/>
      <c r="E117" s="364">
        <v>2015</v>
      </c>
      <c r="F117" s="364">
        <v>2016</v>
      </c>
      <c r="G117" s="364">
        <v>2017</v>
      </c>
      <c r="H117" s="364">
        <v>2018</v>
      </c>
      <c r="I117" s="364">
        <v>2019</v>
      </c>
      <c r="J117" s="364">
        <v>2020</v>
      </c>
      <c r="K117" s="364">
        <v>2021</v>
      </c>
      <c r="L117" s="364">
        <v>2022</v>
      </c>
      <c r="M117" s="364">
        <v>2023</v>
      </c>
      <c r="N117" s="364">
        <v>2024</v>
      </c>
    </row>
    <row r="118" spans="1:23" ht="15" customHeight="1">
      <c r="A118" s="10"/>
      <c r="B118" s="10" t="s">
        <v>470</v>
      </c>
      <c r="C118" s="10"/>
      <c r="D118" s="10"/>
      <c r="E118" s="11">
        <v>6187.6459999999997</v>
      </c>
      <c r="F118" s="11">
        <v>6555.4589999999998</v>
      </c>
      <c r="G118" s="11">
        <v>7189.5680000000002</v>
      </c>
      <c r="H118" s="11">
        <v>8614.8739999999998</v>
      </c>
      <c r="I118" s="11">
        <v>9165.2579999999998</v>
      </c>
      <c r="J118" s="11">
        <v>9636.5730000000003</v>
      </c>
      <c r="K118" s="11">
        <v>12168.302</v>
      </c>
      <c r="L118" s="11">
        <v>14813.999</v>
      </c>
      <c r="M118" s="11">
        <v>12829.665000000001</v>
      </c>
      <c r="N118" s="11">
        <v>12087.204</v>
      </c>
      <c r="O118" s="10"/>
      <c r="P118" s="10"/>
      <c r="Q118" s="10"/>
      <c r="R118" s="10"/>
      <c r="S118" s="10"/>
      <c r="T118" s="10"/>
      <c r="U118" s="10"/>
      <c r="V118" s="10"/>
      <c r="W118" s="10"/>
    </row>
    <row r="119" spans="1:23" ht="15" customHeight="1">
      <c r="A119" s="10"/>
      <c r="B119" s="10" t="s">
        <v>794</v>
      </c>
      <c r="C119" s="10"/>
      <c r="D119" s="10"/>
      <c r="E119" s="11">
        <v>714.41300000000001</v>
      </c>
      <c r="F119" s="11">
        <v>711.31</v>
      </c>
      <c r="G119" s="11">
        <v>673.05899999999997</v>
      </c>
      <c r="H119" s="11">
        <v>693.12800000000004</v>
      </c>
      <c r="I119" s="11">
        <v>811.08199999999999</v>
      </c>
      <c r="J119" s="11">
        <v>717.50800000000004</v>
      </c>
      <c r="K119" s="11">
        <v>1051.07</v>
      </c>
      <c r="L119" s="11">
        <v>1306.1310000000001</v>
      </c>
      <c r="M119" s="11">
        <v>1021.002</v>
      </c>
      <c r="N119" s="11">
        <v>847.22500000000002</v>
      </c>
      <c r="O119" s="10"/>
      <c r="P119" s="10"/>
      <c r="Q119" s="10"/>
      <c r="R119" s="10"/>
      <c r="S119" s="10"/>
      <c r="T119" s="10"/>
      <c r="U119" s="10"/>
      <c r="V119" s="10"/>
      <c r="W119" s="10"/>
    </row>
    <row r="120" spans="1:23" ht="15" customHeight="1">
      <c r="A120" s="10"/>
      <c r="B120" s="10" t="s">
        <v>370</v>
      </c>
      <c r="C120" s="10"/>
      <c r="D120" s="10"/>
      <c r="E120" s="14">
        <v>0.15168966184719801</v>
      </c>
      <c r="F120" s="14">
        <v>0.14364355671310891</v>
      </c>
      <c r="G120" s="14">
        <v>0.21144290435141821</v>
      </c>
      <c r="H120" s="14">
        <v>0.14109743165335109</v>
      </c>
      <c r="I120" s="14">
        <v>0.134150629703539</v>
      </c>
      <c r="J120" s="14">
        <v>0.11860148958732374</v>
      </c>
      <c r="K120" s="14">
        <v>0.157808922212655</v>
      </c>
      <c r="L120" s="14">
        <v>0.17524099388081515</v>
      </c>
      <c r="M120" s="14">
        <v>0.11452495667589858</v>
      </c>
      <c r="N120" s="14">
        <v>8.6545882410941063E-2</v>
      </c>
      <c r="O120" s="10"/>
      <c r="P120" s="10"/>
      <c r="Q120" s="10"/>
      <c r="R120" s="10"/>
      <c r="S120" s="10"/>
      <c r="T120" s="10"/>
      <c r="U120" s="10"/>
      <c r="V120" s="10"/>
      <c r="W120" s="10"/>
    </row>
    <row r="121" spans="1:23" ht="15" customHeight="1">
      <c r="A121" s="10"/>
      <c r="B121" s="10" t="s">
        <v>441</v>
      </c>
      <c r="C121" s="10"/>
      <c r="D121" s="10"/>
      <c r="E121" s="14">
        <v>8.3892623954088405E-2</v>
      </c>
      <c r="F121" s="14">
        <v>8.9627899172209174E-2</v>
      </c>
      <c r="G121" s="14">
        <v>8.9786614384313609E-2</v>
      </c>
      <c r="H121" s="14">
        <v>8.5948464718838463E-2</v>
      </c>
      <c r="I121" s="14">
        <v>7.2394154036701019E-2</v>
      </c>
      <c r="J121" s="14">
        <v>7.347728687408106E-2</v>
      </c>
      <c r="K121" s="14">
        <v>8.9166460510586243E-2</v>
      </c>
      <c r="L121" s="14">
        <v>8.1941462164189557E-2</v>
      </c>
      <c r="M121" s="14">
        <v>9.8629610287016944E-2</v>
      </c>
      <c r="N121" s="14">
        <v>9.7776333070006077E-2</v>
      </c>
      <c r="O121" s="10"/>
      <c r="P121" s="10"/>
      <c r="Q121" s="10"/>
      <c r="R121" s="10"/>
      <c r="S121" s="10"/>
      <c r="T121" s="10"/>
      <c r="U121" s="10"/>
      <c r="V121" s="10"/>
      <c r="W121" s="10"/>
    </row>
    <row r="122" spans="1:23" ht="15" customHeight="1">
      <c r="A122" s="10"/>
      <c r="B122" s="10" t="s">
        <v>795</v>
      </c>
      <c r="C122" s="10"/>
      <c r="D122" s="10"/>
      <c r="E122" s="11">
        <v>-725.12199999999996</v>
      </c>
      <c r="F122" s="11">
        <v>-638.42999999999995</v>
      </c>
      <c r="G122" s="11">
        <v>-526.928</v>
      </c>
      <c r="H122" s="11">
        <v>-995.65</v>
      </c>
      <c r="I122" s="11">
        <v>-854.11500000000001</v>
      </c>
      <c r="J122" s="11">
        <v>-738.54499999999996</v>
      </c>
      <c r="K122" s="11">
        <v>-947.56299999999999</v>
      </c>
      <c r="L122" s="11">
        <v>-1540.796</v>
      </c>
      <c r="M122" s="11">
        <v>-1862.431</v>
      </c>
      <c r="N122" s="11">
        <v>-865.37300000000005</v>
      </c>
      <c r="O122" s="10"/>
      <c r="P122" s="10"/>
      <c r="Q122" s="10"/>
      <c r="R122" s="10"/>
      <c r="S122" s="10"/>
      <c r="T122" s="10"/>
      <c r="U122" s="10"/>
      <c r="V122" s="10"/>
      <c r="W122" s="10"/>
    </row>
    <row r="123" spans="1:23" ht="15" customHeight="1">
      <c r="A123" s="10"/>
      <c r="B123" s="10" t="s">
        <v>796</v>
      </c>
      <c r="C123" s="10"/>
      <c r="D123" s="10"/>
      <c r="E123" s="14">
        <v>0.76748700000000003</v>
      </c>
      <c r="F123" s="14">
        <v>0.69747899999999996</v>
      </c>
      <c r="G123" s="14">
        <v>0.59024299999999996</v>
      </c>
      <c r="H123" s="14">
        <v>0.54683199999999998</v>
      </c>
      <c r="I123" s="14">
        <v>0.62647599999999992</v>
      </c>
      <c r="J123" s="14">
        <v>0.554172</v>
      </c>
      <c r="K123" s="14">
        <v>0.47582299999999994</v>
      </c>
      <c r="L123" s="14">
        <v>0.428508</v>
      </c>
      <c r="M123" s="14">
        <v>0.54968800000000007</v>
      </c>
      <c r="N123" s="14">
        <v>0.53767699999999996</v>
      </c>
      <c r="O123" s="10"/>
      <c r="P123" s="10"/>
      <c r="Q123" s="10"/>
      <c r="R123" s="10"/>
      <c r="S123" s="10"/>
      <c r="T123" s="10"/>
      <c r="U123" s="10"/>
      <c r="V123" s="10"/>
      <c r="W123" s="10"/>
    </row>
    <row r="124" spans="1:23" ht="15" customHeight="1">
      <c r="A124" s="10"/>
      <c r="B124" s="10" t="s">
        <v>797</v>
      </c>
      <c r="C124" s="10"/>
      <c r="D124" s="10"/>
      <c r="E124" s="14">
        <v>0.11545796252726805</v>
      </c>
      <c r="F124" s="14">
        <v>0.10850651342644352</v>
      </c>
      <c r="G124" s="14">
        <v>9.3616055929925127E-2</v>
      </c>
      <c r="H124" s="14">
        <v>8.0457125664287144E-2</v>
      </c>
      <c r="I124" s="14">
        <v>8.849527203707741E-2</v>
      </c>
      <c r="J124" s="14">
        <v>7.4456759680023174E-2</v>
      </c>
      <c r="K124" s="14">
        <v>8.6377704958341767E-2</v>
      </c>
      <c r="L124" s="14">
        <v>8.8168697729762241E-2</v>
      </c>
      <c r="M124" s="14">
        <v>7.9581345265055628E-2</v>
      </c>
      <c r="N124" s="14">
        <v>7.0092719540433016E-2</v>
      </c>
      <c r="O124" s="10"/>
      <c r="P124" s="10"/>
      <c r="Q124" s="10"/>
      <c r="R124" s="10"/>
      <c r="S124" s="10"/>
      <c r="T124" s="10"/>
      <c r="U124" s="10"/>
      <c r="V124" s="10"/>
      <c r="W124" s="10"/>
    </row>
    <row r="125" spans="1:23" ht="15" customHeight="1">
      <c r="A125" s="10"/>
      <c r="B125" s="10" t="s">
        <v>798</v>
      </c>
      <c r="C125" s="10"/>
      <c r="D125" s="10"/>
      <c r="E125" s="365">
        <v>1.8081406290285142</v>
      </c>
      <c r="F125" s="365">
        <v>1.602665665934166</v>
      </c>
      <c r="G125" s="365">
        <v>2.3549490734373748</v>
      </c>
      <c r="H125" s="365">
        <v>1.6416515654458794</v>
      </c>
      <c r="I125" s="365">
        <v>1.8530588759353392</v>
      </c>
      <c r="J125" s="365">
        <v>1.6141245088509131</v>
      </c>
      <c r="K125" s="365">
        <v>1.7698237802533299</v>
      </c>
      <c r="L125" s="365">
        <v>2.1386119951054496</v>
      </c>
      <c r="M125" s="365">
        <v>1.1611620115158665</v>
      </c>
      <c r="N125" s="365">
        <v>0.88514142117577455</v>
      </c>
      <c r="O125" s="10"/>
      <c r="P125" s="10"/>
      <c r="Q125" s="10"/>
      <c r="R125" s="10"/>
      <c r="S125" s="10"/>
      <c r="T125" s="10"/>
      <c r="U125" s="10"/>
      <c r="V125" s="10"/>
      <c r="W125" s="10"/>
    </row>
    <row r="126" spans="1:23" ht="15" customHeight="1">
      <c r="A126" s="10"/>
      <c r="B126" s="10" t="s">
        <v>799</v>
      </c>
      <c r="C126" s="10"/>
      <c r="D126" s="10"/>
      <c r="E126" s="14">
        <v>0.11718866916433164</v>
      </c>
      <c r="F126" s="14">
        <v>9.7389061543974267E-2</v>
      </c>
      <c r="G126" s="14">
        <v>7.3290634430330168E-2</v>
      </c>
      <c r="H126" s="14">
        <v>0.11557336764298584</v>
      </c>
      <c r="I126" s="14">
        <v>9.3190502656881016E-2</v>
      </c>
      <c r="J126" s="14">
        <v>7.663979715610518E-2</v>
      </c>
      <c r="K126" s="14">
        <v>7.7871423638236459E-2</v>
      </c>
      <c r="L126" s="14">
        <v>0.10400945754080314</v>
      </c>
      <c r="M126" s="14">
        <v>0.14516598835589237</v>
      </c>
      <c r="N126" s="14">
        <v>7.1594142036487521E-2</v>
      </c>
      <c r="O126" s="10"/>
      <c r="P126" s="10"/>
      <c r="Q126" s="10"/>
      <c r="R126" s="10"/>
      <c r="S126" s="10"/>
      <c r="T126" s="10"/>
      <c r="U126" s="10"/>
      <c r="V126" s="10"/>
      <c r="W126" s="10"/>
    </row>
    <row r="127" spans="1:23" ht="1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row>
    <row r="128" spans="1:23" ht="15" customHeight="1">
      <c r="A128" s="10"/>
      <c r="B128" s="382" t="s">
        <v>800</v>
      </c>
      <c r="C128" s="382"/>
      <c r="D128" s="382"/>
      <c r="E128" s="32"/>
      <c r="F128" s="339"/>
      <c r="G128" s="339"/>
      <c r="H128" s="339"/>
      <c r="I128" s="339"/>
      <c r="J128" s="339"/>
      <c r="K128" s="32"/>
      <c r="L128" s="339"/>
      <c r="M128" s="339"/>
      <c r="N128" s="339"/>
      <c r="O128" s="339"/>
      <c r="P128" s="339"/>
      <c r="Q128" s="32"/>
      <c r="R128" s="339"/>
      <c r="S128" s="339"/>
      <c r="T128" s="339"/>
      <c r="U128" s="339"/>
      <c r="V128" s="32"/>
      <c r="W128" s="339"/>
    </row>
    <row r="129" spans="1:23" ht="15" customHeight="1">
      <c r="A129" s="10"/>
      <c r="B129" s="383"/>
      <c r="C129" s="383"/>
      <c r="D129" s="383"/>
      <c r="E129" s="32"/>
      <c r="F129" s="384"/>
      <c r="G129" s="384"/>
      <c r="H129" s="384"/>
      <c r="I129" s="384"/>
      <c r="J129" s="384"/>
      <c r="K129" s="385"/>
      <c r="L129" s="384"/>
      <c r="M129" s="384"/>
      <c r="N129" s="384"/>
      <c r="O129" s="384"/>
      <c r="P129" s="384"/>
      <c r="Q129" s="385"/>
      <c r="R129" s="384"/>
      <c r="S129" s="384"/>
      <c r="T129" s="384"/>
      <c r="U129" s="384"/>
      <c r="V129" s="385"/>
      <c r="W129" s="421"/>
    </row>
    <row r="130" spans="1:23" ht="15" customHeight="1">
      <c r="A130" s="10"/>
      <c r="B130" s="383"/>
      <c r="C130" s="383"/>
      <c r="D130" s="383"/>
      <c r="E130" s="32"/>
      <c r="F130" s="386"/>
      <c r="G130" s="386"/>
      <c r="H130" s="386"/>
      <c r="I130" s="386"/>
      <c r="J130" s="386"/>
      <c r="K130" s="384"/>
      <c r="L130" s="386"/>
      <c r="M130" s="386"/>
      <c r="N130" s="386"/>
      <c r="O130" s="386"/>
      <c r="P130" s="386"/>
      <c r="Q130" s="384"/>
      <c r="R130" s="386"/>
      <c r="S130" s="386"/>
      <c r="T130" s="386"/>
      <c r="U130" s="386"/>
      <c r="V130" s="384"/>
      <c r="W130" s="386"/>
    </row>
    <row r="131" spans="1:23" ht="4.3499999999999996" customHeight="1">
      <c r="A131" s="10"/>
      <c r="B131" s="387"/>
      <c r="C131" s="387"/>
      <c r="D131" s="387"/>
      <c r="E131" s="388"/>
      <c r="F131" s="389"/>
      <c r="G131" s="389"/>
      <c r="H131" s="389"/>
      <c r="I131" s="389"/>
      <c r="J131" s="389"/>
      <c r="K131" s="390"/>
      <c r="L131" s="389"/>
      <c r="M131" s="389"/>
      <c r="N131" s="389"/>
      <c r="O131" s="389"/>
      <c r="P131" s="389"/>
      <c r="Q131" s="390"/>
      <c r="R131" s="389"/>
      <c r="S131" s="389"/>
      <c r="T131" s="389"/>
      <c r="U131" s="389"/>
      <c r="V131" s="390"/>
      <c r="W131" s="389"/>
    </row>
    <row r="132" spans="1:23" ht="4.3499999999999996" customHeight="1">
      <c r="A132" s="10"/>
      <c r="B132" s="378"/>
      <c r="C132" s="378"/>
      <c r="D132" s="378"/>
      <c r="E132" s="379"/>
      <c r="F132" s="378"/>
      <c r="G132" s="378"/>
      <c r="H132" s="378"/>
      <c r="I132" s="378"/>
      <c r="J132" s="378"/>
      <c r="K132" s="378"/>
      <c r="L132" s="378"/>
      <c r="M132" s="378"/>
      <c r="N132" s="378"/>
      <c r="O132" s="378"/>
      <c r="P132" s="378"/>
      <c r="Q132" s="378"/>
      <c r="R132" s="378"/>
      <c r="S132" s="378"/>
      <c r="T132" s="378"/>
      <c r="U132" s="378"/>
      <c r="V132" s="378"/>
      <c r="W132" s="378"/>
    </row>
    <row r="133" spans="1:23" ht="15" customHeight="1">
      <c r="A133" s="10"/>
      <c r="B133" s="382" t="s">
        <v>93</v>
      </c>
      <c r="C133" s="426" t="s">
        <v>801</v>
      </c>
      <c r="D133" s="383"/>
      <c r="E133" s="32"/>
      <c r="F133" s="386"/>
      <c r="G133" s="386">
        <v>2017</v>
      </c>
      <c r="H133" s="386">
        <f t="shared" ref="H133:N133" si="3">+G133+1</f>
        <v>2018</v>
      </c>
      <c r="I133" s="386">
        <f t="shared" si="3"/>
        <v>2019</v>
      </c>
      <c r="J133" s="386">
        <f t="shared" si="3"/>
        <v>2020</v>
      </c>
      <c r="K133" s="386">
        <f t="shared" si="3"/>
        <v>2021</v>
      </c>
      <c r="L133" s="386">
        <f t="shared" si="3"/>
        <v>2022</v>
      </c>
      <c r="M133" s="386">
        <f t="shared" si="3"/>
        <v>2023</v>
      </c>
      <c r="N133" s="386">
        <f t="shared" si="3"/>
        <v>2024</v>
      </c>
      <c r="O133" s="378"/>
      <c r="P133" s="386">
        <v>2017</v>
      </c>
      <c r="Q133" s="386">
        <f t="shared" ref="Q133:W133" si="4">+P133+1</f>
        <v>2018</v>
      </c>
      <c r="R133" s="386">
        <f t="shared" si="4"/>
        <v>2019</v>
      </c>
      <c r="S133" s="386">
        <f t="shared" si="4"/>
        <v>2020</v>
      </c>
      <c r="T133" s="386">
        <f t="shared" si="4"/>
        <v>2021</v>
      </c>
      <c r="U133" s="386">
        <f t="shared" si="4"/>
        <v>2022</v>
      </c>
      <c r="V133" s="386">
        <f t="shared" si="4"/>
        <v>2023</v>
      </c>
      <c r="W133" s="386">
        <f t="shared" si="4"/>
        <v>2024</v>
      </c>
    </row>
    <row r="135" spans="1:23" ht="15" customHeight="1">
      <c r="B135" s="378" t="s">
        <v>354</v>
      </c>
      <c r="C135" s="425" t="s">
        <v>761</v>
      </c>
      <c r="D135" s="378"/>
      <c r="E135" s="379"/>
      <c r="F135" s="378"/>
      <c r="G135" s="378">
        <v>14028.7</v>
      </c>
      <c r="H135" s="378">
        <v>15152.4</v>
      </c>
      <c r="I135" s="378">
        <v>15406.2</v>
      </c>
      <c r="J135" s="378">
        <v>15235.3</v>
      </c>
      <c r="K135" s="378">
        <v>16659.800999999999</v>
      </c>
      <c r="L135" s="378">
        <v>17113.599999999999</v>
      </c>
      <c r="M135" s="378">
        <v>15804.6</v>
      </c>
      <c r="N135" s="378">
        <v>14842.1</v>
      </c>
      <c r="O135" s="378"/>
      <c r="P135" s="378">
        <v>0.23257514216084485</v>
      </c>
      <c r="Q135" s="378">
        <v>0.23151107715813599</v>
      </c>
      <c r="R135" s="378">
        <v>0.22105806895957988</v>
      </c>
      <c r="S135" s="378">
        <v>0.22010922172298711</v>
      </c>
      <c r="T135" s="378">
        <v>0.19842781595778891</v>
      </c>
      <c r="U135" s="378">
        <v>0.1830096672084866</v>
      </c>
      <c r="V135" s="378">
        <v>0.17530475292551717</v>
      </c>
      <c r="W135" s="378">
        <v>0.16925068135427002</v>
      </c>
    </row>
    <row r="136" spans="1:23" ht="15" customHeight="1">
      <c r="B136" s="378" t="s">
        <v>300</v>
      </c>
      <c r="C136" s="425" t="s">
        <v>775</v>
      </c>
      <c r="D136" s="378"/>
      <c r="E136" s="379"/>
      <c r="F136" s="378"/>
      <c r="G136" s="378">
        <v>13047</v>
      </c>
      <c r="H136" s="378">
        <v>13851</v>
      </c>
      <c r="I136" s="378">
        <v>14223</v>
      </c>
      <c r="J136" s="378">
        <v>15088</v>
      </c>
      <c r="K136" s="378">
        <v>15668</v>
      </c>
      <c r="L136" s="378">
        <v>15845</v>
      </c>
      <c r="M136" s="378">
        <v>14499</v>
      </c>
      <c r="N136" s="378">
        <v>14408</v>
      </c>
      <c r="O136" s="378"/>
      <c r="P136" s="378">
        <v>0.19594503266501465</v>
      </c>
      <c r="Q136" s="378">
        <v>0.19274710900210129</v>
      </c>
      <c r="R136" s="378">
        <v>0.19195886306583529</v>
      </c>
      <c r="S136" s="378">
        <v>0.17828614642907784</v>
      </c>
      <c r="T136" s="378">
        <v>0.1610492666029377</v>
      </c>
      <c r="U136" s="378">
        <v>0.15791624309832766</v>
      </c>
      <c r="V136" s="378">
        <v>0.15940324105631171</v>
      </c>
      <c r="W136" s="378">
        <v>0.15820797188975513</v>
      </c>
    </row>
    <row r="137" spans="1:23" ht="15" customHeight="1">
      <c r="B137" s="378" t="s">
        <v>303</v>
      </c>
      <c r="C137" s="425" t="s">
        <v>778</v>
      </c>
      <c r="D137" s="378"/>
      <c r="E137" s="379"/>
      <c r="F137" s="378"/>
      <c r="G137" s="378">
        <v>5900</v>
      </c>
      <c r="H137" s="378">
        <v>6300</v>
      </c>
      <c r="I137" s="378">
        <v>6380</v>
      </c>
      <c r="J137" s="378">
        <v>6590</v>
      </c>
      <c r="K137" s="378">
        <v>7308</v>
      </c>
      <c r="L137" s="378">
        <v>8300</v>
      </c>
      <c r="M137" s="378">
        <v>8260</v>
      </c>
      <c r="N137" s="378">
        <v>7660</v>
      </c>
      <c r="O137" s="378"/>
      <c r="P137" s="378">
        <v>8.6402737369934882E-2</v>
      </c>
      <c r="Q137" s="378">
        <v>8.6659641238328963E-2</v>
      </c>
      <c r="R137" s="378">
        <v>8.9973868697520359E-2</v>
      </c>
      <c r="S137" s="378">
        <v>8.6514972539117149E-2</v>
      </c>
      <c r="T137" s="378">
        <v>7.5583616286827138E-2</v>
      </c>
      <c r="U137" s="378">
        <v>8.3444433145040506E-2</v>
      </c>
      <c r="V137" s="378">
        <v>9.3413880586557474E-2</v>
      </c>
      <c r="W137" s="378">
        <v>8.4110622360804119E-2</v>
      </c>
    </row>
    <row r="138" spans="1:23" ht="15" customHeight="1">
      <c r="B138" s="378" t="s">
        <v>306</v>
      </c>
      <c r="C138" s="425" t="s">
        <v>781</v>
      </c>
      <c r="D138" s="378"/>
      <c r="E138" s="379"/>
      <c r="F138" s="378"/>
      <c r="G138" s="378"/>
      <c r="H138" s="378">
        <v>1265.94</v>
      </c>
      <c r="I138" s="378">
        <v>1211.8900000000001</v>
      </c>
      <c r="J138" s="378">
        <v>1114.05</v>
      </c>
      <c r="K138" s="378">
        <v>1268.25</v>
      </c>
      <c r="L138" s="378">
        <v>1318.79</v>
      </c>
      <c r="M138" s="378">
        <v>1198.5899999999999</v>
      </c>
      <c r="N138" s="378" t="s">
        <v>357</v>
      </c>
      <c r="O138" s="378"/>
      <c r="P138" s="378" t="e">
        <v>#VALUE!</v>
      </c>
      <c r="Q138" s="378">
        <v>0.31306515451833039</v>
      </c>
      <c r="R138" s="378">
        <v>0.29492754028791146</v>
      </c>
      <c r="S138" s="378">
        <v>0.27746306532118892</v>
      </c>
      <c r="T138" s="378">
        <v>0.24128060501551651</v>
      </c>
      <c r="U138" s="378">
        <v>0.21066673780530173</v>
      </c>
      <c r="V138" s="378">
        <v>0.20432303833927248</v>
      </c>
      <c r="W138" s="378" t="e">
        <v>#VALUE!</v>
      </c>
    </row>
    <row r="139" spans="1:23" ht="15" customHeight="1">
      <c r="B139" s="378" t="s">
        <v>309</v>
      </c>
      <c r="C139" s="425" t="s">
        <v>784</v>
      </c>
      <c r="D139" s="378"/>
      <c r="E139" s="379"/>
      <c r="F139" s="378"/>
      <c r="G139" s="378">
        <v>1861.54</v>
      </c>
      <c r="H139" s="378">
        <v>1547.97</v>
      </c>
      <c r="I139" s="378">
        <v>1541.67</v>
      </c>
      <c r="J139" s="378">
        <v>1480.9</v>
      </c>
      <c r="K139" s="378">
        <v>1401.01</v>
      </c>
      <c r="L139" s="378" t="s">
        <v>357</v>
      </c>
      <c r="M139" s="378">
        <v>1246.3800000000001</v>
      </c>
      <c r="N139" s="378">
        <v>1325.81</v>
      </c>
      <c r="O139" s="378"/>
      <c r="P139" s="378">
        <v>0.12102854170730121</v>
      </c>
      <c r="Q139" s="378">
        <v>8.9586781642456162E-2</v>
      </c>
      <c r="R139" s="378">
        <v>9.2603916386352722E-2</v>
      </c>
      <c r="S139" s="378">
        <v>0.2400940337224384</v>
      </c>
      <c r="T139" s="378">
        <v>0.19453068592057762</v>
      </c>
      <c r="U139" s="378" t="e">
        <v>#VALUE!</v>
      </c>
      <c r="V139" s="378">
        <v>0.16094783057851242</v>
      </c>
      <c r="W139" s="378">
        <v>0.16424801783944498</v>
      </c>
    </row>
    <row r="140" spans="1:23" ht="15" customHeight="1">
      <c r="B140" s="378" t="s">
        <v>312</v>
      </c>
      <c r="C140" s="425" t="s">
        <v>787</v>
      </c>
      <c r="D140" s="378"/>
      <c r="E140" s="379"/>
      <c r="F140" s="378"/>
      <c r="G140" s="378"/>
      <c r="H140" s="378">
        <v>1635.15</v>
      </c>
      <c r="I140" s="378">
        <v>1730.64</v>
      </c>
      <c r="J140" s="378">
        <v>1890.78</v>
      </c>
      <c r="K140" s="378">
        <v>1912.85</v>
      </c>
      <c r="L140" s="378">
        <v>1942.28</v>
      </c>
      <c r="M140" s="378">
        <v>1739.77</v>
      </c>
      <c r="N140" s="378">
        <v>1821.01</v>
      </c>
      <c r="O140" s="378"/>
      <c r="P140" s="378" t="e">
        <v>#VALUE!</v>
      </c>
      <c r="Q140" s="378">
        <v>0.18980544579061751</v>
      </c>
      <c r="R140" s="378">
        <v>0.18882610833213861</v>
      </c>
      <c r="S140" s="378">
        <v>0.1962087559550475</v>
      </c>
      <c r="T140" s="378">
        <v>0.15719941862060952</v>
      </c>
      <c r="U140" s="378">
        <v>0.13111111996159849</v>
      </c>
      <c r="V140" s="378">
        <v>0.13560525547627314</v>
      </c>
      <c r="W140" s="378">
        <v>0.15065601606459195</v>
      </c>
    </row>
    <row r="141" spans="1:23" ht="15" customHeight="1">
      <c r="B141" s="378"/>
      <c r="C141" s="378"/>
      <c r="D141" s="378"/>
      <c r="E141" s="379"/>
      <c r="F141" s="378"/>
      <c r="G141" s="378"/>
      <c r="H141" s="378"/>
      <c r="I141" s="378"/>
      <c r="J141" s="378"/>
      <c r="K141" s="378"/>
      <c r="L141" s="378"/>
      <c r="M141" s="378"/>
      <c r="N141" s="378"/>
      <c r="O141" s="378"/>
      <c r="P141" s="378"/>
      <c r="Q141" s="378"/>
      <c r="R141" s="378"/>
      <c r="S141" s="378"/>
      <c r="T141" s="378"/>
      <c r="U141" s="378"/>
      <c r="V141" s="378"/>
      <c r="W141" s="378"/>
    </row>
    <row r="142" spans="1:23" ht="15" customHeight="1">
      <c r="B142" s="382" t="s">
        <v>103</v>
      </c>
      <c r="C142" s="426" t="s">
        <v>802</v>
      </c>
      <c r="D142" s="383"/>
      <c r="E142" s="32"/>
      <c r="F142" s="386"/>
      <c r="G142" s="386">
        <v>2017</v>
      </c>
      <c r="H142" s="386">
        <v>2018</v>
      </c>
      <c r="I142" s="386">
        <v>2019</v>
      </c>
      <c r="J142" s="386">
        <v>2020</v>
      </c>
      <c r="K142" s="386">
        <v>2021</v>
      </c>
      <c r="L142" s="386">
        <v>2022</v>
      </c>
      <c r="M142" s="386">
        <v>2023</v>
      </c>
      <c r="N142" s="386">
        <v>2024</v>
      </c>
      <c r="O142" s="378"/>
      <c r="P142" s="386">
        <v>2017</v>
      </c>
      <c r="Q142" s="386">
        <v>2018</v>
      </c>
      <c r="R142" s="386">
        <v>2019</v>
      </c>
      <c r="S142" s="386">
        <v>2020</v>
      </c>
      <c r="T142" s="386">
        <v>2021</v>
      </c>
      <c r="U142" s="386">
        <v>2022</v>
      </c>
      <c r="V142" s="386">
        <v>2023</v>
      </c>
      <c r="W142" s="386">
        <v>2024</v>
      </c>
    </row>
    <row r="143" spans="1:23" ht="4.3499999999999996" customHeight="1">
      <c r="B143" s="387"/>
      <c r="C143" s="387"/>
      <c r="D143" s="387"/>
      <c r="E143" s="388"/>
      <c r="F143" s="389"/>
      <c r="G143" s="389"/>
      <c r="H143" s="389"/>
      <c r="I143" s="389"/>
      <c r="J143" s="389"/>
      <c r="K143" s="389"/>
      <c r="L143" s="389"/>
      <c r="M143" s="389"/>
      <c r="N143" s="389"/>
      <c r="O143" s="378"/>
      <c r="P143" s="389"/>
      <c r="Q143" s="389"/>
      <c r="R143" s="389"/>
      <c r="S143" s="389"/>
      <c r="T143" s="389"/>
      <c r="U143" s="389"/>
      <c r="V143" s="389"/>
      <c r="W143" s="389"/>
    </row>
    <row r="144" spans="1:23" ht="15" customHeight="1">
      <c r="B144" s="378" t="s">
        <v>354</v>
      </c>
      <c r="C144" s="425" t="s">
        <v>761</v>
      </c>
      <c r="D144" s="378"/>
      <c r="E144" s="379"/>
      <c r="F144" s="378"/>
      <c r="G144" s="378">
        <v>59770.5</v>
      </c>
      <c r="H144" s="378">
        <v>64413.101999999999</v>
      </c>
      <c r="I144" s="378">
        <v>77253.101999999999</v>
      </c>
      <c r="J144" s="378">
        <v>77623.601999999999</v>
      </c>
      <c r="K144" s="378">
        <v>85605.797000000006</v>
      </c>
      <c r="L144" s="378">
        <v>87563.101999999999</v>
      </c>
      <c r="M144" s="378">
        <v>84494.202999999994</v>
      </c>
      <c r="N144" s="378">
        <v>77604.398000000001</v>
      </c>
      <c r="O144" s="378"/>
      <c r="P144" s="378">
        <v>0.99090667948739208</v>
      </c>
      <c r="Q144" s="378">
        <v>0.98415740259740259</v>
      </c>
      <c r="R144" s="378">
        <v>1.108477207180061</v>
      </c>
      <c r="S144" s="378">
        <v>1.1214528511781787</v>
      </c>
      <c r="T144" s="378">
        <v>1.0196142998368252</v>
      </c>
      <c r="U144" s="378">
        <v>0.93638358713320213</v>
      </c>
      <c r="V144" s="378">
        <v>0.93721039321169086</v>
      </c>
      <c r="W144" s="378">
        <v>0.88495544684296357</v>
      </c>
    </row>
    <row r="145" spans="2:23" ht="15" customHeight="1">
      <c r="B145" s="378" t="s">
        <v>300</v>
      </c>
      <c r="C145" s="425" t="s">
        <v>775</v>
      </c>
      <c r="D145" s="378"/>
      <c r="E145" s="379"/>
      <c r="F145" s="378"/>
      <c r="G145" s="378">
        <v>51858.898000000001</v>
      </c>
      <c r="H145" s="378">
        <v>55116.699000000001</v>
      </c>
      <c r="I145" s="378">
        <v>56646.898000000001</v>
      </c>
      <c r="J145" s="378">
        <v>60117.199000000001</v>
      </c>
      <c r="K145" s="378">
        <v>62651</v>
      </c>
      <c r="L145" s="378">
        <v>63793</v>
      </c>
      <c r="M145" s="378">
        <v>59287</v>
      </c>
      <c r="N145" s="378">
        <v>59614.398000000001</v>
      </c>
      <c r="O145" s="378"/>
      <c r="P145" s="378">
        <v>0.77883754599384247</v>
      </c>
      <c r="Q145" s="378">
        <v>0.76699042596123068</v>
      </c>
      <c r="R145" s="378">
        <v>0.76452746511188496</v>
      </c>
      <c r="S145" s="378">
        <v>0.7103700784610294</v>
      </c>
      <c r="T145" s="378">
        <v>0.64398121023363863</v>
      </c>
      <c r="U145" s="378">
        <v>0.63578106001714207</v>
      </c>
      <c r="V145" s="378">
        <v>0.65180632819543083</v>
      </c>
      <c r="W145" s="378">
        <v>0.65459973646645442</v>
      </c>
    </row>
    <row r="146" spans="2:23" ht="15" customHeight="1">
      <c r="B146" s="378" t="s">
        <v>303</v>
      </c>
      <c r="C146" s="425" t="s">
        <v>778</v>
      </c>
      <c r="D146" s="378"/>
      <c r="E146" s="379"/>
      <c r="F146" s="378"/>
      <c r="G146" s="378">
        <v>24927</v>
      </c>
      <c r="H146" s="378">
        <v>26437</v>
      </c>
      <c r="I146" s="378">
        <v>26199</v>
      </c>
      <c r="J146" s="378">
        <v>27427</v>
      </c>
      <c r="K146" s="378">
        <v>30486</v>
      </c>
      <c r="L146" s="378">
        <v>34493.300999999999</v>
      </c>
      <c r="M146" s="378">
        <v>35056</v>
      </c>
      <c r="N146" s="378">
        <v>32473</v>
      </c>
      <c r="O146" s="378"/>
      <c r="P146" s="378">
        <v>0.36504424312209605</v>
      </c>
      <c r="Q146" s="378">
        <v>0.36365411673296871</v>
      </c>
      <c r="R146" s="378">
        <v>0.36947106363735671</v>
      </c>
      <c r="S146" s="378">
        <v>0.36006770133996446</v>
      </c>
      <c r="T146" s="378">
        <v>0.31530406761360319</v>
      </c>
      <c r="U146" s="378">
        <v>0.3467799938850914</v>
      </c>
      <c r="V146" s="378">
        <v>0.39645484235379647</v>
      </c>
      <c r="W146" s="378">
        <v>0.35656974411519482</v>
      </c>
    </row>
    <row r="147" spans="2:23" ht="15" customHeight="1">
      <c r="B147" s="378" t="s">
        <v>306</v>
      </c>
      <c r="C147" s="425" t="s">
        <v>781</v>
      </c>
      <c r="D147" s="378"/>
      <c r="E147" s="379"/>
      <c r="F147" s="378"/>
      <c r="G147" s="378" t="s">
        <v>357</v>
      </c>
      <c r="H147" s="378" t="s">
        <v>357</v>
      </c>
      <c r="I147" s="378" t="s">
        <v>357</v>
      </c>
      <c r="J147" s="378" t="s">
        <v>357</v>
      </c>
      <c r="K147" s="378" t="s">
        <v>357</v>
      </c>
      <c r="L147" s="378" t="s">
        <v>357</v>
      </c>
      <c r="M147" s="378" t="s">
        <v>357</v>
      </c>
      <c r="N147" s="378" t="s">
        <v>357</v>
      </c>
      <c r="O147" s="378"/>
      <c r="P147" s="378" t="e">
        <v>#VALUE!</v>
      </c>
      <c r="Q147" s="378" t="e">
        <v>#VALUE!</v>
      </c>
      <c r="R147" s="378" t="e">
        <v>#VALUE!</v>
      </c>
      <c r="S147" s="378" t="e">
        <v>#VALUE!</v>
      </c>
      <c r="T147" s="378" t="e">
        <v>#VALUE!</v>
      </c>
      <c r="U147" s="378" t="e">
        <v>#VALUE!</v>
      </c>
      <c r="V147" s="378" t="e">
        <v>#VALUE!</v>
      </c>
      <c r="W147" s="378" t="e">
        <v>#VALUE!</v>
      </c>
    </row>
    <row r="148" spans="2:23" ht="15" customHeight="1">
      <c r="B148" s="378" t="s">
        <v>309</v>
      </c>
      <c r="C148" s="425" t="s">
        <v>784</v>
      </c>
      <c r="D148" s="378"/>
      <c r="E148" s="379"/>
      <c r="F148" s="378"/>
      <c r="G148" s="378">
        <v>6049.89</v>
      </c>
      <c r="H148" s="378">
        <v>6042.34</v>
      </c>
      <c r="I148" s="378">
        <v>4370.6099999999997</v>
      </c>
      <c r="J148" s="378">
        <v>6027.96</v>
      </c>
      <c r="K148" s="378">
        <v>17747.300999999999</v>
      </c>
      <c r="L148" s="378" t="s">
        <v>357</v>
      </c>
      <c r="M148" s="378" t="s">
        <v>357</v>
      </c>
      <c r="N148" s="378">
        <v>205.297</v>
      </c>
      <c r="O148" s="378"/>
      <c r="P148" s="378">
        <v>0.39333528379169108</v>
      </c>
      <c r="Q148" s="378">
        <v>0.34969269054922159</v>
      </c>
      <c r="R148" s="378">
        <v>0.26253063431042767</v>
      </c>
      <c r="S148" s="378">
        <v>0.97729571984435804</v>
      </c>
      <c r="T148" s="378">
        <v>2.4642184115523467</v>
      </c>
      <c r="U148" s="378" t="e">
        <v>#VALUE!</v>
      </c>
      <c r="V148" s="378" t="e">
        <v>#VALUE!</v>
      </c>
      <c r="W148" s="378">
        <v>2.543322596630327E-2</v>
      </c>
    </row>
    <row r="149" spans="2:23" ht="15" customHeight="1">
      <c r="B149" s="378" t="s">
        <v>312</v>
      </c>
      <c r="C149" s="425" t="s">
        <v>787</v>
      </c>
      <c r="D149" s="378"/>
      <c r="E149" s="379"/>
      <c r="F149" s="378"/>
      <c r="G149" s="378" t="s">
        <v>357</v>
      </c>
      <c r="H149" s="378">
        <v>7013.33</v>
      </c>
      <c r="I149" s="378">
        <v>7571.76</v>
      </c>
      <c r="J149" s="378">
        <v>7448.89</v>
      </c>
      <c r="K149" s="378">
        <v>7762.78</v>
      </c>
      <c r="L149" s="378">
        <v>8778.61</v>
      </c>
      <c r="M149" s="378">
        <v>9991.94</v>
      </c>
      <c r="N149" s="378">
        <v>9881.7800000000007</v>
      </c>
      <c r="O149" s="378"/>
      <c r="P149" s="378" t="e">
        <v>#VALUE!</v>
      </c>
      <c r="Q149" s="378">
        <v>0.8140954818375753</v>
      </c>
      <c r="R149" s="378">
        <v>0.82613713656505905</v>
      </c>
      <c r="S149" s="378">
        <v>0.77298122475697528</v>
      </c>
      <c r="T149" s="378">
        <v>0.63795096472786428</v>
      </c>
      <c r="U149" s="378">
        <v>0.59258880738415065</v>
      </c>
      <c r="V149" s="378">
        <v>0.77881534708817413</v>
      </c>
      <c r="W149" s="378">
        <v>0.81754059913276889</v>
      </c>
    </row>
    <row r="151" spans="2:23" ht="15" customHeight="1">
      <c r="B151" s="382" t="s">
        <v>101</v>
      </c>
      <c r="C151" s="426" t="s">
        <v>803</v>
      </c>
      <c r="D151" s="383"/>
      <c r="E151" s="32"/>
      <c r="F151" s="386"/>
      <c r="G151" s="386">
        <v>2017</v>
      </c>
      <c r="H151" s="386">
        <v>2018</v>
      </c>
      <c r="I151" s="386">
        <v>2019</v>
      </c>
      <c r="J151" s="386">
        <v>2020</v>
      </c>
      <c r="K151" s="386">
        <v>2021</v>
      </c>
      <c r="L151" s="386">
        <v>2022</v>
      </c>
      <c r="M151" s="386">
        <v>2023</v>
      </c>
      <c r="N151" s="386">
        <v>2024</v>
      </c>
      <c r="O151" s="378"/>
      <c r="P151" s="386">
        <v>2017</v>
      </c>
      <c r="Q151" s="386">
        <v>2018</v>
      </c>
      <c r="R151" s="386">
        <v>2019</v>
      </c>
      <c r="S151" s="386">
        <v>2020</v>
      </c>
      <c r="T151" s="386">
        <v>2021</v>
      </c>
      <c r="U151" s="386">
        <v>2022</v>
      </c>
      <c r="V151" s="386">
        <v>2023</v>
      </c>
      <c r="W151" s="386">
        <v>2024</v>
      </c>
    </row>
    <row r="152" spans="2:23" ht="4.3499999999999996" customHeight="1">
      <c r="B152" s="387"/>
      <c r="C152" s="387"/>
      <c r="D152" s="387"/>
      <c r="E152" s="388"/>
      <c r="F152" s="389"/>
      <c r="G152" s="389"/>
      <c r="H152" s="389"/>
      <c r="I152" s="389"/>
      <c r="J152" s="389"/>
      <c r="K152" s="389"/>
      <c r="L152" s="389"/>
      <c r="M152" s="389"/>
      <c r="N152" s="389"/>
      <c r="O152" s="378"/>
      <c r="P152" s="389"/>
      <c r="Q152" s="389"/>
      <c r="R152" s="389"/>
      <c r="S152" s="389"/>
      <c r="T152" s="389"/>
      <c r="U152" s="389"/>
      <c r="V152" s="389"/>
      <c r="W152" s="389"/>
    </row>
    <row r="153" spans="2:23" ht="15" customHeight="1">
      <c r="B153" s="378" t="s">
        <v>354</v>
      </c>
      <c r="C153" s="425" t="s">
        <v>761</v>
      </c>
      <c r="D153" s="378"/>
      <c r="E153" s="379"/>
      <c r="F153" s="378"/>
      <c r="G153" s="378" t="s">
        <v>357</v>
      </c>
      <c r="H153" s="378" t="s">
        <v>357</v>
      </c>
      <c r="I153" s="378" t="s">
        <v>357</v>
      </c>
      <c r="J153" s="378" t="s">
        <v>357</v>
      </c>
      <c r="K153" s="378" t="s">
        <v>357</v>
      </c>
      <c r="L153" s="378" t="s">
        <v>357</v>
      </c>
      <c r="M153" s="378" t="s">
        <v>357</v>
      </c>
      <c r="N153" s="378" t="s">
        <v>357</v>
      </c>
      <c r="O153" s="378"/>
      <c r="P153" s="378" t="e">
        <v>#VALUE!</v>
      </c>
      <c r="Q153" s="378" t="e">
        <v>#VALUE!</v>
      </c>
      <c r="R153" s="378" t="e">
        <v>#VALUE!</v>
      </c>
      <c r="S153" s="378" t="e">
        <v>#VALUE!</v>
      </c>
      <c r="T153" s="378" t="e">
        <v>#VALUE!</v>
      </c>
      <c r="U153" s="378" t="e">
        <v>#VALUE!</v>
      </c>
      <c r="V153" s="378" t="e">
        <v>#VALUE!</v>
      </c>
      <c r="W153" s="378" t="e">
        <v>#VALUE!</v>
      </c>
    </row>
    <row r="154" spans="2:23" ht="15" customHeight="1">
      <c r="B154" s="378" t="s">
        <v>300</v>
      </c>
      <c r="C154" s="425" t="s">
        <v>775</v>
      </c>
      <c r="D154" s="378"/>
      <c r="E154" s="379"/>
      <c r="F154" s="378"/>
      <c r="G154" s="378" t="s">
        <v>357</v>
      </c>
      <c r="H154" s="378" t="s">
        <v>357</v>
      </c>
      <c r="I154" s="378" t="s">
        <v>357</v>
      </c>
      <c r="J154" s="378" t="s">
        <v>357</v>
      </c>
      <c r="K154" s="378" t="s">
        <v>357</v>
      </c>
      <c r="L154" s="378" t="s">
        <v>357</v>
      </c>
      <c r="M154" s="378" t="s">
        <v>357</v>
      </c>
      <c r="N154" s="378" t="s">
        <v>357</v>
      </c>
      <c r="O154" s="378"/>
      <c r="P154" s="378" t="e">
        <v>#VALUE!</v>
      </c>
      <c r="Q154" s="378" t="e">
        <v>#VALUE!</v>
      </c>
      <c r="R154" s="378" t="e">
        <v>#VALUE!</v>
      </c>
      <c r="S154" s="378" t="e">
        <v>#VALUE!</v>
      </c>
      <c r="T154" s="378" t="e">
        <v>#VALUE!</v>
      </c>
      <c r="U154" s="378" t="e">
        <v>#VALUE!</v>
      </c>
      <c r="V154" s="378" t="e">
        <v>#VALUE!</v>
      </c>
      <c r="W154" s="378" t="e">
        <v>#VALUE!</v>
      </c>
    </row>
    <row r="155" spans="2:23" ht="15" customHeight="1">
      <c r="B155" s="378" t="s">
        <v>303</v>
      </c>
      <c r="C155" s="425" t="s">
        <v>778</v>
      </c>
      <c r="D155" s="378"/>
      <c r="E155" s="379"/>
      <c r="F155" s="378"/>
      <c r="G155" s="378">
        <v>1119</v>
      </c>
      <c r="H155" s="378">
        <v>1096</v>
      </c>
      <c r="I155" s="378">
        <v>1161</v>
      </c>
      <c r="J155" s="378">
        <v>1175</v>
      </c>
      <c r="K155" s="378">
        <v>998</v>
      </c>
      <c r="L155" s="378">
        <v>950</v>
      </c>
      <c r="M155" s="378">
        <v>1400</v>
      </c>
      <c r="N155" s="378" t="s">
        <v>357</v>
      </c>
      <c r="O155" s="378"/>
      <c r="P155" s="378">
        <v>1.6387231036772393E-2</v>
      </c>
      <c r="Q155" s="378">
        <v>1.5076026475747387E-2</v>
      </c>
      <c r="R155" s="378">
        <v>1.637298770498764E-2</v>
      </c>
      <c r="S155" s="378">
        <v>1.5425658988385833E-2</v>
      </c>
      <c r="T155" s="378">
        <v>1.0321900527401956E-2</v>
      </c>
      <c r="U155" s="378">
        <v>9.5508688539504196E-3</v>
      </c>
      <c r="V155" s="378">
        <v>1.5832861116365674E-2</v>
      </c>
      <c r="W155" s="378" t="e">
        <v>#VALUE!</v>
      </c>
    </row>
    <row r="156" spans="2:23" ht="15" customHeight="1">
      <c r="B156" s="378" t="s">
        <v>306</v>
      </c>
      <c r="C156" s="425" t="s">
        <v>781</v>
      </c>
      <c r="D156" s="378"/>
      <c r="E156" s="379"/>
      <c r="F156" s="378"/>
      <c r="G156" s="378" t="s">
        <v>357</v>
      </c>
      <c r="H156" s="378" t="s">
        <v>357</v>
      </c>
      <c r="I156" s="378" t="s">
        <v>357</v>
      </c>
      <c r="J156" s="378" t="s">
        <v>357</v>
      </c>
      <c r="K156" s="378" t="s">
        <v>357</v>
      </c>
      <c r="L156" s="378" t="s">
        <v>357</v>
      </c>
      <c r="M156" s="378" t="s">
        <v>357</v>
      </c>
      <c r="N156" s="378" t="s">
        <v>357</v>
      </c>
      <c r="O156" s="378"/>
      <c r="P156" s="378" t="e">
        <v>#VALUE!</v>
      </c>
      <c r="Q156" s="378" t="e">
        <v>#VALUE!</v>
      </c>
      <c r="R156" s="378" t="e">
        <v>#VALUE!</v>
      </c>
      <c r="S156" s="378" t="e">
        <v>#VALUE!</v>
      </c>
      <c r="T156" s="378" t="e">
        <v>#VALUE!</v>
      </c>
      <c r="U156" s="378" t="e">
        <v>#VALUE!</v>
      </c>
      <c r="V156" s="378" t="e">
        <v>#VALUE!</v>
      </c>
      <c r="W156" s="378" t="e">
        <v>#VALUE!</v>
      </c>
    </row>
    <row r="157" spans="2:23" ht="15" customHeight="1">
      <c r="B157" s="378" t="s">
        <v>309</v>
      </c>
      <c r="C157" s="425" t="s">
        <v>784</v>
      </c>
      <c r="D157" s="378"/>
      <c r="E157" s="379"/>
      <c r="F157" s="378"/>
      <c r="G157" s="378" t="s">
        <v>357</v>
      </c>
      <c r="H157" s="378" t="s">
        <v>357</v>
      </c>
      <c r="I157" s="378" t="s">
        <v>357</v>
      </c>
      <c r="J157" s="378" t="s">
        <v>357</v>
      </c>
      <c r="K157" s="378" t="s">
        <v>357</v>
      </c>
      <c r="L157" s="378" t="s">
        <v>357</v>
      </c>
      <c r="M157" s="378" t="s">
        <v>357</v>
      </c>
      <c r="N157" s="378" t="s">
        <v>357</v>
      </c>
      <c r="O157" s="378"/>
      <c r="P157" s="378" t="e">
        <v>#VALUE!</v>
      </c>
      <c r="Q157" s="378" t="e">
        <v>#VALUE!</v>
      </c>
      <c r="R157" s="378" t="e">
        <v>#VALUE!</v>
      </c>
      <c r="S157" s="378" t="e">
        <v>#VALUE!</v>
      </c>
      <c r="T157" s="378" t="e">
        <v>#VALUE!</v>
      </c>
      <c r="U157" s="378" t="e">
        <v>#VALUE!</v>
      </c>
      <c r="V157" s="378" t="e">
        <v>#VALUE!</v>
      </c>
      <c r="W157" s="378" t="e">
        <v>#VALUE!</v>
      </c>
    </row>
    <row r="158" spans="2:23" ht="15" customHeight="1">
      <c r="B158" s="378" t="s">
        <v>312</v>
      </c>
      <c r="C158" s="425" t="s">
        <v>787</v>
      </c>
      <c r="D158" s="378"/>
      <c r="E158" s="379"/>
      <c r="F158" s="378"/>
      <c r="G158" s="378" t="s">
        <v>357</v>
      </c>
      <c r="H158" s="378" t="s">
        <v>357</v>
      </c>
      <c r="I158" s="378" t="s">
        <v>357</v>
      </c>
      <c r="J158" s="378" t="s">
        <v>357</v>
      </c>
      <c r="K158" s="378">
        <v>704.11900000000003</v>
      </c>
      <c r="L158" s="378">
        <v>882.04100000000005</v>
      </c>
      <c r="M158" s="378">
        <v>878.25599999999997</v>
      </c>
      <c r="N158" s="378">
        <v>859.32799999999997</v>
      </c>
      <c r="O158" s="378"/>
      <c r="P158" s="378" t="e">
        <v>#VALUE!</v>
      </c>
      <c r="Q158" s="378" t="e">
        <v>#VALUE!</v>
      </c>
      <c r="R158" s="378" t="e">
        <v>#VALUE!</v>
      </c>
      <c r="S158" s="378" t="e">
        <v>#VALUE!</v>
      </c>
      <c r="T158" s="378">
        <v>5.7865016828149075E-2</v>
      </c>
      <c r="U158" s="378">
        <v>5.954104627656584E-2</v>
      </c>
      <c r="V158" s="378">
        <v>6.8455099957793128E-2</v>
      </c>
      <c r="W158" s="378">
        <v>7.1094026376985114E-2</v>
      </c>
    </row>
    <row r="159" spans="2:23" ht="15" customHeight="1">
      <c r="B159" s="378"/>
      <c r="C159" s="378"/>
      <c r="D159" s="378"/>
      <c r="E159" s="379"/>
      <c r="F159" s="378"/>
      <c r="G159" s="378"/>
      <c r="H159" s="378"/>
      <c r="I159" s="378"/>
      <c r="J159" s="378"/>
      <c r="K159" s="378"/>
      <c r="L159" s="378"/>
      <c r="M159" s="378"/>
      <c r="N159" s="378"/>
      <c r="O159" s="378"/>
      <c r="P159" s="378"/>
      <c r="Q159" s="378"/>
      <c r="R159" s="378"/>
      <c r="S159" s="378"/>
      <c r="T159" s="378"/>
      <c r="U159" s="378"/>
      <c r="V159" s="378"/>
      <c r="W159" s="378"/>
    </row>
    <row r="160" spans="2:23" ht="15" customHeight="1">
      <c r="B160" s="382" t="s">
        <v>804</v>
      </c>
      <c r="C160" s="426" t="s">
        <v>805</v>
      </c>
      <c r="D160" s="383"/>
      <c r="E160" s="32"/>
      <c r="F160" s="386"/>
      <c r="G160" s="386">
        <v>2017</v>
      </c>
      <c r="H160" s="386">
        <v>2018</v>
      </c>
      <c r="I160" s="386">
        <v>2019</v>
      </c>
      <c r="J160" s="386">
        <v>2020</v>
      </c>
      <c r="K160" s="386">
        <v>2021</v>
      </c>
      <c r="L160" s="386">
        <v>2022</v>
      </c>
      <c r="M160" s="386">
        <v>2023</v>
      </c>
      <c r="N160" s="386">
        <v>2024</v>
      </c>
      <c r="O160" s="378"/>
      <c r="P160" s="386">
        <v>2017</v>
      </c>
      <c r="Q160" s="386">
        <v>2018</v>
      </c>
      <c r="R160" s="386">
        <v>2019</v>
      </c>
      <c r="S160" s="386">
        <v>2020</v>
      </c>
      <c r="T160" s="386">
        <v>2021</v>
      </c>
      <c r="U160" s="386">
        <v>2022</v>
      </c>
      <c r="V160" s="386">
        <v>2023</v>
      </c>
      <c r="W160" s="386">
        <v>2024</v>
      </c>
    </row>
    <row r="161" spans="2:23" ht="4.3499999999999996" customHeight="1">
      <c r="B161" s="387"/>
      <c r="C161" s="387"/>
      <c r="D161" s="387"/>
      <c r="E161" s="388"/>
      <c r="F161" s="389"/>
      <c r="G161" s="389"/>
      <c r="H161" s="389"/>
      <c r="I161" s="389"/>
      <c r="J161" s="389"/>
      <c r="K161" s="389"/>
      <c r="L161" s="389"/>
      <c r="M161" s="389"/>
      <c r="N161" s="389"/>
      <c r="O161" s="378"/>
      <c r="P161" s="389"/>
      <c r="Q161" s="389"/>
      <c r="R161" s="389"/>
      <c r="S161" s="389"/>
      <c r="T161" s="389"/>
      <c r="U161" s="389"/>
      <c r="V161" s="389"/>
      <c r="W161" s="389"/>
    </row>
    <row r="162" spans="2:23" ht="15" customHeight="1">
      <c r="B162" s="378" t="s">
        <v>354</v>
      </c>
      <c r="C162" s="425" t="s">
        <v>761</v>
      </c>
      <c r="D162" s="378"/>
      <c r="E162" s="379"/>
      <c r="F162" s="378"/>
      <c r="G162" s="378">
        <v>287.21899999999999</v>
      </c>
      <c r="H162" s="378">
        <v>291.05900000000003</v>
      </c>
      <c r="I162" s="378">
        <v>433.84800000000001</v>
      </c>
      <c r="J162" s="378">
        <v>361.952</v>
      </c>
      <c r="K162" s="378">
        <v>519.85900000000004</v>
      </c>
      <c r="L162" s="378">
        <v>617.452</v>
      </c>
      <c r="M162" s="378">
        <v>565.16800000000001</v>
      </c>
      <c r="N162" s="378">
        <v>655.72</v>
      </c>
      <c r="O162" s="378"/>
      <c r="P162" s="378">
        <v>4.7616671363915185E-3</v>
      </c>
      <c r="Q162" s="378" t="s">
        <v>806</v>
      </c>
      <c r="R162" s="378">
        <v>6.2251302139382722E-3</v>
      </c>
      <c r="S162" s="378">
        <v>5.229235592412269E-3</v>
      </c>
      <c r="T162" s="378">
        <v>6.1918198168153509E-3</v>
      </c>
      <c r="U162" s="378">
        <v>6.6029172726494991E-3</v>
      </c>
      <c r="V162" s="378">
        <v>6.2688480949475902E-3</v>
      </c>
      <c r="W162" s="378">
        <v>7.4774497394318818E-3</v>
      </c>
    </row>
    <row r="163" spans="2:23" ht="15" customHeight="1">
      <c r="B163" s="378" t="s">
        <v>300</v>
      </c>
      <c r="C163" s="425" t="s">
        <v>775</v>
      </c>
      <c r="D163" s="378"/>
      <c r="E163" s="379"/>
      <c r="F163" s="378"/>
      <c r="G163" s="378">
        <v>379.38299999999998</v>
      </c>
      <c r="H163" s="378">
        <v>431.209</v>
      </c>
      <c r="I163" s="378">
        <v>552.59699999999998</v>
      </c>
      <c r="J163" s="378">
        <v>783.46</v>
      </c>
      <c r="K163" s="378">
        <v>608.46799999999996</v>
      </c>
      <c r="L163" s="378" t="s">
        <v>357</v>
      </c>
      <c r="M163" s="378" t="s">
        <v>357</v>
      </c>
      <c r="N163" s="378" t="s">
        <v>357</v>
      </c>
      <c r="O163" s="378"/>
      <c r="P163" s="378">
        <v>5.6977247127731464E-3</v>
      </c>
      <c r="Q163" s="378">
        <v>6.0005983774230809E-3</v>
      </c>
      <c r="R163" s="378">
        <v>7.4580532836666935E-3</v>
      </c>
      <c r="S163" s="378">
        <v>9.2576924894833858E-3</v>
      </c>
      <c r="T163" s="378">
        <v>6.2543608087411466E-3</v>
      </c>
      <c r="U163" s="378" t="e">
        <v>#VALUE!</v>
      </c>
      <c r="V163" s="378" t="e">
        <v>#VALUE!</v>
      </c>
      <c r="W163" s="378" t="e">
        <v>#VALUE!</v>
      </c>
    </row>
    <row r="164" spans="2:23" ht="15" customHeight="1">
      <c r="B164" s="378" t="s">
        <v>303</v>
      </c>
      <c r="C164" s="425" t="s">
        <v>778</v>
      </c>
      <c r="D164" s="378"/>
      <c r="E164" s="379"/>
      <c r="F164" s="378"/>
      <c r="G164" s="378" t="s">
        <v>357</v>
      </c>
      <c r="H164" s="378" t="s">
        <v>357</v>
      </c>
      <c r="I164" s="378" t="s">
        <v>357</v>
      </c>
      <c r="J164" s="378" t="s">
        <v>357</v>
      </c>
      <c r="K164" s="378" t="s">
        <v>357</v>
      </c>
      <c r="L164" s="378" t="s">
        <v>357</v>
      </c>
      <c r="M164" s="378" t="s">
        <v>357</v>
      </c>
      <c r="N164" s="378" t="s">
        <v>357</v>
      </c>
      <c r="O164" s="378"/>
      <c r="P164" s="378" t="e">
        <v>#VALUE!</v>
      </c>
      <c r="Q164" s="378" t="e">
        <v>#VALUE!</v>
      </c>
      <c r="R164" s="378" t="e">
        <v>#VALUE!</v>
      </c>
      <c r="S164" s="378" t="e">
        <v>#VALUE!</v>
      </c>
      <c r="T164" s="378" t="e">
        <v>#VALUE!</v>
      </c>
      <c r="U164" s="378" t="e">
        <v>#VALUE!</v>
      </c>
      <c r="V164" s="378" t="e">
        <v>#VALUE!</v>
      </c>
      <c r="W164" s="378" t="e">
        <v>#VALUE!</v>
      </c>
    </row>
    <row r="165" spans="2:23" ht="15" customHeight="1">
      <c r="B165" s="378" t="s">
        <v>306</v>
      </c>
      <c r="C165" s="425" t="s">
        <v>781</v>
      </c>
      <c r="D165" s="378"/>
      <c r="E165" s="379"/>
      <c r="F165" s="378"/>
      <c r="G165" s="378" t="s">
        <v>357</v>
      </c>
      <c r="H165" s="378" t="s">
        <v>357</v>
      </c>
      <c r="I165" s="378" t="s">
        <v>357</v>
      </c>
      <c r="J165" s="378" t="s">
        <v>357</v>
      </c>
      <c r="K165" s="378" t="s">
        <v>357</v>
      </c>
      <c r="L165" s="378" t="s">
        <v>357</v>
      </c>
      <c r="M165" s="378" t="s">
        <v>357</v>
      </c>
      <c r="N165" s="378" t="s">
        <v>357</v>
      </c>
      <c r="O165" s="378"/>
      <c r="P165" s="378" t="e">
        <v>#VALUE!</v>
      </c>
      <c r="Q165" s="378" t="e">
        <v>#VALUE!</v>
      </c>
      <c r="R165" s="378" t="e">
        <v>#VALUE!</v>
      </c>
      <c r="S165" s="378" t="e">
        <v>#VALUE!</v>
      </c>
      <c r="T165" s="378" t="e">
        <v>#VALUE!</v>
      </c>
      <c r="U165" s="378" t="e">
        <v>#VALUE!</v>
      </c>
      <c r="V165" s="378" t="e">
        <v>#VALUE!</v>
      </c>
      <c r="W165" s="378" t="e">
        <v>#VALUE!</v>
      </c>
    </row>
    <row r="166" spans="2:23" ht="15" customHeight="1">
      <c r="B166" s="378" t="s">
        <v>309</v>
      </c>
      <c r="C166" s="425" t="s">
        <v>784</v>
      </c>
      <c r="D166" s="378"/>
      <c r="E166" s="379"/>
      <c r="F166" s="378"/>
      <c r="G166" s="378">
        <v>68.176000000000002</v>
      </c>
      <c r="H166" s="378">
        <v>179.27099999999999</v>
      </c>
      <c r="I166" s="378">
        <v>165.81399999999999</v>
      </c>
      <c r="J166" s="378">
        <v>182.22200000000001</v>
      </c>
      <c r="K166" s="378">
        <v>127.837</v>
      </c>
      <c r="L166" s="378" t="s">
        <v>357</v>
      </c>
      <c r="M166" s="378" t="s">
        <v>357</v>
      </c>
      <c r="N166" s="378">
        <v>41.984000000000002</v>
      </c>
      <c r="O166" s="378"/>
      <c r="P166" s="378">
        <v>4.4324816331837982E-3</v>
      </c>
      <c r="Q166" s="378">
        <v>1.0375079576364372E-2</v>
      </c>
      <c r="R166" s="378">
        <v>9.959995194617972E-3</v>
      </c>
      <c r="S166" s="378">
        <v>2.9543125810635541E-2</v>
      </c>
      <c r="T166" s="378">
        <v>1.7750208275479035E-2</v>
      </c>
      <c r="U166" s="378" t="e">
        <v>#VALUE!</v>
      </c>
      <c r="V166" s="378" t="e">
        <v>#VALUE!</v>
      </c>
      <c r="W166" s="378">
        <v>5.2011892963330034E-3</v>
      </c>
    </row>
    <row r="167" spans="2:23" ht="15" customHeight="1">
      <c r="B167" s="378" t="s">
        <v>312</v>
      </c>
      <c r="C167" s="425" t="s">
        <v>787</v>
      </c>
      <c r="D167" s="378"/>
      <c r="E167" s="379"/>
      <c r="F167" s="378"/>
      <c r="G167" s="378" t="s">
        <v>357</v>
      </c>
      <c r="H167" s="378" t="s">
        <v>357</v>
      </c>
      <c r="I167" s="378" t="s">
        <v>357</v>
      </c>
      <c r="J167" s="378" t="s">
        <v>357</v>
      </c>
      <c r="K167" s="378">
        <v>29.603000000000002</v>
      </c>
      <c r="L167" s="378">
        <v>35.377000000000002</v>
      </c>
      <c r="M167" s="378">
        <v>44.646999999999998</v>
      </c>
      <c r="N167" s="378">
        <v>39.595999999999997</v>
      </c>
      <c r="O167" s="378"/>
      <c r="P167" s="378" t="e">
        <v>#VALUE!</v>
      </c>
      <c r="Q167" s="378" t="e">
        <v>#VALUE!</v>
      </c>
      <c r="R167" s="378" t="e">
        <v>#VALUE!</v>
      </c>
      <c r="S167" s="378" t="e">
        <v>#VALUE!</v>
      </c>
      <c r="T167" s="378">
        <v>2.4327962931886471E-3</v>
      </c>
      <c r="U167" s="378">
        <v>2.3880790055406378E-3</v>
      </c>
      <c r="V167" s="378">
        <v>3.4799817454313885E-3</v>
      </c>
      <c r="W167" s="378">
        <v>3.2758609848894745E-3</v>
      </c>
    </row>
    <row r="168" spans="2:23" ht="15" customHeight="1">
      <c r="B168" s="378"/>
      <c r="C168" s="378"/>
      <c r="D168" s="378"/>
      <c r="E168" s="379"/>
      <c r="F168" s="378"/>
      <c r="G168" s="378"/>
      <c r="H168" s="378"/>
      <c r="I168" s="378"/>
      <c r="J168" s="378"/>
      <c r="K168" s="378"/>
      <c r="L168" s="378"/>
      <c r="M168" s="378"/>
      <c r="N168" s="378"/>
      <c r="O168" s="378"/>
      <c r="P168" s="378"/>
      <c r="Q168" s="378"/>
      <c r="R168" s="378"/>
      <c r="S168" s="378"/>
      <c r="T168" s="378"/>
      <c r="U168" s="378"/>
      <c r="V168" s="378"/>
      <c r="W168" s="378"/>
    </row>
    <row r="169" spans="2:23" ht="15" customHeight="1">
      <c r="B169" s="382" t="s">
        <v>295</v>
      </c>
      <c r="C169" s="426" t="s">
        <v>807</v>
      </c>
      <c r="D169" s="383"/>
      <c r="E169" s="32"/>
      <c r="F169" s="386"/>
      <c r="G169" s="386">
        <v>2017</v>
      </c>
      <c r="H169" s="386">
        <v>2018</v>
      </c>
      <c r="I169" s="386">
        <v>2019</v>
      </c>
      <c r="J169" s="386">
        <v>2020</v>
      </c>
      <c r="K169" s="386">
        <v>2021</v>
      </c>
      <c r="L169" s="386">
        <v>2022</v>
      </c>
      <c r="M169" s="386">
        <v>2023</v>
      </c>
      <c r="N169" s="386">
        <v>2024</v>
      </c>
      <c r="O169" s="378"/>
      <c r="P169" s="378"/>
      <c r="Q169" s="378"/>
      <c r="R169" s="378"/>
      <c r="S169" s="378"/>
      <c r="T169" s="378"/>
      <c r="U169" s="378"/>
      <c r="V169" s="378"/>
      <c r="W169" s="378"/>
    </row>
    <row r="170" spans="2:23" ht="4.3499999999999996" customHeight="1">
      <c r="B170" s="387"/>
      <c r="C170" s="387"/>
      <c r="D170" s="387"/>
      <c r="E170" s="388"/>
      <c r="F170" s="389"/>
      <c r="G170" s="389"/>
      <c r="H170" s="389"/>
      <c r="I170" s="389"/>
      <c r="J170" s="389"/>
      <c r="K170" s="389"/>
      <c r="L170" s="389"/>
      <c r="M170" s="389"/>
      <c r="N170" s="389"/>
      <c r="O170" s="378"/>
      <c r="P170" s="378"/>
      <c r="Q170" s="378"/>
      <c r="R170" s="378"/>
      <c r="S170" s="378"/>
      <c r="T170" s="378"/>
      <c r="U170" s="378"/>
      <c r="V170" s="378"/>
      <c r="W170" s="378"/>
    </row>
    <row r="171" spans="2:23" ht="15" customHeight="1">
      <c r="B171" s="378" t="s">
        <v>354</v>
      </c>
      <c r="C171" s="425" t="s">
        <v>761</v>
      </c>
      <c r="D171" s="378"/>
      <c r="E171" s="379"/>
      <c r="F171" s="378"/>
      <c r="G171" s="378">
        <v>60319</v>
      </c>
      <c r="H171" s="378">
        <v>65450</v>
      </c>
      <c r="I171" s="378">
        <v>69693</v>
      </c>
      <c r="J171" s="378">
        <v>69217</v>
      </c>
      <c r="K171" s="378">
        <v>83959</v>
      </c>
      <c r="L171" s="378">
        <v>93512</v>
      </c>
      <c r="M171" s="378">
        <v>90155</v>
      </c>
      <c r="N171" s="378">
        <v>87693</v>
      </c>
      <c r="O171" s="378"/>
      <c r="P171" s="378"/>
      <c r="Q171" s="378"/>
      <c r="R171" s="378"/>
      <c r="S171" s="378"/>
      <c r="T171" s="378"/>
      <c r="U171" s="378"/>
      <c r="V171" s="378"/>
      <c r="W171" s="378"/>
    </row>
    <row r="172" spans="2:23" ht="15" customHeight="1">
      <c r="B172" s="378" t="s">
        <v>300</v>
      </c>
      <c r="C172" s="425" t="s">
        <v>775</v>
      </c>
      <c r="D172" s="378"/>
      <c r="E172" s="379"/>
      <c r="F172" s="378"/>
      <c r="G172" s="378">
        <v>66585</v>
      </c>
      <c r="H172" s="378">
        <v>71861</v>
      </c>
      <c r="I172" s="378">
        <v>74094</v>
      </c>
      <c r="J172" s="378">
        <v>84628</v>
      </c>
      <c r="K172" s="378">
        <v>97287</v>
      </c>
      <c r="L172" s="378">
        <v>100338</v>
      </c>
      <c r="M172" s="378">
        <v>90958</v>
      </c>
      <c r="N172" s="378">
        <v>91070</v>
      </c>
      <c r="O172" s="378"/>
      <c r="P172" s="378"/>
      <c r="Q172" s="378"/>
      <c r="R172" s="378"/>
      <c r="S172" s="378"/>
      <c r="T172" s="378"/>
      <c r="U172" s="378"/>
      <c r="V172" s="378"/>
      <c r="W172" s="378"/>
    </row>
    <row r="173" spans="2:23" ht="15" customHeight="1">
      <c r="B173" s="378" t="s">
        <v>303</v>
      </c>
      <c r="C173" s="425" t="s">
        <v>778</v>
      </c>
      <c r="D173" s="378"/>
      <c r="E173" s="379"/>
      <c r="F173" s="378"/>
      <c r="G173" s="378">
        <v>68284.873600000006</v>
      </c>
      <c r="H173" s="378">
        <v>72698.200800000006</v>
      </c>
      <c r="I173" s="378">
        <v>70909.477299999999</v>
      </c>
      <c r="J173" s="378">
        <v>76171.786300000007</v>
      </c>
      <c r="K173" s="378">
        <v>96687.6204</v>
      </c>
      <c r="L173" s="378">
        <v>99467.390299999999</v>
      </c>
      <c r="M173" s="378">
        <v>88423.689799999993</v>
      </c>
      <c r="N173" s="378">
        <v>91070.542400000006</v>
      </c>
      <c r="O173" s="378"/>
      <c r="P173" s="378"/>
      <c r="Q173" s="378"/>
      <c r="R173" s="378"/>
      <c r="S173" s="378"/>
      <c r="T173" s="378"/>
      <c r="U173" s="378"/>
      <c r="V173" s="378"/>
      <c r="W173" s="378"/>
    </row>
    <row r="174" spans="2:23" ht="15" customHeight="1">
      <c r="B174" s="378" t="s">
        <v>306</v>
      </c>
      <c r="C174" s="425" t="s">
        <v>781</v>
      </c>
      <c r="D174" s="378"/>
      <c r="E174" s="379"/>
      <c r="F174" s="378"/>
      <c r="G174" s="378">
        <v>3358.1120000000001</v>
      </c>
      <c r="H174" s="378">
        <v>4043.6950000000002</v>
      </c>
      <c r="I174" s="378">
        <v>4109.1109999999999</v>
      </c>
      <c r="J174" s="378">
        <v>4015.1289999999999</v>
      </c>
      <c r="K174" s="378">
        <v>5256.3280000000004</v>
      </c>
      <c r="L174" s="378">
        <v>6260.0770000000002</v>
      </c>
      <c r="M174" s="378">
        <v>5866.152</v>
      </c>
      <c r="N174" s="378">
        <v>5814.81</v>
      </c>
      <c r="O174" s="378"/>
      <c r="P174" s="378"/>
      <c r="Q174" s="378"/>
      <c r="R174" s="378"/>
      <c r="S174" s="378"/>
      <c r="T174" s="378"/>
      <c r="U174" s="378"/>
      <c r="V174" s="378"/>
      <c r="W174" s="378"/>
    </row>
    <row r="175" spans="2:23" ht="15" customHeight="1">
      <c r="B175" s="378" t="s">
        <v>309</v>
      </c>
      <c r="C175" s="425" t="s">
        <v>784</v>
      </c>
      <c r="D175" s="378"/>
      <c r="E175" s="379"/>
      <c r="F175" s="378"/>
      <c r="G175" s="378">
        <v>15381</v>
      </c>
      <c r="H175" s="378">
        <v>17279</v>
      </c>
      <c r="I175" s="378">
        <v>16648</v>
      </c>
      <c r="J175" s="378">
        <v>6168</v>
      </c>
      <c r="K175" s="378">
        <v>7202</v>
      </c>
      <c r="L175" s="378">
        <v>7718</v>
      </c>
      <c r="M175" s="378">
        <v>7744</v>
      </c>
      <c r="N175" s="378">
        <v>8072</v>
      </c>
      <c r="O175" s="378"/>
      <c r="P175" s="378"/>
      <c r="Q175" s="378"/>
      <c r="R175" s="378"/>
      <c r="S175" s="378"/>
      <c r="T175" s="378"/>
      <c r="U175" s="378"/>
      <c r="V175" s="378"/>
      <c r="W175" s="378"/>
    </row>
    <row r="176" spans="2:23" ht="15" customHeight="1">
      <c r="B176" s="378" t="s">
        <v>312</v>
      </c>
      <c r="C176" s="425" t="s">
        <v>787</v>
      </c>
      <c r="D176" s="378"/>
      <c r="E176" s="379"/>
      <c r="F176" s="378"/>
      <c r="G176" s="378">
        <v>7189.5680000000002</v>
      </c>
      <c r="H176" s="378">
        <v>8614.8739999999998</v>
      </c>
      <c r="I176" s="378">
        <v>9165.2579999999998</v>
      </c>
      <c r="J176" s="378">
        <v>9636.5730000000003</v>
      </c>
      <c r="K176" s="378">
        <v>12168.302</v>
      </c>
      <c r="L176" s="378">
        <v>14813.999</v>
      </c>
      <c r="M176" s="378">
        <v>12829.665000000001</v>
      </c>
      <c r="N176" s="378">
        <v>12087.204</v>
      </c>
      <c r="O176" s="378"/>
      <c r="P176" s="378"/>
      <c r="Q176" s="378"/>
      <c r="R176" s="378"/>
      <c r="S176" s="378"/>
      <c r="T176" s="378"/>
      <c r="U176" s="378"/>
      <c r="V176" s="378"/>
      <c r="W176" s="378"/>
    </row>
  </sheetData>
  <pageMargins left="0.7" right="0.7" top="0.75" bottom="0.75" header="0.3" footer="0.3"/>
  <pageSetup orientation="portrait" r:id="rId1"/>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4" tint="-0.499984740745262"/>
  </sheetPr>
  <dimension ref="B3:AR1051"/>
  <sheetViews>
    <sheetView showGridLines="0" zoomScale="40" zoomScaleNormal="40" workbookViewId="0">
      <selection activeCell="AH17" sqref="AH17"/>
    </sheetView>
  </sheetViews>
  <sheetFormatPr defaultColWidth="9" defaultRowHeight="14.1"/>
  <cols>
    <col min="1" max="1" width="9" style="4"/>
    <col min="2" max="2" width="10.5" style="4" bestFit="1" customWidth="1"/>
    <col min="3" max="8" width="9.125" style="4" bestFit="1" customWidth="1"/>
    <col min="9" max="9" width="10.5" style="4" bestFit="1" customWidth="1"/>
    <col min="10" max="15" width="9.125" style="4" bestFit="1" customWidth="1"/>
    <col min="16" max="16" width="9" style="4"/>
    <col min="17" max="17" width="11.5" style="4" bestFit="1" customWidth="1"/>
    <col min="18" max="23" width="9.125" style="4" bestFit="1" customWidth="1"/>
    <col min="24" max="24" width="9" style="4"/>
    <col min="25" max="30" width="9.125" style="4" bestFit="1" customWidth="1"/>
    <col min="31" max="31" width="9" style="4"/>
    <col min="32" max="37" width="9.125" style="4" bestFit="1" customWidth="1"/>
    <col min="38" max="38" width="9" style="4"/>
    <col min="39" max="39" width="9.125" style="4" bestFit="1" customWidth="1"/>
    <col min="40" max="40" width="11.125" style="4" bestFit="1" customWidth="1"/>
    <col min="41" max="41" width="12.375" style="4" bestFit="1" customWidth="1"/>
    <col min="42" max="42" width="13.125" style="4" bestFit="1" customWidth="1"/>
    <col min="43" max="43" width="12.625" style="4" bestFit="1" customWidth="1"/>
    <col min="44" max="44" width="9.125" style="4" bestFit="1" customWidth="1"/>
    <col min="45" max="16384" width="9" style="4"/>
  </cols>
  <sheetData>
    <row r="3" spans="2:44" ht="13.5" customHeight="1">
      <c r="B3" s="448"/>
      <c r="C3" s="787" t="s">
        <v>757</v>
      </c>
      <c r="D3" s="787"/>
      <c r="E3" s="787"/>
      <c r="F3" s="787"/>
      <c r="G3" s="787"/>
      <c r="H3" s="787"/>
      <c r="I3" s="448"/>
      <c r="J3" s="787" t="s">
        <v>763</v>
      </c>
      <c r="K3" s="787"/>
      <c r="L3" s="787"/>
      <c r="M3" s="787"/>
      <c r="N3" s="787"/>
      <c r="O3" s="787"/>
      <c r="P3" s="448"/>
      <c r="R3" s="788" t="s">
        <v>808</v>
      </c>
      <c r="S3" s="788"/>
      <c r="T3" s="788"/>
      <c r="U3" s="788"/>
      <c r="V3" s="788"/>
      <c r="W3" s="788"/>
      <c r="Y3" s="787" t="s">
        <v>809</v>
      </c>
      <c r="Z3" s="787"/>
      <c r="AA3" s="787"/>
      <c r="AB3" s="787"/>
      <c r="AC3" s="787"/>
      <c r="AD3" s="787"/>
      <c r="AF3" s="787" t="s">
        <v>810</v>
      </c>
      <c r="AG3" s="787"/>
      <c r="AH3" s="787"/>
      <c r="AI3" s="787"/>
      <c r="AJ3" s="787"/>
      <c r="AK3" s="787"/>
      <c r="AN3" s="449" t="s">
        <v>292</v>
      </c>
      <c r="AO3" s="449" t="s">
        <v>811</v>
      </c>
      <c r="AP3" s="449" t="s">
        <v>791</v>
      </c>
      <c r="AQ3" s="449" t="s">
        <v>792</v>
      </c>
      <c r="AR3" s="449" t="s">
        <v>793</v>
      </c>
    </row>
    <row r="4" spans="2:44">
      <c r="B4" s="448"/>
      <c r="C4" s="4" t="s">
        <v>761</v>
      </c>
      <c r="D4" s="4" t="s">
        <v>775</v>
      </c>
      <c r="E4" s="4" t="s">
        <v>778</v>
      </c>
      <c r="F4" s="4" t="s">
        <v>781</v>
      </c>
      <c r="G4" s="4" t="s">
        <v>784</v>
      </c>
      <c r="H4" s="4" t="s">
        <v>787</v>
      </c>
      <c r="I4" s="448"/>
      <c r="J4" s="4" t="s">
        <v>761</v>
      </c>
      <c r="K4" s="4" t="s">
        <v>775</v>
      </c>
      <c r="L4" s="4" t="s">
        <v>778</v>
      </c>
      <c r="M4" s="4" t="s">
        <v>781</v>
      </c>
      <c r="N4" s="4" t="s">
        <v>784</v>
      </c>
      <c r="O4" s="4" t="s">
        <v>787</v>
      </c>
      <c r="P4" s="448"/>
      <c r="R4" s="4" t="s">
        <v>761</v>
      </c>
      <c r="S4" s="4" t="s">
        <v>753</v>
      </c>
      <c r="T4" s="4" t="s">
        <v>759</v>
      </c>
      <c r="U4" s="4" t="s">
        <v>761</v>
      </c>
      <c r="V4" s="4" t="s">
        <v>753</v>
      </c>
      <c r="W4" s="4" t="s">
        <v>759</v>
      </c>
      <c r="Y4" s="4" t="s">
        <v>761</v>
      </c>
      <c r="Z4" s="4" t="s">
        <v>775</v>
      </c>
      <c r="AA4" s="4" t="s">
        <v>778</v>
      </c>
      <c r="AB4" s="4" t="s">
        <v>781</v>
      </c>
      <c r="AC4" s="4" t="s">
        <v>784</v>
      </c>
      <c r="AD4" s="4" t="s">
        <v>787</v>
      </c>
      <c r="AF4" s="4" t="s">
        <v>761</v>
      </c>
      <c r="AG4" s="4" t="s">
        <v>775</v>
      </c>
      <c r="AH4" s="4" t="s">
        <v>778</v>
      </c>
      <c r="AI4" s="4" t="s">
        <v>781</v>
      </c>
      <c r="AJ4" s="4" t="s">
        <v>784</v>
      </c>
      <c r="AK4" s="4" t="s">
        <v>787</v>
      </c>
      <c r="AM4" s="450">
        <v>45938</v>
      </c>
      <c r="AN4" s="451">
        <v>225</v>
      </c>
      <c r="AO4" s="451">
        <v>130</v>
      </c>
      <c r="AP4" s="451">
        <v>235.94811999999999</v>
      </c>
      <c r="AQ4" s="451">
        <v>53088.326999999997</v>
      </c>
      <c r="AR4" s="451">
        <v>0.61660000000000004</v>
      </c>
    </row>
    <row r="5" spans="2:44">
      <c r="B5" s="452">
        <v>45938</v>
      </c>
      <c r="C5" s="448">
        <v>9.2614000000000001</v>
      </c>
      <c r="D5" s="448">
        <v>7.3571</v>
      </c>
      <c r="E5" s="448">
        <v>6.1695000000000002</v>
      </c>
      <c r="F5" s="448">
        <v>16.7059</v>
      </c>
      <c r="G5" s="448">
        <v>16.583100000000002</v>
      </c>
      <c r="H5" s="448">
        <v>9.7751999999999999</v>
      </c>
      <c r="I5" s="452">
        <v>45938</v>
      </c>
      <c r="J5" s="448">
        <v>13.0245</v>
      </c>
      <c r="K5" s="448">
        <v>10.901</v>
      </c>
      <c r="L5" s="448">
        <v>12.9695</v>
      </c>
      <c r="M5" s="448">
        <v>27.1816</v>
      </c>
      <c r="N5" s="448">
        <v>41.918300000000002</v>
      </c>
      <c r="O5" s="448">
        <v>23.262699999999999</v>
      </c>
      <c r="P5" s="448"/>
      <c r="Q5" s="452">
        <v>45938</v>
      </c>
      <c r="R5" s="4">
        <v>224.18</v>
      </c>
      <c r="S5" s="4">
        <v>23231.11</v>
      </c>
      <c r="T5" s="4">
        <v>668.48</v>
      </c>
      <c r="U5" s="4">
        <v>1.5466022766471199</v>
      </c>
      <c r="V5" s="4">
        <v>2.0610029498525075</v>
      </c>
      <c r="W5" s="4">
        <v>0.82367727149510828</v>
      </c>
      <c r="Y5" s="448">
        <v>224.18</v>
      </c>
      <c r="Z5" s="4">
        <v>84.38</v>
      </c>
      <c r="AA5" s="4">
        <v>38.81</v>
      </c>
      <c r="AB5" s="4">
        <v>139.24</v>
      </c>
      <c r="AC5" s="4">
        <v>126.93</v>
      </c>
      <c r="AD5" s="4">
        <v>132.68</v>
      </c>
      <c r="AF5" s="4">
        <v>1.5466022766471199</v>
      </c>
      <c r="AG5" s="4">
        <v>0.49931948636013962</v>
      </c>
      <c r="AH5" s="4">
        <v>1.0776065528252117</v>
      </c>
      <c r="AI5" s="4">
        <v>1.0144990892531878</v>
      </c>
      <c r="AJ5" s="4">
        <v>4.2431353671500496</v>
      </c>
      <c r="AK5" s="4">
        <v>0.78240358532845855</v>
      </c>
      <c r="AM5" s="450">
        <v>45937</v>
      </c>
      <c r="AN5" s="451">
        <v>225</v>
      </c>
      <c r="AO5" s="451">
        <v>2092717</v>
      </c>
      <c r="AP5" s="451">
        <v>235.94811999999999</v>
      </c>
      <c r="AQ5" s="451">
        <v>53088.326999999997</v>
      </c>
      <c r="AR5" s="451">
        <v>0.61660000000000004</v>
      </c>
    </row>
    <row r="6" spans="2:44">
      <c r="B6" s="452">
        <v>45931</v>
      </c>
      <c r="C6" s="448">
        <v>9.1930999999999994</v>
      </c>
      <c r="D6" s="448">
        <v>7.2526000000000002</v>
      </c>
      <c r="E6" s="448">
        <v>6.1178999999999997</v>
      </c>
      <c r="F6" s="448">
        <v>16.456600000000002</v>
      </c>
      <c r="G6" s="448">
        <v>16.035299999999999</v>
      </c>
      <c r="H6" s="448">
        <v>9.3201000000000001</v>
      </c>
      <c r="I6" s="452">
        <v>45931</v>
      </c>
      <c r="J6" s="448">
        <v>13.0245</v>
      </c>
      <c r="K6" s="448">
        <v>10.901</v>
      </c>
      <c r="L6" s="448">
        <v>12.809100000000001</v>
      </c>
      <c r="M6" s="448">
        <v>27.1816</v>
      </c>
      <c r="N6" s="448">
        <v>41.918300000000002</v>
      </c>
      <c r="O6" s="448">
        <v>23.262699999999999</v>
      </c>
      <c r="P6" s="448"/>
      <c r="Q6" s="452">
        <v>45931</v>
      </c>
      <c r="R6" s="4">
        <v>224.18</v>
      </c>
      <c r="S6" s="4">
        <v>23231.11</v>
      </c>
      <c r="T6" s="4">
        <v>668.48</v>
      </c>
      <c r="U6" s="4">
        <v>1.5466022766471199</v>
      </c>
      <c r="V6" s="4">
        <v>2.0610029498525075</v>
      </c>
      <c r="W6" s="4">
        <v>0.82367727149510828</v>
      </c>
      <c r="Y6" s="448">
        <v>224.18</v>
      </c>
      <c r="Z6" s="4">
        <v>84.38</v>
      </c>
      <c r="AA6" s="4">
        <v>38.33</v>
      </c>
      <c r="AB6" s="4">
        <v>139.24</v>
      </c>
      <c r="AC6" s="4">
        <v>126.93</v>
      </c>
      <c r="AD6" s="4">
        <v>132.68</v>
      </c>
      <c r="AF6" s="4">
        <v>1.5466022766471199</v>
      </c>
      <c r="AG6" s="4">
        <v>0.49931948636013962</v>
      </c>
      <c r="AH6" s="4">
        <v>1.0642787727335832</v>
      </c>
      <c r="AI6" s="4">
        <v>1.0144990892531878</v>
      </c>
      <c r="AJ6" s="4">
        <v>4.2431353671500496</v>
      </c>
      <c r="AK6" s="4">
        <v>0.78240358532845855</v>
      </c>
      <c r="AM6" s="450">
        <v>45936</v>
      </c>
      <c r="AN6" s="451">
        <v>227.72</v>
      </c>
      <c r="AO6" s="451">
        <v>1665542</v>
      </c>
      <c r="AP6" s="451">
        <v>235.94811999999999</v>
      </c>
      <c r="AQ6" s="451">
        <v>53730.105886400001</v>
      </c>
      <c r="AR6" s="451">
        <v>0.62409999999999999</v>
      </c>
    </row>
    <row r="7" spans="2:44">
      <c r="B7" s="452">
        <v>45924</v>
      </c>
      <c r="C7" s="448">
        <v>9.0505999999999993</v>
      </c>
      <c r="D7" s="448">
        <v>7.2213000000000003</v>
      </c>
      <c r="E7" s="448">
        <v>6.0620000000000003</v>
      </c>
      <c r="F7" s="448">
        <v>16.6706</v>
      </c>
      <c r="G7" s="448">
        <v>16.353200000000001</v>
      </c>
      <c r="H7" s="448">
        <v>9.3318999999999992</v>
      </c>
      <c r="I7" s="452">
        <v>45924</v>
      </c>
      <c r="J7" s="448">
        <v>12.709199999999999</v>
      </c>
      <c r="K7" s="448">
        <v>10.839</v>
      </c>
      <c r="L7" s="448">
        <v>12.635400000000001</v>
      </c>
      <c r="M7" s="448">
        <v>27.536899999999999</v>
      </c>
      <c r="N7" s="448">
        <v>42.968499999999999</v>
      </c>
      <c r="O7" s="448">
        <v>23.295999999999999</v>
      </c>
      <c r="P7" s="448"/>
      <c r="Q7" s="452">
        <v>45924</v>
      </c>
      <c r="R7" s="4">
        <v>231.1</v>
      </c>
      <c r="S7" s="4">
        <v>23525.29</v>
      </c>
      <c r="T7" s="4">
        <v>682.56</v>
      </c>
      <c r="U7" s="4">
        <v>1.5943428768540877</v>
      </c>
      <c r="V7" s="4">
        <v>2.0871018253598601</v>
      </c>
      <c r="W7" s="4">
        <v>0.84102614652899277</v>
      </c>
      <c r="Y7" s="448">
        <v>231.1</v>
      </c>
      <c r="Z7" s="4">
        <v>83.9</v>
      </c>
      <c r="AA7" s="4">
        <v>37.81</v>
      </c>
      <c r="AB7" s="4">
        <v>141.06</v>
      </c>
      <c r="AC7" s="4">
        <v>130.11000000000001</v>
      </c>
      <c r="AD7" s="4">
        <v>132.87</v>
      </c>
      <c r="AF7" s="4">
        <v>1.5943428768540877</v>
      </c>
      <c r="AG7" s="4">
        <v>0.49647908160246168</v>
      </c>
      <c r="AH7" s="4">
        <v>1.0498403443009858</v>
      </c>
      <c r="AI7" s="4">
        <v>1.0277595628415301</v>
      </c>
      <c r="AJ7" s="4">
        <v>4.3494393966744891</v>
      </c>
      <c r="AK7" s="4">
        <v>0.78352400047175375</v>
      </c>
      <c r="AM7" s="450">
        <v>45935</v>
      </c>
      <c r="AN7" s="451">
        <v>227.72</v>
      </c>
      <c r="AO7" s="451">
        <v>1665542</v>
      </c>
      <c r="AP7" s="451">
        <v>235.94811999999999</v>
      </c>
      <c r="AQ7" s="451">
        <v>53730.105886400001</v>
      </c>
      <c r="AR7" s="451">
        <v>0.62409999999999999</v>
      </c>
    </row>
    <row r="8" spans="2:44">
      <c r="B8" s="452">
        <v>45917</v>
      </c>
      <c r="C8" s="448">
        <v>8.8544999999999998</v>
      </c>
      <c r="D8" s="448">
        <v>7.2396000000000003</v>
      </c>
      <c r="E8" s="448">
        <v>6.1093000000000002</v>
      </c>
      <c r="F8" s="448">
        <v>16.756499999999999</v>
      </c>
      <c r="G8" s="448">
        <v>16.315200000000001</v>
      </c>
      <c r="H8" s="448">
        <v>9.4344999999999999</v>
      </c>
      <c r="I8" s="452">
        <v>45917</v>
      </c>
      <c r="J8" s="448">
        <v>12.2759</v>
      </c>
      <c r="K8" s="448">
        <v>10.8752</v>
      </c>
      <c r="L8" s="448">
        <v>12.782400000000001</v>
      </c>
      <c r="M8" s="448">
        <v>27.679400000000001</v>
      </c>
      <c r="N8" s="448">
        <v>42.843000000000004</v>
      </c>
      <c r="O8" s="448">
        <v>23.5853</v>
      </c>
      <c r="P8" s="448"/>
      <c r="Q8" s="452">
        <v>45917</v>
      </c>
      <c r="R8" s="4">
        <v>233.13</v>
      </c>
      <c r="S8" s="4">
        <v>23384.77</v>
      </c>
      <c r="T8" s="4">
        <v>683.97</v>
      </c>
      <c r="U8" s="4">
        <v>1.6083477061055538</v>
      </c>
      <c r="V8" s="4">
        <v>2.0746352607181673</v>
      </c>
      <c r="W8" s="4">
        <v>0.84276349836122133</v>
      </c>
      <c r="Y8" s="448">
        <v>233.13</v>
      </c>
      <c r="Z8" s="4">
        <v>84.18</v>
      </c>
      <c r="AA8" s="4">
        <v>38.25</v>
      </c>
      <c r="AB8" s="4">
        <v>141.79</v>
      </c>
      <c r="AC8" s="4">
        <v>129.72999999999999</v>
      </c>
      <c r="AD8" s="4">
        <v>134.52000000000001</v>
      </c>
      <c r="AF8" s="4">
        <v>1.6083477061055538</v>
      </c>
      <c r="AG8" s="4">
        <v>0.49813598437777384</v>
      </c>
      <c r="AH8" s="4">
        <v>1.062057476051645</v>
      </c>
      <c r="AI8" s="4">
        <v>1.0330783242258652</v>
      </c>
      <c r="AJ8" s="4">
        <v>4.3367363994357193</v>
      </c>
      <c r="AK8" s="4">
        <v>0.79325392145300155</v>
      </c>
      <c r="AM8" s="450">
        <v>45934</v>
      </c>
      <c r="AN8" s="451">
        <v>227.72</v>
      </c>
      <c r="AO8" s="451">
        <v>1665542</v>
      </c>
      <c r="AP8" s="451">
        <v>235.94811999999999</v>
      </c>
      <c r="AQ8" s="451">
        <v>53730.105886400001</v>
      </c>
      <c r="AR8" s="451">
        <v>0.62409999999999999</v>
      </c>
    </row>
    <row r="9" spans="2:44">
      <c r="B9" s="452">
        <v>45910</v>
      </c>
      <c r="C9" s="448">
        <v>8.8522999999999996</v>
      </c>
      <c r="D9" s="448">
        <v>7.218</v>
      </c>
      <c r="E9" s="448">
        <v>6.1147</v>
      </c>
      <c r="F9" s="448">
        <v>17.2881</v>
      </c>
      <c r="G9" s="448">
        <v>16.371200000000002</v>
      </c>
      <c r="H9" s="448">
        <v>9.5848999999999993</v>
      </c>
      <c r="I9" s="452">
        <v>45910</v>
      </c>
      <c r="J9" s="448">
        <v>12.271000000000001</v>
      </c>
      <c r="K9" s="448">
        <v>10.832599999999999</v>
      </c>
      <c r="L9" s="448">
        <v>12.799099999999999</v>
      </c>
      <c r="M9" s="448">
        <v>28.561800000000002</v>
      </c>
      <c r="N9" s="448">
        <v>43.027900000000002</v>
      </c>
      <c r="O9" s="448">
        <v>24.009599999999999</v>
      </c>
      <c r="P9" s="448"/>
      <c r="Q9" s="452">
        <v>45910</v>
      </c>
      <c r="R9" s="4">
        <v>230.42</v>
      </c>
      <c r="S9" s="4">
        <v>23839.200000000001</v>
      </c>
      <c r="T9" s="4">
        <v>676.71</v>
      </c>
      <c r="U9" s="4">
        <v>1.5896516040013797</v>
      </c>
      <c r="V9" s="4">
        <v>2.1149510945505359</v>
      </c>
      <c r="W9" s="4">
        <v>0.83381798467187462</v>
      </c>
      <c r="Y9" s="448">
        <v>230.42</v>
      </c>
      <c r="Z9" s="4">
        <v>83.85</v>
      </c>
      <c r="AA9" s="4">
        <v>38.299999999999997</v>
      </c>
      <c r="AB9" s="4">
        <v>146.31</v>
      </c>
      <c r="AC9" s="4">
        <v>130.29</v>
      </c>
      <c r="AD9" s="4">
        <v>136.94</v>
      </c>
      <c r="AF9" s="4">
        <v>1.5896516040013797</v>
      </c>
      <c r="AG9" s="4">
        <v>0.49618320610687017</v>
      </c>
      <c r="AH9" s="4">
        <v>1.0634457864778564</v>
      </c>
      <c r="AI9" s="4">
        <v>1.0660109289617488</v>
      </c>
      <c r="AJ9" s="4">
        <v>4.3554566058928534</v>
      </c>
      <c r="AK9" s="4">
        <v>0.80752447222549817</v>
      </c>
      <c r="AM9" s="450">
        <v>45933</v>
      </c>
      <c r="AN9" s="451">
        <v>225.28</v>
      </c>
      <c r="AO9" s="451">
        <v>1773926</v>
      </c>
      <c r="AP9" s="451">
        <v>235.94811999999999</v>
      </c>
      <c r="AQ9" s="451">
        <v>53154.392473599997</v>
      </c>
      <c r="AR9" s="451">
        <v>0.61739999999999995</v>
      </c>
    </row>
    <row r="10" spans="2:44">
      <c r="B10" s="452">
        <v>45903</v>
      </c>
      <c r="C10" s="448">
        <v>8.8437000000000001</v>
      </c>
      <c r="D10" s="448">
        <v>7.3120000000000003</v>
      </c>
      <c r="E10" s="448">
        <v>6.1296999999999997</v>
      </c>
      <c r="F10" s="448">
        <v>17.499700000000001</v>
      </c>
      <c r="G10" s="448">
        <v>15.927300000000001</v>
      </c>
      <c r="H10" s="448">
        <v>10.1096</v>
      </c>
      <c r="I10" s="452">
        <v>45903</v>
      </c>
      <c r="J10" s="448">
        <v>12.251899999999999</v>
      </c>
      <c r="K10" s="448">
        <v>11.018599999999999</v>
      </c>
      <c r="L10" s="448">
        <v>12.8459</v>
      </c>
      <c r="M10" s="448">
        <v>28.9132</v>
      </c>
      <c r="N10" s="448">
        <v>41.561599999999999</v>
      </c>
      <c r="O10" s="448">
        <v>25.4893</v>
      </c>
      <c r="P10" s="448"/>
      <c r="Q10" s="452">
        <v>45903</v>
      </c>
      <c r="R10" s="4">
        <v>222.41</v>
      </c>
      <c r="S10" s="4">
        <v>23018.560000000001</v>
      </c>
      <c r="T10" s="4">
        <v>662.13</v>
      </c>
      <c r="U10" s="4">
        <v>1.534391169368748</v>
      </c>
      <c r="V10" s="4">
        <v>2.0421460731474705</v>
      </c>
      <c r="W10" s="4">
        <v>0.81585302742797994</v>
      </c>
      <c r="Y10" s="448">
        <v>222.41</v>
      </c>
      <c r="Z10" s="4">
        <v>85.29</v>
      </c>
      <c r="AA10" s="4">
        <v>38.44</v>
      </c>
      <c r="AB10" s="4">
        <v>148.11000000000001</v>
      </c>
      <c r="AC10" s="4">
        <v>125.85</v>
      </c>
      <c r="AD10" s="4">
        <v>145.38</v>
      </c>
      <c r="AF10" s="4">
        <v>1.534391169368748</v>
      </c>
      <c r="AG10" s="4">
        <v>0.50470442037990415</v>
      </c>
      <c r="AH10" s="4">
        <v>1.0673330556712479</v>
      </c>
      <c r="AI10" s="4">
        <v>1.0791256830601095</v>
      </c>
      <c r="AJ10" s="4">
        <v>4.2070321118398617</v>
      </c>
      <c r="AK10" s="4">
        <v>0.85729449227503229</v>
      </c>
      <c r="AM10" s="450">
        <v>45932</v>
      </c>
      <c r="AN10" s="451">
        <v>225.34</v>
      </c>
      <c r="AO10" s="451">
        <v>1723945</v>
      </c>
      <c r="AP10" s="451">
        <v>235.94811999999999</v>
      </c>
      <c r="AQ10" s="451">
        <v>53168.549360799996</v>
      </c>
      <c r="AR10" s="451">
        <v>0.61750000000000005</v>
      </c>
    </row>
    <row r="11" spans="2:44">
      <c r="B11" s="452">
        <v>45896</v>
      </c>
      <c r="C11" s="448">
        <v>9.1449999999999996</v>
      </c>
      <c r="D11" s="448">
        <v>7.4798</v>
      </c>
      <c r="E11" s="448">
        <v>6.2027999999999999</v>
      </c>
      <c r="F11" s="448">
        <v>18.171199999999999</v>
      </c>
      <c r="G11" s="448">
        <v>16.553100000000001</v>
      </c>
      <c r="H11" s="448">
        <v>10.1351</v>
      </c>
      <c r="I11" s="452">
        <v>45896</v>
      </c>
      <c r="J11" s="448">
        <v>12.786099999999999</v>
      </c>
      <c r="K11" s="448">
        <v>11.3506</v>
      </c>
      <c r="L11" s="448">
        <v>13.0731</v>
      </c>
      <c r="M11" s="448">
        <v>30.027799999999999</v>
      </c>
      <c r="N11" s="448">
        <v>43.628999999999998</v>
      </c>
      <c r="O11" s="448">
        <v>25.561199999999999</v>
      </c>
      <c r="P11" s="448"/>
      <c r="Q11" s="452">
        <v>45896</v>
      </c>
      <c r="R11" s="4">
        <v>234.54</v>
      </c>
      <c r="S11" s="4">
        <v>23308.3</v>
      </c>
      <c r="T11" s="4">
        <v>678.1</v>
      </c>
      <c r="U11" s="4">
        <v>1.6180751983442567</v>
      </c>
      <c r="V11" s="4">
        <v>2.0678510435380484</v>
      </c>
      <c r="W11" s="4">
        <v>0.83553069321570272</v>
      </c>
      <c r="Y11" s="448">
        <v>234.54</v>
      </c>
      <c r="Z11" s="4">
        <v>87.86</v>
      </c>
      <c r="AA11" s="4">
        <v>39.119999999999997</v>
      </c>
      <c r="AB11" s="4">
        <v>153.82</v>
      </c>
      <c r="AC11" s="4">
        <v>132.11000000000001</v>
      </c>
      <c r="AD11" s="4">
        <v>145.79</v>
      </c>
      <c r="AF11" s="4">
        <v>1.6180751983442567</v>
      </c>
      <c r="AG11" s="4">
        <v>0.51991242085330491</v>
      </c>
      <c r="AH11" s="4">
        <v>1.0862140774677216</v>
      </c>
      <c r="AI11" s="4">
        <v>1.1207285974499088</v>
      </c>
      <c r="AJ11" s="4">
        <v>4.4162972768785398</v>
      </c>
      <c r="AK11" s="4">
        <v>0.85971223021582721</v>
      </c>
      <c r="AM11" s="450">
        <v>45931</v>
      </c>
      <c r="AN11" s="451">
        <v>224.18</v>
      </c>
      <c r="AO11" s="451">
        <v>2077323</v>
      </c>
      <c r="AP11" s="451">
        <v>235.94811999999999</v>
      </c>
      <c r="AQ11" s="451">
        <v>52894.849541600001</v>
      </c>
      <c r="AR11" s="451">
        <v>0.61439999999999995</v>
      </c>
    </row>
    <row r="12" spans="2:44">
      <c r="B12" s="452">
        <v>45889</v>
      </c>
      <c r="C12" s="448">
        <v>9.0205000000000002</v>
      </c>
      <c r="D12" s="448">
        <v>7.4196999999999997</v>
      </c>
      <c r="E12" s="448">
        <v>6.4436</v>
      </c>
      <c r="F12" s="448">
        <v>17.7502</v>
      </c>
      <c r="G12" s="448">
        <v>16.0093</v>
      </c>
      <c r="H12" s="448">
        <v>9.9324999999999992</v>
      </c>
      <c r="I12" s="452">
        <v>45889</v>
      </c>
      <c r="J12" s="448">
        <v>12.5108</v>
      </c>
      <c r="K12" s="448">
        <v>11.2318</v>
      </c>
      <c r="L12" s="448">
        <v>13.8217</v>
      </c>
      <c r="M12" s="448">
        <v>29.329000000000001</v>
      </c>
      <c r="N12" s="448">
        <v>41.8324</v>
      </c>
      <c r="O12" s="448">
        <v>24.989699999999999</v>
      </c>
      <c r="P12" s="448"/>
      <c r="Q12" s="452">
        <v>45889</v>
      </c>
      <c r="R12" s="4">
        <v>231.7</v>
      </c>
      <c r="S12" s="4">
        <v>23063.58</v>
      </c>
      <c r="T12" s="4">
        <v>709.77</v>
      </c>
      <c r="U12" s="4">
        <v>1.5984822352535357</v>
      </c>
      <c r="V12" s="4">
        <v>2.0461401290837715</v>
      </c>
      <c r="W12" s="4">
        <v>0.87455334039774257</v>
      </c>
      <c r="Y12" s="448">
        <v>231.7</v>
      </c>
      <c r="Z12" s="4">
        <v>86.94</v>
      </c>
      <c r="AA12" s="4">
        <v>41.36</v>
      </c>
      <c r="AB12" s="4">
        <v>150.24</v>
      </c>
      <c r="AC12" s="4">
        <v>126.67</v>
      </c>
      <c r="AD12" s="4">
        <v>142.53</v>
      </c>
      <c r="AF12" s="4">
        <v>1.5984822352535357</v>
      </c>
      <c r="AG12" s="4">
        <v>0.51446831173442209</v>
      </c>
      <c r="AH12" s="4">
        <v>1.148410384561988</v>
      </c>
      <c r="AI12" s="4">
        <v>1.0946448087431695</v>
      </c>
      <c r="AJ12" s="4">
        <v>4.2344438427235227</v>
      </c>
      <c r="AK12" s="4">
        <v>0.84048826512560437</v>
      </c>
      <c r="AM12" s="450">
        <v>45930</v>
      </c>
      <c r="AN12" s="451">
        <v>231.07</v>
      </c>
      <c r="AO12" s="451">
        <v>1485522</v>
      </c>
      <c r="AP12" s="451">
        <v>235.94811999999999</v>
      </c>
      <c r="AQ12" s="451">
        <v>54520.532088399996</v>
      </c>
      <c r="AR12" s="451">
        <v>0.63319999999999999</v>
      </c>
    </row>
    <row r="13" spans="2:44">
      <c r="B13" s="452">
        <v>45882</v>
      </c>
      <c r="C13" s="448">
        <v>9.1012000000000004</v>
      </c>
      <c r="D13" s="448">
        <v>7.5007000000000001</v>
      </c>
      <c r="E13" s="448">
        <v>6.4747000000000003</v>
      </c>
      <c r="F13" s="448">
        <v>18.128900000000002</v>
      </c>
      <c r="G13" s="448">
        <v>16.373200000000001</v>
      </c>
      <c r="H13" s="448">
        <v>10.1389</v>
      </c>
      <c r="I13" s="452">
        <v>45882</v>
      </c>
      <c r="J13" s="448">
        <v>12.692</v>
      </c>
      <c r="K13" s="448">
        <v>11.391999999999999</v>
      </c>
      <c r="L13" s="448">
        <v>13.9186</v>
      </c>
      <c r="M13" s="448">
        <v>29.957599999999999</v>
      </c>
      <c r="N13" s="448">
        <v>43.034500000000001</v>
      </c>
      <c r="O13" s="448">
        <v>25.5718</v>
      </c>
      <c r="P13" s="448"/>
      <c r="Q13" s="452">
        <v>45882</v>
      </c>
      <c r="R13" s="4">
        <v>230.66</v>
      </c>
      <c r="S13" s="4">
        <v>22884.59</v>
      </c>
      <c r="T13" s="4">
        <v>701.54</v>
      </c>
      <c r="U13" s="4">
        <v>1.5913073473611592</v>
      </c>
      <c r="V13" s="4">
        <v>2.0302606072703884</v>
      </c>
      <c r="W13" s="4">
        <v>0.86441262722097623</v>
      </c>
      <c r="Y13" s="448">
        <v>230.66</v>
      </c>
      <c r="Z13" s="4">
        <v>88.18</v>
      </c>
      <c r="AA13" s="4">
        <v>41.65</v>
      </c>
      <c r="AB13" s="4">
        <v>153.46</v>
      </c>
      <c r="AC13" s="4">
        <v>130.31</v>
      </c>
      <c r="AD13" s="4">
        <v>145.85</v>
      </c>
      <c r="AF13" s="4">
        <v>1.5913073473611592</v>
      </c>
      <c r="AG13" s="4">
        <v>0.52180602402509024</v>
      </c>
      <c r="AH13" s="4">
        <v>1.1564625850340136</v>
      </c>
      <c r="AI13" s="4">
        <v>1.1181056466302368</v>
      </c>
      <c r="AJ13" s="4">
        <v>4.3561251846948936</v>
      </c>
      <c r="AK13" s="4">
        <v>0.86006604552423627</v>
      </c>
      <c r="AM13" s="450">
        <v>45929</v>
      </c>
      <c r="AN13" s="451">
        <v>231.07</v>
      </c>
      <c r="AO13" s="451">
        <v>1485522</v>
      </c>
      <c r="AP13" s="451">
        <v>235.94811999999999</v>
      </c>
      <c r="AQ13" s="451">
        <v>54520.532088399996</v>
      </c>
      <c r="AR13" s="451">
        <v>0.63319999999999999</v>
      </c>
    </row>
    <row r="14" spans="2:44">
      <c r="B14" s="452">
        <v>45875</v>
      </c>
      <c r="C14" s="448">
        <v>9.0005000000000006</v>
      </c>
      <c r="D14" s="448">
        <v>7.3696000000000002</v>
      </c>
      <c r="E14" s="448">
        <v>6.1726999999999999</v>
      </c>
      <c r="F14" s="448">
        <v>17.8109</v>
      </c>
      <c r="G14" s="448">
        <v>15.647399999999999</v>
      </c>
      <c r="H14" s="448">
        <v>9.9933999999999994</v>
      </c>
      <c r="I14" s="452">
        <v>45875</v>
      </c>
      <c r="J14" s="448">
        <v>12.468999999999999</v>
      </c>
      <c r="K14" s="448">
        <v>11.1426</v>
      </c>
      <c r="L14" s="448">
        <v>12.9796</v>
      </c>
      <c r="M14" s="448">
        <v>29.2685</v>
      </c>
      <c r="N14" s="448">
        <v>40.636899999999997</v>
      </c>
      <c r="O14" s="448">
        <v>25.1615</v>
      </c>
      <c r="P14" s="448"/>
      <c r="Q14" s="452">
        <v>45875</v>
      </c>
      <c r="R14" s="4">
        <v>238.71</v>
      </c>
      <c r="S14" s="4">
        <v>22702.25</v>
      </c>
      <c r="T14" s="4">
        <v>722.75</v>
      </c>
      <c r="U14" s="4">
        <v>1.6468437392204209</v>
      </c>
      <c r="V14" s="4">
        <v>2.0140838822720517</v>
      </c>
      <c r="W14" s="4">
        <v>0.89054683456960493</v>
      </c>
      <c r="Y14" s="448">
        <v>238.71</v>
      </c>
      <c r="Z14" s="4">
        <v>86.25</v>
      </c>
      <c r="AA14" s="4">
        <v>38.840000000000003</v>
      </c>
      <c r="AB14" s="4">
        <v>149.93</v>
      </c>
      <c r="AC14" s="4">
        <v>123.05</v>
      </c>
      <c r="AD14" s="4">
        <v>143.51</v>
      </c>
      <c r="AF14" s="4">
        <v>1.6468437392204209</v>
      </c>
      <c r="AG14" s="4">
        <v>0.51038522989526003</v>
      </c>
      <c r="AH14" s="4">
        <v>1.0784395390809385</v>
      </c>
      <c r="AI14" s="4">
        <v>1.0923861566484518</v>
      </c>
      <c r="AJ14" s="4">
        <v>4.1134310795541911</v>
      </c>
      <c r="AK14" s="4">
        <v>0.84626724849628487</v>
      </c>
      <c r="AM14" s="450">
        <v>45928</v>
      </c>
      <c r="AN14" s="451">
        <v>231.07</v>
      </c>
      <c r="AO14" s="451">
        <v>1485522</v>
      </c>
      <c r="AP14" s="451">
        <v>235.94811999999999</v>
      </c>
      <c r="AQ14" s="451">
        <v>54520.532088399996</v>
      </c>
      <c r="AR14" s="451">
        <v>0.63319999999999999</v>
      </c>
    </row>
    <row r="15" spans="2:44">
      <c r="B15" s="452">
        <v>45868</v>
      </c>
      <c r="C15" s="448">
        <v>8.9359999999999999</v>
      </c>
      <c r="D15" s="448">
        <v>7.4302000000000001</v>
      </c>
      <c r="E15" s="448">
        <v>6.2598000000000003</v>
      </c>
      <c r="F15" s="448">
        <v>17.400500000000001</v>
      </c>
      <c r="G15" s="448">
        <v>16.5761</v>
      </c>
      <c r="H15" s="448">
        <v>10.0158</v>
      </c>
      <c r="I15" s="452">
        <v>45868</v>
      </c>
      <c r="J15" s="448">
        <v>12.3263</v>
      </c>
      <c r="K15" s="448">
        <v>11.2628</v>
      </c>
      <c r="L15" s="448">
        <v>13.250299999999999</v>
      </c>
      <c r="M15" s="448">
        <v>28.591100000000001</v>
      </c>
      <c r="N15" s="448">
        <v>43.688400000000001</v>
      </c>
      <c r="O15" s="448">
        <v>25.224599999999999</v>
      </c>
      <c r="P15" s="448"/>
      <c r="Q15" s="452">
        <v>45868</v>
      </c>
      <c r="R15" s="4">
        <v>234.33</v>
      </c>
      <c r="S15" s="4">
        <v>22478.14</v>
      </c>
      <c r="T15" s="4">
        <v>725.8</v>
      </c>
      <c r="U15" s="4">
        <v>1.61662642290445</v>
      </c>
      <c r="V15" s="4">
        <v>1.9942014327855035</v>
      </c>
      <c r="W15" s="4">
        <v>0.89430493605066652</v>
      </c>
      <c r="Y15" s="448">
        <v>234.33</v>
      </c>
      <c r="Z15" s="4">
        <v>87.18</v>
      </c>
      <c r="AA15" s="4">
        <v>39.65</v>
      </c>
      <c r="AB15" s="4">
        <v>146.46</v>
      </c>
      <c r="AC15" s="4">
        <v>132.29</v>
      </c>
      <c r="AD15" s="4">
        <v>143.87</v>
      </c>
      <c r="AF15" s="4">
        <v>1.61662642290445</v>
      </c>
      <c r="AG15" s="4">
        <v>0.5158885141132612</v>
      </c>
      <c r="AH15" s="4">
        <v>1.1009301679855614</v>
      </c>
      <c r="AI15" s="4">
        <v>1.0671038251366121</v>
      </c>
      <c r="AJ15" s="4">
        <v>4.4223144860969033</v>
      </c>
      <c r="AK15" s="4">
        <v>0.84839014034673899</v>
      </c>
      <c r="AM15" s="450">
        <v>45927</v>
      </c>
      <c r="AN15" s="451">
        <v>231.07</v>
      </c>
      <c r="AO15" s="451">
        <v>1485522</v>
      </c>
      <c r="AP15" s="451">
        <v>235.94811999999999</v>
      </c>
      <c r="AQ15" s="451">
        <v>54520.532088399996</v>
      </c>
      <c r="AR15" s="451">
        <v>0.63319999999999999</v>
      </c>
    </row>
    <row r="16" spans="2:44">
      <c r="B16" s="452">
        <v>45861</v>
      </c>
      <c r="C16" s="448">
        <v>9.2852999999999994</v>
      </c>
      <c r="D16" s="448">
        <v>8.4964999999999993</v>
      </c>
      <c r="E16" s="448">
        <v>6.3425000000000002</v>
      </c>
      <c r="F16" s="448">
        <v>19.71</v>
      </c>
      <c r="G16" s="448">
        <v>16.847100000000001</v>
      </c>
      <c r="H16" s="448">
        <v>10.387</v>
      </c>
      <c r="I16" s="452">
        <v>45861</v>
      </c>
      <c r="J16" s="448">
        <v>13.099399999999999</v>
      </c>
      <c r="K16" s="448">
        <v>13.375</v>
      </c>
      <c r="L16" s="448">
        <v>13.5076</v>
      </c>
      <c r="M16" s="448">
        <v>32.403599999999997</v>
      </c>
      <c r="N16" s="448">
        <v>44.583399999999997</v>
      </c>
      <c r="O16" s="448">
        <v>26.2713</v>
      </c>
      <c r="P16" s="448"/>
      <c r="Q16" s="452">
        <v>45861</v>
      </c>
      <c r="R16" s="4">
        <v>229.51</v>
      </c>
      <c r="S16" s="4">
        <v>22190.52</v>
      </c>
      <c r="T16" s="4">
        <v>703.07</v>
      </c>
      <c r="U16" s="4">
        <v>1.5833735770955502</v>
      </c>
      <c r="V16" s="4">
        <v>1.9686845432164481</v>
      </c>
      <c r="W16" s="4">
        <v>0.86629783878360733</v>
      </c>
      <c r="Y16" s="448">
        <v>229.51</v>
      </c>
      <c r="Z16" s="4">
        <v>103.53</v>
      </c>
      <c r="AA16" s="4">
        <v>40.42</v>
      </c>
      <c r="AB16" s="4">
        <v>165.99</v>
      </c>
      <c r="AC16" s="4">
        <v>135</v>
      </c>
      <c r="AD16" s="4">
        <v>149.84</v>
      </c>
      <c r="AF16" s="4">
        <v>1.5833735770955502</v>
      </c>
      <c r="AG16" s="4">
        <v>0.61263980117166694</v>
      </c>
      <c r="AH16" s="4">
        <v>1.1223101485492157</v>
      </c>
      <c r="AI16" s="4">
        <v>1.2093989071038251</v>
      </c>
      <c r="AJ16" s="4">
        <v>4.5129069137733921</v>
      </c>
      <c r="AK16" s="4">
        <v>0.88359476353343547</v>
      </c>
      <c r="AM16" s="450">
        <v>45926</v>
      </c>
      <c r="AN16" s="451">
        <v>231.27</v>
      </c>
      <c r="AO16" s="451">
        <v>1400480</v>
      </c>
      <c r="AP16" s="451">
        <v>235.94811999999999</v>
      </c>
      <c r="AQ16" s="451">
        <v>54567.721712400002</v>
      </c>
      <c r="AR16" s="451">
        <v>0.63380000000000003</v>
      </c>
    </row>
    <row r="17" spans="2:44">
      <c r="B17" s="452">
        <v>45854</v>
      </c>
      <c r="C17" s="448">
        <v>9.1470000000000002</v>
      </c>
      <c r="D17" s="448">
        <v>8.2422000000000004</v>
      </c>
      <c r="E17" s="448">
        <v>6.1619000000000002</v>
      </c>
      <c r="F17" s="448">
        <v>19.099799999999998</v>
      </c>
      <c r="G17" s="448">
        <v>16.197099999999999</v>
      </c>
      <c r="H17" s="448">
        <v>10.4864</v>
      </c>
      <c r="I17" s="452">
        <v>45854</v>
      </c>
      <c r="J17" s="448">
        <v>12.595599999999999</v>
      </c>
      <c r="K17" s="448">
        <v>12.8712</v>
      </c>
      <c r="L17" s="448">
        <v>12.946199999999999</v>
      </c>
      <c r="M17" s="448">
        <v>31.3963</v>
      </c>
      <c r="N17" s="448">
        <v>42.436799999999998</v>
      </c>
      <c r="O17" s="448">
        <v>26.5518</v>
      </c>
      <c r="P17" s="448"/>
      <c r="Q17" s="452">
        <v>45854</v>
      </c>
      <c r="R17" s="4">
        <v>222.53</v>
      </c>
      <c r="S17" s="4">
        <v>21719.08</v>
      </c>
      <c r="T17" s="4">
        <v>692.06</v>
      </c>
      <c r="U17" s="4">
        <v>1.5352190410486375</v>
      </c>
      <c r="V17" s="4">
        <v>1.926859626943465</v>
      </c>
      <c r="W17" s="4">
        <v>0.85273170851918467</v>
      </c>
      <c r="Y17" s="448">
        <v>222.53</v>
      </c>
      <c r="Z17" s="4">
        <v>99.63</v>
      </c>
      <c r="AA17" s="4">
        <v>38.74</v>
      </c>
      <c r="AB17" s="4">
        <v>160.83000000000001</v>
      </c>
      <c r="AC17" s="4">
        <v>128.5</v>
      </c>
      <c r="AD17" s="4">
        <v>151.44</v>
      </c>
      <c r="AF17" s="4">
        <v>1.5352190410486375</v>
      </c>
      <c r="AG17" s="4">
        <v>0.58956151251553346</v>
      </c>
      <c r="AH17" s="4">
        <v>1.075662918228516</v>
      </c>
      <c r="AI17" s="4">
        <v>1.1718032786885246</v>
      </c>
      <c r="AJ17" s="4">
        <v>4.2956188031102283</v>
      </c>
      <c r="AK17" s="4">
        <v>0.89302983842434236</v>
      </c>
      <c r="AM17" s="450">
        <v>45925</v>
      </c>
      <c r="AN17" s="451">
        <v>232.21</v>
      </c>
      <c r="AO17" s="451">
        <v>1083953</v>
      </c>
      <c r="AP17" s="451">
        <v>235.94811999999999</v>
      </c>
      <c r="AQ17" s="451">
        <v>54789.512945199996</v>
      </c>
      <c r="AR17" s="451">
        <v>0.63639999999999997</v>
      </c>
    </row>
    <row r="18" spans="2:44">
      <c r="B18" s="452">
        <v>45847</v>
      </c>
      <c r="C18" s="448">
        <v>9.3430999999999997</v>
      </c>
      <c r="D18" s="448">
        <v>8.4064999999999994</v>
      </c>
      <c r="E18" s="448">
        <v>6.2899000000000003</v>
      </c>
      <c r="F18" s="448">
        <v>19.948799999999999</v>
      </c>
      <c r="G18" s="448">
        <v>16.560099999999998</v>
      </c>
      <c r="H18" s="448">
        <v>10.797700000000001</v>
      </c>
      <c r="I18" s="452">
        <v>45847</v>
      </c>
      <c r="J18" s="448">
        <v>13.0229</v>
      </c>
      <c r="K18" s="448">
        <v>13.1967</v>
      </c>
      <c r="L18" s="448">
        <v>13.3438</v>
      </c>
      <c r="M18" s="448">
        <v>32.797899999999998</v>
      </c>
      <c r="N18" s="448">
        <v>43.635599999999997</v>
      </c>
      <c r="O18" s="448">
        <v>26.767499999999998</v>
      </c>
      <c r="P18" s="448"/>
      <c r="Q18" s="452">
        <v>45847</v>
      </c>
      <c r="R18" s="4">
        <v>227.96</v>
      </c>
      <c r="S18" s="4">
        <v>21941.919999999998</v>
      </c>
      <c r="T18" s="4">
        <v>709.25</v>
      </c>
      <c r="U18" s="4">
        <v>1.5726802345636428</v>
      </c>
      <c r="V18" s="4">
        <v>1.9466294053718365</v>
      </c>
      <c r="W18" s="4">
        <v>0.87391261489933214</v>
      </c>
      <c r="Y18" s="448">
        <v>227.96</v>
      </c>
      <c r="Z18" s="4">
        <v>102.15</v>
      </c>
      <c r="AA18" s="4">
        <v>39.93</v>
      </c>
      <c r="AB18" s="4">
        <v>168.01</v>
      </c>
      <c r="AC18" s="4">
        <v>132.13</v>
      </c>
      <c r="AD18" s="4">
        <v>152.66999999999999</v>
      </c>
      <c r="AF18" s="4">
        <v>1.5726802345636428</v>
      </c>
      <c r="AG18" s="4">
        <v>0.60447363749334282</v>
      </c>
      <c r="AH18" s="4">
        <v>1.1087047063723448</v>
      </c>
      <c r="AI18" s="4">
        <v>1.2241165755919854</v>
      </c>
      <c r="AJ18" s="4">
        <v>4.4169658556805791</v>
      </c>
      <c r="AK18" s="4">
        <v>0.90028305224672711</v>
      </c>
      <c r="AM18" s="450">
        <v>45924</v>
      </c>
      <c r="AN18" s="451">
        <v>231.1</v>
      </c>
      <c r="AO18" s="451">
        <v>1743812</v>
      </c>
      <c r="AP18" s="451">
        <v>235.94811999999999</v>
      </c>
      <c r="AQ18" s="451">
        <v>54527.610531999999</v>
      </c>
      <c r="AR18" s="451">
        <v>0.63329999999999997</v>
      </c>
    </row>
    <row r="19" spans="2:44">
      <c r="B19" s="452">
        <v>45840</v>
      </c>
      <c r="C19" s="448">
        <v>9.4094999999999995</v>
      </c>
      <c r="D19" s="448">
        <v>8.6275999999999993</v>
      </c>
      <c r="E19" s="448">
        <v>6.22</v>
      </c>
      <c r="F19" s="448">
        <v>20.166399999999999</v>
      </c>
      <c r="G19" s="448">
        <v>16.597100000000001</v>
      </c>
      <c r="H19" s="448">
        <v>10.82</v>
      </c>
      <c r="I19" s="452">
        <v>45840</v>
      </c>
      <c r="J19" s="448">
        <v>13.1677</v>
      </c>
      <c r="K19" s="448">
        <v>13.6347</v>
      </c>
      <c r="L19" s="448">
        <v>13.1266</v>
      </c>
      <c r="M19" s="448">
        <v>33.1571</v>
      </c>
      <c r="N19" s="448">
        <v>43.757800000000003</v>
      </c>
      <c r="O19" s="448">
        <v>26.828900000000001</v>
      </c>
      <c r="P19" s="448"/>
      <c r="Q19" s="452">
        <v>45840</v>
      </c>
      <c r="R19" s="4">
        <v>219.78</v>
      </c>
      <c r="S19" s="4">
        <v>21662.58</v>
      </c>
      <c r="T19" s="4">
        <v>684</v>
      </c>
      <c r="U19" s="4">
        <v>1.5162469817178339</v>
      </c>
      <c r="V19" s="4">
        <v>1.9218470956151441</v>
      </c>
      <c r="W19" s="4">
        <v>0.84280046329382186</v>
      </c>
      <c r="Y19" s="448">
        <v>219.78</v>
      </c>
      <c r="Z19" s="4">
        <v>105.54</v>
      </c>
      <c r="AA19" s="4">
        <v>39.28</v>
      </c>
      <c r="AB19" s="4">
        <v>169.85</v>
      </c>
      <c r="AC19" s="4">
        <v>132.5</v>
      </c>
      <c r="AD19" s="4">
        <v>153.02000000000001</v>
      </c>
      <c r="AF19" s="4">
        <v>1.5162469817178339</v>
      </c>
      <c r="AG19" s="4">
        <v>0.62453399609444349</v>
      </c>
      <c r="AH19" s="4">
        <v>1.0906566708315979</v>
      </c>
      <c r="AI19" s="4">
        <v>1.2375227686703096</v>
      </c>
      <c r="AJ19" s="4">
        <v>4.4293345635183288</v>
      </c>
      <c r="AK19" s="4">
        <v>0.90234697487911308</v>
      </c>
      <c r="AM19" s="450">
        <v>45923</v>
      </c>
      <c r="AN19" s="451">
        <v>233</v>
      </c>
      <c r="AO19" s="451">
        <v>1470405</v>
      </c>
      <c r="AP19" s="451">
        <v>235.94811999999999</v>
      </c>
      <c r="AQ19" s="451">
        <v>54975.911959999998</v>
      </c>
      <c r="AR19" s="451">
        <v>0.63849999999999996</v>
      </c>
    </row>
    <row r="20" spans="2:44">
      <c r="B20" s="452">
        <v>45833</v>
      </c>
      <c r="C20" s="448">
        <v>8.9763999999999999</v>
      </c>
      <c r="D20" s="448">
        <v>8.0191999999999997</v>
      </c>
      <c r="E20" s="448">
        <v>5.9443999999999999</v>
      </c>
      <c r="F20" s="448">
        <v>18.348199999999999</v>
      </c>
      <c r="G20" s="448">
        <v>15.848100000000001</v>
      </c>
      <c r="H20" s="448">
        <v>9.9768000000000008</v>
      </c>
      <c r="I20" s="452">
        <v>45833</v>
      </c>
      <c r="J20" s="448">
        <v>12.2239</v>
      </c>
      <c r="K20" s="448">
        <v>12.448399999999999</v>
      </c>
      <c r="L20" s="448">
        <v>13.1747</v>
      </c>
      <c r="M20" s="448">
        <v>30.115200000000002</v>
      </c>
      <c r="N20" s="448">
        <v>39.9313</v>
      </c>
      <c r="O20" s="448">
        <v>24.9101</v>
      </c>
      <c r="P20" s="448"/>
      <c r="Q20" s="452">
        <v>45833</v>
      </c>
      <c r="R20" s="4">
        <v>219.76</v>
      </c>
      <c r="S20" s="4">
        <v>21414.99</v>
      </c>
      <c r="T20" s="4">
        <v>684.37</v>
      </c>
      <c r="U20" s="4">
        <v>1.5161090031045188</v>
      </c>
      <c r="V20" s="4">
        <v>1.899881562312862</v>
      </c>
      <c r="W20" s="4">
        <v>0.84325636412922933</v>
      </c>
      <c r="Y20" s="448">
        <v>219.76</v>
      </c>
      <c r="Z20" s="4">
        <v>99.37</v>
      </c>
      <c r="AA20" s="4">
        <v>38.369999999999997</v>
      </c>
      <c r="AB20" s="4">
        <v>160.35</v>
      </c>
      <c r="AC20" s="4">
        <v>124.03</v>
      </c>
      <c r="AD20" s="4">
        <v>142.74</v>
      </c>
      <c r="AF20" s="4">
        <v>1.5161090031045188</v>
      </c>
      <c r="AG20" s="4">
        <v>0.58802295993845788</v>
      </c>
      <c r="AH20" s="4">
        <v>1.0653894210745523</v>
      </c>
      <c r="AI20" s="4">
        <v>1.1683060109289618</v>
      </c>
      <c r="AJ20" s="4">
        <v>4.1461914408541762</v>
      </c>
      <c r="AK20" s="4">
        <v>0.84172661870503596</v>
      </c>
      <c r="AM20" s="450">
        <v>45922</v>
      </c>
      <c r="AN20" s="451">
        <v>236.8</v>
      </c>
      <c r="AO20" s="451">
        <v>1750364</v>
      </c>
      <c r="AP20" s="451">
        <v>235.94811999999999</v>
      </c>
      <c r="AQ20" s="451">
        <v>55872.514816000003</v>
      </c>
      <c r="AR20" s="451">
        <v>0.64890000000000003</v>
      </c>
    </row>
    <row r="21" spans="2:44">
      <c r="B21" s="452">
        <v>45826</v>
      </c>
      <c r="C21" s="448">
        <v>9.0091999999999999</v>
      </c>
      <c r="D21" s="448">
        <v>8.0089000000000006</v>
      </c>
      <c r="E21" s="448">
        <v>6.1840999999999999</v>
      </c>
      <c r="F21" s="448">
        <v>17.853300000000001</v>
      </c>
      <c r="G21" s="448">
        <v>15.504099999999999</v>
      </c>
      <c r="H21" s="448">
        <v>9.7416</v>
      </c>
      <c r="I21" s="452">
        <v>45826</v>
      </c>
      <c r="J21" s="448">
        <v>12.295500000000001</v>
      </c>
      <c r="K21" s="448">
        <v>12.4284</v>
      </c>
      <c r="L21" s="448">
        <v>13.9335</v>
      </c>
      <c r="M21" s="448">
        <v>29.303899999999999</v>
      </c>
      <c r="N21" s="448">
        <v>38.833500000000001</v>
      </c>
      <c r="O21" s="448">
        <v>24.2592</v>
      </c>
      <c r="P21" s="448"/>
      <c r="Q21" s="452">
        <v>45826</v>
      </c>
      <c r="R21" s="4">
        <v>221.14</v>
      </c>
      <c r="S21" s="4">
        <v>21367.37</v>
      </c>
      <c r="T21" s="4">
        <v>688.69</v>
      </c>
      <c r="U21" s="4">
        <v>1.5256295274232494</v>
      </c>
      <c r="V21" s="4">
        <v>1.8956568412180894</v>
      </c>
      <c r="W21" s="4">
        <v>0.8485793144237167</v>
      </c>
      <c r="Y21" s="448">
        <v>221.14</v>
      </c>
      <c r="Z21" s="4">
        <v>99.21</v>
      </c>
      <c r="AA21" s="4">
        <v>40.58</v>
      </c>
      <c r="AB21" s="4">
        <v>156.03</v>
      </c>
      <c r="AC21" s="4">
        <v>120.62</v>
      </c>
      <c r="AD21" s="4">
        <v>139.01</v>
      </c>
      <c r="AF21" s="4">
        <v>1.5256295274232494</v>
      </c>
      <c r="AG21" s="4">
        <v>0.58707615835256521</v>
      </c>
      <c r="AH21" s="4">
        <v>1.1267527419130916</v>
      </c>
      <c r="AI21" s="4">
        <v>1.1368306010928961</v>
      </c>
      <c r="AJ21" s="4">
        <v>4.032198755106271</v>
      </c>
      <c r="AK21" s="4">
        <v>0.81973110036560903</v>
      </c>
      <c r="AM21" s="450">
        <v>45921</v>
      </c>
      <c r="AN21" s="451">
        <v>236.8</v>
      </c>
      <c r="AO21" s="451">
        <v>1750364</v>
      </c>
      <c r="AP21" s="451">
        <v>235.94811999999999</v>
      </c>
      <c r="AQ21" s="451">
        <v>55872.514816000003</v>
      </c>
      <c r="AR21" s="451">
        <v>0.64890000000000003</v>
      </c>
    </row>
    <row r="22" spans="2:44">
      <c r="B22" s="452">
        <v>45819</v>
      </c>
      <c r="C22" s="448">
        <v>9.0268999999999995</v>
      </c>
      <c r="D22" s="448">
        <v>8.1353000000000009</v>
      </c>
      <c r="E22" s="448">
        <v>6.1883999999999997</v>
      </c>
      <c r="F22" s="448">
        <v>18.549800000000001</v>
      </c>
      <c r="G22" s="448">
        <v>15.501099999999999</v>
      </c>
      <c r="H22" s="448">
        <v>9.8607999999999993</v>
      </c>
      <c r="I22" s="452">
        <v>45819</v>
      </c>
      <c r="J22" s="448">
        <v>12.334099999999999</v>
      </c>
      <c r="K22" s="448">
        <v>12.672700000000001</v>
      </c>
      <c r="L22" s="448">
        <v>13.9473</v>
      </c>
      <c r="M22" s="448">
        <v>30.445699999999999</v>
      </c>
      <c r="N22" s="448">
        <v>38.823799999999999</v>
      </c>
      <c r="O22" s="448">
        <v>24.588999999999999</v>
      </c>
      <c r="P22" s="448"/>
      <c r="Q22" s="452">
        <v>45819</v>
      </c>
      <c r="R22" s="4">
        <v>231.15</v>
      </c>
      <c r="S22" s="4">
        <v>21197.7</v>
      </c>
      <c r="T22" s="4">
        <v>703.85</v>
      </c>
      <c r="U22" s="4">
        <v>1.5946878233873751</v>
      </c>
      <c r="V22" s="4">
        <v>1.8806041652804579</v>
      </c>
      <c r="W22" s="4">
        <v>0.86725892703122298</v>
      </c>
      <c r="Y22" s="448">
        <v>231.15</v>
      </c>
      <c r="Z22" s="4">
        <v>101.16</v>
      </c>
      <c r="AA22" s="4">
        <v>40.619999999999997</v>
      </c>
      <c r="AB22" s="4">
        <v>162.11000000000001</v>
      </c>
      <c r="AC22" s="4">
        <v>120.59</v>
      </c>
      <c r="AD22" s="4">
        <v>140.9</v>
      </c>
      <c r="AF22" s="4">
        <v>1.5946878233873751</v>
      </c>
      <c r="AG22" s="4">
        <v>0.5986153026806319</v>
      </c>
      <c r="AH22" s="4">
        <v>1.1278633902540607</v>
      </c>
      <c r="AI22" s="4">
        <v>1.181129326047359</v>
      </c>
      <c r="AJ22" s="4">
        <v>4.0311958869032098</v>
      </c>
      <c r="AK22" s="4">
        <v>0.83087628258049295</v>
      </c>
      <c r="AM22" s="450">
        <v>45920</v>
      </c>
      <c r="AN22" s="451">
        <v>236.8</v>
      </c>
      <c r="AO22" s="451">
        <v>1750364</v>
      </c>
      <c r="AP22" s="451">
        <v>235.94811999999999</v>
      </c>
      <c r="AQ22" s="451">
        <v>55872.514816000003</v>
      </c>
      <c r="AR22" s="451">
        <v>0.64890000000000003</v>
      </c>
    </row>
    <row r="23" spans="2:44">
      <c r="B23" s="452">
        <v>45812</v>
      </c>
      <c r="C23" s="448">
        <v>8.8978000000000002</v>
      </c>
      <c r="D23" s="448">
        <v>7.9661</v>
      </c>
      <c r="E23" s="448">
        <v>6.1330999999999998</v>
      </c>
      <c r="F23" s="448">
        <v>18.4788</v>
      </c>
      <c r="G23" s="448">
        <v>14.930199999999999</v>
      </c>
      <c r="H23" s="448">
        <v>9.8109999999999999</v>
      </c>
      <c r="I23" s="452">
        <v>45812</v>
      </c>
      <c r="J23" s="448">
        <v>12.0527</v>
      </c>
      <c r="K23" s="448">
        <v>12.345700000000001</v>
      </c>
      <c r="L23" s="448">
        <v>13.7722</v>
      </c>
      <c r="M23" s="448">
        <v>30.3293</v>
      </c>
      <c r="N23" s="448">
        <v>37.001600000000003</v>
      </c>
      <c r="O23" s="448">
        <v>24.4512</v>
      </c>
      <c r="P23" s="448"/>
      <c r="Q23" s="452">
        <v>45812</v>
      </c>
      <c r="R23" s="4">
        <v>213.41</v>
      </c>
      <c r="S23" s="4">
        <v>19791.349999999999</v>
      </c>
      <c r="T23" s="4">
        <v>654.96</v>
      </c>
      <c r="U23" s="4">
        <v>1.4723007933770267</v>
      </c>
      <c r="V23" s="4">
        <v>1.7558364938895912</v>
      </c>
      <c r="W23" s="4">
        <v>0.80701840853643514</v>
      </c>
      <c r="Y23" s="448">
        <v>213.41</v>
      </c>
      <c r="Z23" s="4">
        <v>98.55</v>
      </c>
      <c r="AA23" s="4">
        <v>40.11</v>
      </c>
      <c r="AB23" s="4">
        <v>161.49</v>
      </c>
      <c r="AC23" s="4">
        <v>114.93</v>
      </c>
      <c r="AD23" s="4">
        <v>140.11000000000001</v>
      </c>
      <c r="AF23" s="4">
        <v>1.4723007933770267</v>
      </c>
      <c r="AG23" s="4">
        <v>0.58317060181075797</v>
      </c>
      <c r="AH23" s="4">
        <v>1.1137026239067056</v>
      </c>
      <c r="AI23" s="4">
        <v>1.1766120218579235</v>
      </c>
      <c r="AJ23" s="4">
        <v>3.8419880859257476</v>
      </c>
      <c r="AK23" s="4">
        <v>0.82621771435310765</v>
      </c>
      <c r="AM23" s="450">
        <v>45919</v>
      </c>
      <c r="AN23" s="451">
        <v>225.28</v>
      </c>
      <c r="AO23" s="451">
        <v>1431846</v>
      </c>
      <c r="AP23" s="451">
        <v>235.94811999999999</v>
      </c>
      <c r="AQ23" s="451">
        <v>53154.392473599997</v>
      </c>
      <c r="AR23" s="451">
        <v>0.61739999999999995</v>
      </c>
    </row>
    <row r="24" spans="2:44">
      <c r="B24" s="452">
        <v>45805</v>
      </c>
      <c r="C24" s="448">
        <v>9.0338999999999992</v>
      </c>
      <c r="D24" s="448">
        <v>7.8487</v>
      </c>
      <c r="E24" s="448">
        <v>5.9911000000000003</v>
      </c>
      <c r="F24" s="448">
        <v>18.586400000000001</v>
      </c>
      <c r="G24" s="448">
        <v>15.2721</v>
      </c>
      <c r="H24" s="448">
        <v>9.7182999999999993</v>
      </c>
      <c r="I24" s="452">
        <v>45805</v>
      </c>
      <c r="J24" s="448">
        <v>11.3964</v>
      </c>
      <c r="K24" s="448">
        <v>12.119</v>
      </c>
      <c r="L24" s="448">
        <v>13.3224</v>
      </c>
      <c r="M24" s="448">
        <v>30.505800000000001</v>
      </c>
      <c r="N24" s="448">
        <v>38.093000000000004</v>
      </c>
      <c r="O24" s="448">
        <v>24.194600000000001</v>
      </c>
      <c r="P24" s="448"/>
      <c r="Q24" s="452">
        <v>45805</v>
      </c>
      <c r="R24" s="4">
        <v>209.85</v>
      </c>
      <c r="S24" s="4">
        <v>19544.95</v>
      </c>
      <c r="T24" s="4">
        <v>662.63</v>
      </c>
      <c r="U24" s="4">
        <v>1.4477406002069679</v>
      </c>
      <c r="V24" s="4">
        <v>1.7339765342559941</v>
      </c>
      <c r="W24" s="4">
        <v>0.81646910963799002</v>
      </c>
      <c r="Y24" s="448">
        <v>209.85</v>
      </c>
      <c r="Z24" s="4">
        <v>96.74</v>
      </c>
      <c r="AA24" s="4">
        <v>38.799999999999997</v>
      </c>
      <c r="AB24" s="4">
        <v>162.43</v>
      </c>
      <c r="AC24" s="4">
        <v>118.32</v>
      </c>
      <c r="AD24" s="4">
        <v>138.63999999999999</v>
      </c>
      <c r="AF24" s="4">
        <v>1.4477406002069679</v>
      </c>
      <c r="AG24" s="4">
        <v>0.57245990887034726</v>
      </c>
      <c r="AH24" s="4">
        <v>1.0773288907399694</v>
      </c>
      <c r="AI24" s="4">
        <v>1.1834608378870675</v>
      </c>
      <c r="AJ24" s="4">
        <v>3.9553121928716126</v>
      </c>
      <c r="AK24" s="4">
        <v>0.81754923929708678</v>
      </c>
      <c r="AM24" s="450">
        <v>45918</v>
      </c>
      <c r="AN24" s="451">
        <v>227.21</v>
      </c>
      <c r="AO24" s="451">
        <v>1285083</v>
      </c>
      <c r="AP24" s="451">
        <v>235.94811999999999</v>
      </c>
      <c r="AQ24" s="451">
        <v>53609.772345199999</v>
      </c>
      <c r="AR24" s="451">
        <v>0.62270000000000003</v>
      </c>
    </row>
    <row r="25" spans="2:44">
      <c r="B25" s="452">
        <v>45798</v>
      </c>
      <c r="C25" s="448">
        <v>9.0251000000000001</v>
      </c>
      <c r="D25" s="448">
        <v>7.7908999999999997</v>
      </c>
      <c r="E25" s="448">
        <v>5.9802</v>
      </c>
      <c r="F25" s="448">
        <v>18.7881</v>
      </c>
      <c r="G25" s="448">
        <v>15.505100000000001</v>
      </c>
      <c r="H25" s="448">
        <v>9.7643000000000004</v>
      </c>
      <c r="I25" s="452">
        <v>45798</v>
      </c>
      <c r="J25" s="448">
        <v>11.3786</v>
      </c>
      <c r="K25" s="448">
        <v>12.0075</v>
      </c>
      <c r="L25" s="448">
        <v>13.288</v>
      </c>
      <c r="M25" s="448">
        <v>30.836400000000001</v>
      </c>
      <c r="N25" s="448">
        <v>38.8367</v>
      </c>
      <c r="O25" s="448">
        <v>24.321999999999999</v>
      </c>
      <c r="P25" s="448"/>
      <c r="Q25" s="452">
        <v>45798</v>
      </c>
      <c r="R25" s="4">
        <v>206.57</v>
      </c>
      <c r="S25" s="4">
        <v>18276.41</v>
      </c>
      <c r="T25" s="4">
        <v>659.89</v>
      </c>
      <c r="U25" s="4">
        <v>1.4251121076233184</v>
      </c>
      <c r="V25" s="4">
        <v>1.621435003437798</v>
      </c>
      <c r="W25" s="4">
        <v>0.81309297912713463</v>
      </c>
      <c r="Y25" s="448">
        <v>206.57</v>
      </c>
      <c r="Z25" s="4">
        <v>95.85</v>
      </c>
      <c r="AA25" s="4">
        <v>38.700000000000003</v>
      </c>
      <c r="AB25" s="4">
        <v>164.19</v>
      </c>
      <c r="AC25" s="4">
        <v>120.63</v>
      </c>
      <c r="AD25" s="4">
        <v>139.37</v>
      </c>
      <c r="AF25" s="4">
        <v>1.4251121076233184</v>
      </c>
      <c r="AG25" s="4">
        <v>0.56719332504881936</v>
      </c>
      <c r="AH25" s="4">
        <v>1.0745522698875469</v>
      </c>
      <c r="AI25" s="4">
        <v>1.1962841530054644</v>
      </c>
      <c r="AJ25" s="4">
        <v>4.0325330445072902</v>
      </c>
      <c r="AK25" s="4">
        <v>0.82185399221606315</v>
      </c>
      <c r="AM25" s="450">
        <v>45917</v>
      </c>
      <c r="AN25" s="451">
        <v>233.13</v>
      </c>
      <c r="AO25" s="451">
        <v>1409797</v>
      </c>
      <c r="AP25" s="451">
        <v>235.94811999999999</v>
      </c>
      <c r="AQ25" s="451">
        <v>55006.585215599996</v>
      </c>
      <c r="AR25" s="451">
        <v>0.63890000000000002</v>
      </c>
    </row>
    <row r="26" spans="2:44">
      <c r="B26" s="452">
        <v>45791</v>
      </c>
      <c r="C26" s="448">
        <v>9.4116999999999997</v>
      </c>
      <c r="D26" s="448">
        <v>8.0373999999999999</v>
      </c>
      <c r="E26" s="448">
        <v>6.0019</v>
      </c>
      <c r="F26" s="448">
        <v>19.642600000000002</v>
      </c>
      <c r="G26" s="448">
        <v>16.220199999999998</v>
      </c>
      <c r="H26" s="448">
        <v>10.301500000000001</v>
      </c>
      <c r="I26" s="452">
        <v>45791</v>
      </c>
      <c r="J26" s="448">
        <v>12.1653</v>
      </c>
      <c r="K26" s="448">
        <v>12.483499999999999</v>
      </c>
      <c r="L26" s="448">
        <v>13.3567</v>
      </c>
      <c r="M26" s="448">
        <v>32.237400000000001</v>
      </c>
      <c r="N26" s="448">
        <v>41.119300000000003</v>
      </c>
      <c r="O26" s="448">
        <v>25.808900000000001</v>
      </c>
      <c r="P26" s="448"/>
      <c r="Q26" s="452">
        <v>45791</v>
      </c>
      <c r="R26" s="4">
        <v>207.35</v>
      </c>
      <c r="S26" s="4">
        <v>18830.23</v>
      </c>
      <c r="T26" s="4">
        <v>662.14</v>
      </c>
      <c r="U26" s="4">
        <v>1.430493273542601</v>
      </c>
      <c r="V26" s="4">
        <v>1.6705684565395791</v>
      </c>
      <c r="W26" s="4">
        <v>0.81586534907218011</v>
      </c>
      <c r="Y26" s="448">
        <v>207.35</v>
      </c>
      <c r="Z26" s="4">
        <v>99.65</v>
      </c>
      <c r="AA26" s="4">
        <v>38.9</v>
      </c>
      <c r="AB26" s="4">
        <v>171.65</v>
      </c>
      <c r="AC26" s="4">
        <v>127.72</v>
      </c>
      <c r="AD26" s="4">
        <v>147.88999999999999</v>
      </c>
      <c r="AF26" s="4">
        <v>1.430493273542601</v>
      </c>
      <c r="AG26" s="4">
        <v>0.58967986271377004</v>
      </c>
      <c r="AH26" s="4">
        <v>1.0801055115923921</v>
      </c>
      <c r="AI26" s="4">
        <v>1.2506375227686704</v>
      </c>
      <c r="AJ26" s="4">
        <v>4.2695442298306485</v>
      </c>
      <c r="AK26" s="4">
        <v>0.8720957660101426</v>
      </c>
      <c r="AM26" s="450">
        <v>45916</v>
      </c>
      <c r="AN26" s="451">
        <v>227.72</v>
      </c>
      <c r="AO26" s="451">
        <v>1317998</v>
      </c>
      <c r="AP26" s="451">
        <v>235.94811999999999</v>
      </c>
      <c r="AQ26" s="451">
        <v>53730.105886400001</v>
      </c>
      <c r="AR26" s="451">
        <v>0.62409999999999999</v>
      </c>
    </row>
    <row r="27" spans="2:44">
      <c r="B27" s="452">
        <v>45784</v>
      </c>
      <c r="C27" s="448">
        <v>8.9929000000000006</v>
      </c>
      <c r="D27" s="448">
        <v>7.6736000000000004</v>
      </c>
      <c r="E27" s="448">
        <v>5.7687999999999997</v>
      </c>
      <c r="F27" s="448">
        <v>17.802900000000001</v>
      </c>
      <c r="G27" s="448">
        <v>14.3805</v>
      </c>
      <c r="H27" s="448">
        <v>9.3595000000000006</v>
      </c>
      <c r="I27" s="452">
        <v>45784</v>
      </c>
      <c r="J27" s="448">
        <v>11.313000000000001</v>
      </c>
      <c r="K27" s="448">
        <v>11.7707</v>
      </c>
      <c r="L27" s="448">
        <v>12.618499999999999</v>
      </c>
      <c r="M27" s="448">
        <v>29.2212</v>
      </c>
      <c r="N27" s="448">
        <v>35.246899999999997</v>
      </c>
      <c r="O27" s="448">
        <v>23.201599999999999</v>
      </c>
      <c r="P27" s="448"/>
      <c r="Q27" s="452">
        <v>45784</v>
      </c>
      <c r="R27" s="4">
        <v>198.07</v>
      </c>
      <c r="S27" s="4">
        <v>17090.400000000001</v>
      </c>
      <c r="T27" s="4">
        <v>629.88</v>
      </c>
      <c r="U27" s="4">
        <v>1.3664711969644705</v>
      </c>
      <c r="V27" s="4">
        <v>1.5162153170536963</v>
      </c>
      <c r="W27" s="4">
        <v>0.77611572488232827</v>
      </c>
      <c r="Y27" s="448">
        <v>198.07</v>
      </c>
      <c r="Z27" s="4">
        <v>93.96</v>
      </c>
      <c r="AA27" s="4">
        <v>36.75</v>
      </c>
      <c r="AB27" s="4">
        <v>155.59</v>
      </c>
      <c r="AC27" s="4">
        <v>109.48</v>
      </c>
      <c r="AD27" s="4">
        <v>132.94999999999999</v>
      </c>
      <c r="AF27" s="4">
        <v>1.3664711969644705</v>
      </c>
      <c r="AG27" s="4">
        <v>0.55600923131546243</v>
      </c>
      <c r="AH27" s="4">
        <v>1.0204081632653061</v>
      </c>
      <c r="AI27" s="4">
        <v>1.1336247723132968</v>
      </c>
      <c r="AJ27" s="4">
        <v>3.6598003623697108</v>
      </c>
      <c r="AK27" s="4">
        <v>0.78399575421629897</v>
      </c>
      <c r="AM27" s="450">
        <v>45915</v>
      </c>
      <c r="AN27" s="451">
        <v>227.26</v>
      </c>
      <c r="AO27" s="451">
        <v>1798722</v>
      </c>
      <c r="AP27" s="451">
        <v>235.8991</v>
      </c>
      <c r="AQ27" s="451">
        <v>53610.429466000001</v>
      </c>
      <c r="AR27" s="451">
        <v>0.62280000000000002</v>
      </c>
    </row>
    <row r="28" spans="2:44">
      <c r="B28" s="452">
        <v>45777</v>
      </c>
      <c r="C28" s="448">
        <v>8.8580000000000005</v>
      </c>
      <c r="D28" s="448">
        <v>7.7606000000000002</v>
      </c>
      <c r="E28" s="448">
        <v>5.8738999999999999</v>
      </c>
      <c r="F28" s="448">
        <v>17.6066</v>
      </c>
      <c r="G28" s="448">
        <v>14.039899999999999</v>
      </c>
      <c r="H28" s="448">
        <v>9.2101000000000006</v>
      </c>
      <c r="I28" s="452">
        <v>45777</v>
      </c>
      <c r="J28" s="448">
        <v>11.038500000000001</v>
      </c>
      <c r="K28" s="448">
        <v>11.938599999999999</v>
      </c>
      <c r="L28" s="448">
        <v>12.951499999999999</v>
      </c>
      <c r="M28" s="448">
        <v>28.787400000000002</v>
      </c>
      <c r="N28" s="448">
        <v>34.165199999999999</v>
      </c>
      <c r="O28" s="448">
        <v>22.788</v>
      </c>
      <c r="P28" s="448"/>
      <c r="Q28" s="452">
        <v>45777</v>
      </c>
      <c r="R28" s="4">
        <v>241.98</v>
      </c>
      <c r="S28" s="4">
        <v>19436.419999999998</v>
      </c>
      <c r="T28" s="4">
        <v>755.09</v>
      </c>
      <c r="U28" s="4">
        <v>1.669403242497413</v>
      </c>
      <c r="V28" s="4">
        <v>1.7243480382371856</v>
      </c>
      <c r="W28" s="4">
        <v>0.9303950319130585</v>
      </c>
      <c r="Y28" s="448">
        <v>241.98</v>
      </c>
      <c r="Z28" s="4">
        <v>95.3</v>
      </c>
      <c r="AA28" s="4">
        <v>37.72</v>
      </c>
      <c r="AB28" s="4">
        <v>153.28</v>
      </c>
      <c r="AC28" s="4">
        <v>106.12</v>
      </c>
      <c r="AD28" s="4">
        <v>130.58000000000001</v>
      </c>
      <c r="AF28" s="4">
        <v>1.669403242497413</v>
      </c>
      <c r="AG28" s="4">
        <v>0.56393869459731338</v>
      </c>
      <c r="AH28" s="4">
        <v>1.0473413855338054</v>
      </c>
      <c r="AI28" s="4">
        <v>1.1167941712204008</v>
      </c>
      <c r="AJ28" s="4">
        <v>3.5474791236269065</v>
      </c>
      <c r="AK28" s="4">
        <v>0.77002004953414316</v>
      </c>
      <c r="AM28" s="450">
        <v>45914</v>
      </c>
      <c r="AN28" s="451">
        <v>227.26</v>
      </c>
      <c r="AO28" s="451">
        <v>1798722</v>
      </c>
      <c r="AP28" s="451">
        <v>235.8991</v>
      </c>
      <c r="AQ28" s="451">
        <v>53610.429466000001</v>
      </c>
      <c r="AR28" s="451">
        <v>0.62280000000000002</v>
      </c>
    </row>
    <row r="29" spans="2:44">
      <c r="B29" s="452">
        <v>45770</v>
      </c>
      <c r="C29" s="448">
        <v>8.8763000000000005</v>
      </c>
      <c r="D29" s="448">
        <v>7.8845999999999998</v>
      </c>
      <c r="E29" s="448">
        <v>5.7882999999999996</v>
      </c>
      <c r="F29" s="448">
        <v>17.6008</v>
      </c>
      <c r="G29" s="448">
        <v>13.418699999999999</v>
      </c>
      <c r="H29" s="448">
        <v>9.2636000000000003</v>
      </c>
      <c r="I29" s="452">
        <v>45770</v>
      </c>
      <c r="J29" s="448">
        <v>11.075699999999999</v>
      </c>
      <c r="K29" s="448">
        <v>12.177899999999999</v>
      </c>
      <c r="L29" s="448">
        <v>12.680300000000001</v>
      </c>
      <c r="M29" s="448">
        <v>28.777999999999999</v>
      </c>
      <c r="N29" s="448">
        <v>32.182000000000002</v>
      </c>
      <c r="O29" s="448">
        <v>22.749600000000001</v>
      </c>
      <c r="P29" s="448"/>
      <c r="Q29" s="452">
        <v>45770</v>
      </c>
      <c r="R29" s="4">
        <v>241.07</v>
      </c>
      <c r="S29" s="4">
        <v>20287.830000000002</v>
      </c>
      <c r="T29" s="4">
        <v>752.43</v>
      </c>
      <c r="U29" s="4">
        <v>1.6631252155915834</v>
      </c>
      <c r="V29" s="4">
        <v>1.7998828930733917</v>
      </c>
      <c r="W29" s="4">
        <v>0.92711747455580462</v>
      </c>
      <c r="Y29" s="448">
        <v>241.07</v>
      </c>
      <c r="Z29" s="4">
        <v>97.21</v>
      </c>
      <c r="AA29" s="4">
        <v>36.93</v>
      </c>
      <c r="AB29" s="4">
        <v>153.22999999999999</v>
      </c>
      <c r="AC29" s="4">
        <v>99.96</v>
      </c>
      <c r="AD29" s="4">
        <v>130.36000000000001</v>
      </c>
      <c r="AF29" s="4">
        <v>1.6631252155915834</v>
      </c>
      <c r="AG29" s="4">
        <v>0.57524113852890701</v>
      </c>
      <c r="AH29" s="4">
        <v>1.0254060807996668</v>
      </c>
      <c r="AI29" s="4">
        <v>1.1164298724954462</v>
      </c>
      <c r="AJ29" s="4">
        <v>3.3415568525984312</v>
      </c>
      <c r="AK29" s="4">
        <v>0.76872272673664355</v>
      </c>
      <c r="AM29" s="450">
        <v>45913</v>
      </c>
      <c r="AN29" s="451">
        <v>227.26</v>
      </c>
      <c r="AO29" s="451">
        <v>1798722</v>
      </c>
      <c r="AP29" s="451">
        <v>235.8991</v>
      </c>
      <c r="AQ29" s="451">
        <v>53610.429466000001</v>
      </c>
      <c r="AR29" s="451">
        <v>0.62280000000000002</v>
      </c>
    </row>
    <row r="30" spans="2:44">
      <c r="B30" s="452">
        <v>45763</v>
      </c>
      <c r="C30" s="448">
        <v>8.6834000000000007</v>
      </c>
      <c r="D30" s="448">
        <v>7.6891999999999996</v>
      </c>
      <c r="E30" s="448">
        <v>5.6593</v>
      </c>
      <c r="F30" s="448">
        <v>17.013999999999999</v>
      </c>
      <c r="G30" s="448">
        <v>12.7662</v>
      </c>
      <c r="H30" s="448">
        <v>8.9056999999999995</v>
      </c>
      <c r="I30" s="452">
        <v>45763</v>
      </c>
      <c r="J30" s="448">
        <v>10.683199999999999</v>
      </c>
      <c r="K30" s="448">
        <v>11.800800000000001</v>
      </c>
      <c r="L30" s="448">
        <v>12.271699999999999</v>
      </c>
      <c r="M30" s="448">
        <v>27.767600000000002</v>
      </c>
      <c r="N30" s="448">
        <v>30.099</v>
      </c>
      <c r="O30" s="448">
        <v>21.767099999999999</v>
      </c>
      <c r="P30" s="448"/>
      <c r="Q30" s="452">
        <v>45763</v>
      </c>
      <c r="R30" s="4">
        <v>245.8</v>
      </c>
      <c r="S30" s="4">
        <v>19483.36</v>
      </c>
      <c r="T30" s="4">
        <v>786.92</v>
      </c>
      <c r="U30" s="4">
        <v>1.6957571576405659</v>
      </c>
      <c r="V30" s="4">
        <v>1.7285124315212812</v>
      </c>
      <c r="W30" s="4">
        <v>0.96961482540230159</v>
      </c>
      <c r="Y30" s="448">
        <v>245.8</v>
      </c>
      <c r="Z30" s="4">
        <v>94.2</v>
      </c>
      <c r="AA30" s="4">
        <v>35.74</v>
      </c>
      <c r="AB30" s="4">
        <v>147.85</v>
      </c>
      <c r="AC30" s="4">
        <v>93.49</v>
      </c>
      <c r="AD30" s="4">
        <v>124.73</v>
      </c>
      <c r="AF30" s="4">
        <v>1.6957571576405659</v>
      </c>
      <c r="AG30" s="4">
        <v>0.55742943369430142</v>
      </c>
      <c r="AH30" s="4">
        <v>0.99236429265583792</v>
      </c>
      <c r="AI30" s="4">
        <v>1.077231329690346</v>
      </c>
      <c r="AJ30" s="4">
        <v>3.1252716101383289</v>
      </c>
      <c r="AK30" s="4">
        <v>0.73552305696426468</v>
      </c>
      <c r="AM30" s="450">
        <v>45912</v>
      </c>
      <c r="AN30" s="451">
        <v>231.07</v>
      </c>
      <c r="AO30" s="451">
        <v>1617204</v>
      </c>
      <c r="AP30" s="451">
        <v>235.8991</v>
      </c>
      <c r="AQ30" s="451">
        <v>54509.205037</v>
      </c>
      <c r="AR30" s="451">
        <v>0.63319999999999999</v>
      </c>
    </row>
    <row r="31" spans="2:44">
      <c r="B31" s="452">
        <v>45756</v>
      </c>
      <c r="C31" s="448">
        <v>9.0542999999999996</v>
      </c>
      <c r="D31" s="448">
        <v>8.0436999999999994</v>
      </c>
      <c r="E31" s="448">
        <v>5.6483999999999996</v>
      </c>
      <c r="F31" s="448">
        <v>19.046399999999998</v>
      </c>
      <c r="G31" s="448">
        <v>13.9834</v>
      </c>
      <c r="H31" s="448">
        <v>9.9812999999999992</v>
      </c>
      <c r="I31" s="452">
        <v>45756</v>
      </c>
      <c r="J31" s="448">
        <v>11.437900000000001</v>
      </c>
      <c r="K31" s="448">
        <v>12.4848</v>
      </c>
      <c r="L31" s="448">
        <v>12.237399999999999</v>
      </c>
      <c r="M31" s="448">
        <v>31.080500000000001</v>
      </c>
      <c r="N31" s="448">
        <v>33.984900000000003</v>
      </c>
      <c r="O31" s="448">
        <v>24.719899999999999</v>
      </c>
      <c r="P31" s="448"/>
      <c r="Q31" s="452">
        <v>45756</v>
      </c>
      <c r="R31" s="4">
        <v>242.96</v>
      </c>
      <c r="S31" s="4">
        <v>19376.96</v>
      </c>
      <c r="T31" s="4">
        <v>774.59</v>
      </c>
      <c r="U31" s="4">
        <v>1.6761641945498449</v>
      </c>
      <c r="V31" s="4">
        <v>1.7190729034976822</v>
      </c>
      <c r="W31" s="4">
        <v>0.9544222381034525</v>
      </c>
      <c r="Y31" s="448">
        <v>242.96</v>
      </c>
      <c r="Z31" s="4">
        <v>99.66</v>
      </c>
      <c r="AA31" s="4">
        <v>35.64</v>
      </c>
      <c r="AB31" s="4">
        <v>165.49</v>
      </c>
      <c r="AC31" s="4">
        <v>105.56</v>
      </c>
      <c r="AD31" s="4">
        <v>141.65</v>
      </c>
      <c r="AF31" s="4">
        <v>1.6761641945498449</v>
      </c>
      <c r="AG31" s="4">
        <v>0.58973903781288828</v>
      </c>
      <c r="AH31" s="4">
        <v>0.98958767180341523</v>
      </c>
      <c r="AI31" s="4">
        <v>1.2057559198542807</v>
      </c>
      <c r="AJ31" s="4">
        <v>3.528758917169772</v>
      </c>
      <c r="AK31" s="4">
        <v>0.83529897393560559</v>
      </c>
      <c r="AM31" s="450">
        <v>45911</v>
      </c>
      <c r="AN31" s="451">
        <v>230.5</v>
      </c>
      <c r="AO31" s="451">
        <v>3386999</v>
      </c>
      <c r="AP31" s="451">
        <v>235.8991</v>
      </c>
      <c r="AQ31" s="451">
        <v>54374.742550000003</v>
      </c>
      <c r="AR31" s="451">
        <v>0.63170000000000004</v>
      </c>
    </row>
    <row r="32" spans="2:44">
      <c r="B32" s="452">
        <v>45749</v>
      </c>
      <c r="C32" s="448">
        <v>9.7566000000000006</v>
      </c>
      <c r="D32" s="448">
        <v>8.7279</v>
      </c>
      <c r="E32" s="448">
        <v>6.0377000000000001</v>
      </c>
      <c r="F32" s="448">
        <v>19.577500000000001</v>
      </c>
      <c r="G32" s="448">
        <v>14.5114</v>
      </c>
      <c r="H32" s="448">
        <v>10.6889</v>
      </c>
      <c r="I32" s="452">
        <v>45749</v>
      </c>
      <c r="J32" s="448">
        <v>12.866899999999999</v>
      </c>
      <c r="K32" s="448">
        <v>13.805199999999999</v>
      </c>
      <c r="L32" s="448">
        <v>13.47</v>
      </c>
      <c r="M32" s="448">
        <v>31.946300000000001</v>
      </c>
      <c r="N32" s="448">
        <v>35.836100000000002</v>
      </c>
      <c r="O32" s="448">
        <v>26.662199999999999</v>
      </c>
      <c r="P32" s="448"/>
      <c r="Q32" s="452">
        <v>45749</v>
      </c>
      <c r="R32" s="4">
        <v>247.74</v>
      </c>
      <c r="S32" s="4">
        <v>20352.53</v>
      </c>
      <c r="T32" s="4">
        <v>781.61</v>
      </c>
      <c r="U32" s="4">
        <v>1.7091410831321148</v>
      </c>
      <c r="V32" s="4">
        <v>1.8056229068245835</v>
      </c>
      <c r="W32" s="4">
        <v>0.96307203233199434</v>
      </c>
      <c r="Y32" s="448">
        <v>247.74</v>
      </c>
      <c r="Z32" s="4">
        <v>110.2</v>
      </c>
      <c r="AA32" s="4">
        <v>39.229999999999997</v>
      </c>
      <c r="AB32" s="4">
        <v>170.1</v>
      </c>
      <c r="AC32" s="4">
        <v>111.31</v>
      </c>
      <c r="AD32" s="4">
        <v>152.78</v>
      </c>
      <c r="AF32" s="4">
        <v>1.7091410831321148</v>
      </c>
      <c r="AG32" s="4">
        <v>0.65210959228356702</v>
      </c>
      <c r="AH32" s="4">
        <v>1.0892683604053865</v>
      </c>
      <c r="AI32" s="4">
        <v>1.2393442622950819</v>
      </c>
      <c r="AJ32" s="4">
        <v>3.7209753227564168</v>
      </c>
      <c r="AK32" s="4">
        <v>0.90093171364547697</v>
      </c>
      <c r="AM32" s="450">
        <v>45910</v>
      </c>
      <c r="AN32" s="451">
        <v>230.42</v>
      </c>
      <c r="AO32" s="451">
        <v>1921125</v>
      </c>
      <c r="AP32" s="451">
        <v>235.8991</v>
      </c>
      <c r="AQ32" s="451">
        <v>54355.870621999995</v>
      </c>
      <c r="AR32" s="451">
        <v>0.63149999999999995</v>
      </c>
    </row>
    <row r="33" spans="2:44">
      <c r="B33" s="452">
        <v>45742</v>
      </c>
      <c r="C33" s="448">
        <v>9.7179000000000002</v>
      </c>
      <c r="D33" s="448">
        <v>8.7297999999999991</v>
      </c>
      <c r="E33" s="448">
        <v>6.2558999999999996</v>
      </c>
      <c r="F33" s="448">
        <v>19.014099999999999</v>
      </c>
      <c r="G33" s="448">
        <v>14.6821</v>
      </c>
      <c r="H33" s="448">
        <v>10.834</v>
      </c>
      <c r="I33" s="452">
        <v>45742</v>
      </c>
      <c r="J33" s="448">
        <v>12.7882</v>
      </c>
      <c r="K33" s="448">
        <v>14.042999999999999</v>
      </c>
      <c r="L33" s="448">
        <v>14.065099999999999</v>
      </c>
      <c r="M33" s="448">
        <v>30.831299999999999</v>
      </c>
      <c r="N33" s="448">
        <v>34.820900000000002</v>
      </c>
      <c r="O33" s="448">
        <v>26.171800000000001</v>
      </c>
      <c r="P33" s="448"/>
      <c r="Q33" s="452">
        <v>45742</v>
      </c>
      <c r="R33" s="4">
        <v>256.48</v>
      </c>
      <c r="S33" s="4">
        <v>21087.25</v>
      </c>
      <c r="T33" s="4">
        <v>795.59</v>
      </c>
      <c r="U33" s="4">
        <v>1.7694377371507419</v>
      </c>
      <c r="V33" s="4">
        <v>1.8708053319138553</v>
      </c>
      <c r="W33" s="4">
        <v>0.98029769092387686</v>
      </c>
      <c r="Y33" s="448">
        <v>256.48</v>
      </c>
      <c r="Z33" s="4">
        <v>111.01</v>
      </c>
      <c r="AA33" s="4">
        <v>40.26</v>
      </c>
      <c r="AB33" s="4">
        <v>168.67</v>
      </c>
      <c r="AC33" s="4">
        <v>110.87</v>
      </c>
      <c r="AD33" s="4">
        <v>151.38999999999999</v>
      </c>
      <c r="AF33" s="4">
        <v>1.7694377371507419</v>
      </c>
      <c r="AG33" s="4">
        <v>0.65690277531214869</v>
      </c>
      <c r="AH33" s="4">
        <v>1.1178675551853394</v>
      </c>
      <c r="AI33" s="4">
        <v>1.2289253187613842</v>
      </c>
      <c r="AJ33" s="4">
        <v>3.7062665891115256</v>
      </c>
      <c r="AK33" s="4">
        <v>0.89273499233400155</v>
      </c>
      <c r="AM33" s="450">
        <v>45909</v>
      </c>
      <c r="AN33" s="451">
        <v>224.61</v>
      </c>
      <c r="AO33" s="451">
        <v>1522397</v>
      </c>
      <c r="AP33" s="451">
        <v>235.8991</v>
      </c>
      <c r="AQ33" s="451">
        <v>52985.296851000006</v>
      </c>
      <c r="AR33" s="451">
        <v>0.61550000000000005</v>
      </c>
    </row>
    <row r="34" spans="2:44">
      <c r="B34" s="452">
        <v>45735</v>
      </c>
      <c r="C34" s="448">
        <v>9.8401999999999994</v>
      </c>
      <c r="D34" s="448">
        <v>9.1510999999999996</v>
      </c>
      <c r="E34" s="448">
        <v>6.5408999999999997</v>
      </c>
      <c r="F34" s="448">
        <v>18.312999999999999</v>
      </c>
      <c r="G34" s="448">
        <v>14.7484</v>
      </c>
      <c r="H34" s="448">
        <v>10.561500000000001</v>
      </c>
      <c r="I34" s="452">
        <v>45735</v>
      </c>
      <c r="J34" s="448">
        <v>12.9693</v>
      </c>
      <c r="K34" s="448">
        <v>14.860200000000001</v>
      </c>
      <c r="L34" s="448">
        <v>14.9735</v>
      </c>
      <c r="M34" s="448">
        <v>29.692499999999999</v>
      </c>
      <c r="N34" s="448">
        <v>35.024999999999999</v>
      </c>
      <c r="O34" s="448">
        <v>25.421500000000002</v>
      </c>
      <c r="P34" s="448"/>
      <c r="Q34" s="452">
        <v>45735</v>
      </c>
      <c r="R34" s="4">
        <v>267.45</v>
      </c>
      <c r="S34" s="4">
        <v>22164.61</v>
      </c>
      <c r="T34" s="4">
        <v>798.23</v>
      </c>
      <c r="U34" s="4">
        <v>1.8451190065539842</v>
      </c>
      <c r="V34" s="4">
        <v>1.966385876194912</v>
      </c>
      <c r="W34" s="4">
        <v>0.98355060499273017</v>
      </c>
      <c r="Y34" s="448">
        <v>267.45</v>
      </c>
      <c r="Z34" s="4">
        <v>117.47</v>
      </c>
      <c r="AA34" s="4">
        <v>42.86</v>
      </c>
      <c r="AB34" s="4">
        <v>162.44</v>
      </c>
      <c r="AC34" s="4">
        <v>111.52</v>
      </c>
      <c r="AD34" s="4">
        <v>147.05000000000001</v>
      </c>
      <c r="AF34" s="4">
        <v>1.8451190065539842</v>
      </c>
      <c r="AG34" s="4">
        <v>0.69512988934256459</v>
      </c>
      <c r="AH34" s="4">
        <v>1.1900596973483271</v>
      </c>
      <c r="AI34" s="4">
        <v>1.1835336976320583</v>
      </c>
      <c r="AJ34" s="4">
        <v>3.7279954001778419</v>
      </c>
      <c r="AK34" s="4">
        <v>0.8671423516924166</v>
      </c>
      <c r="AM34" s="450">
        <v>45908</v>
      </c>
      <c r="AN34" s="451">
        <v>228.05</v>
      </c>
      <c r="AO34" s="451">
        <v>1325116</v>
      </c>
      <c r="AP34" s="451">
        <v>235.8991</v>
      </c>
      <c r="AQ34" s="451">
        <v>53796.789755000005</v>
      </c>
      <c r="AR34" s="451">
        <v>0.625</v>
      </c>
    </row>
    <row r="35" spans="2:44">
      <c r="B35" s="452">
        <v>45728</v>
      </c>
      <c r="C35" s="448">
        <v>9.7466000000000008</v>
      </c>
      <c r="D35" s="448">
        <v>9.07</v>
      </c>
      <c r="E35" s="448">
        <v>6.3819999999999997</v>
      </c>
      <c r="F35" s="448">
        <v>18.549299999999999</v>
      </c>
      <c r="G35" s="448">
        <v>14.4953</v>
      </c>
      <c r="H35" s="448">
        <v>11.026199999999999</v>
      </c>
      <c r="I35" s="452">
        <v>45728</v>
      </c>
      <c r="J35" s="448">
        <v>12.7798</v>
      </c>
      <c r="K35" s="448">
        <v>14.5806</v>
      </c>
      <c r="L35" s="448">
        <v>14.466900000000001</v>
      </c>
      <c r="M35" s="448">
        <v>30.0764</v>
      </c>
      <c r="N35" s="448">
        <v>34.246099999999998</v>
      </c>
      <c r="O35" s="448">
        <v>26.700800000000001</v>
      </c>
      <c r="P35" s="448"/>
      <c r="Q35" s="452">
        <v>45728</v>
      </c>
      <c r="R35" s="4">
        <v>261.26</v>
      </c>
      <c r="S35" s="4">
        <v>21693.52</v>
      </c>
      <c r="T35" s="4">
        <v>785.06</v>
      </c>
      <c r="U35" s="4">
        <v>1.8024146257330114</v>
      </c>
      <c r="V35" s="4">
        <v>1.9245920110009538</v>
      </c>
      <c r="W35" s="4">
        <v>0.96732299958106394</v>
      </c>
      <c r="Y35" s="448">
        <v>261.26</v>
      </c>
      <c r="Z35" s="4">
        <v>115.26</v>
      </c>
      <c r="AA35" s="4">
        <v>41.41</v>
      </c>
      <c r="AB35" s="4">
        <v>164.54</v>
      </c>
      <c r="AC35" s="4">
        <v>109.04</v>
      </c>
      <c r="AD35" s="4">
        <v>154.44999999999999</v>
      </c>
      <c r="AF35" s="4">
        <v>1.8024146257330114</v>
      </c>
      <c r="AG35" s="4">
        <v>0.68205219243742232</v>
      </c>
      <c r="AH35" s="4">
        <v>1.1497986949881993</v>
      </c>
      <c r="AI35" s="4">
        <v>1.1988342440801456</v>
      </c>
      <c r="AJ35" s="4">
        <v>3.6450916287248196</v>
      </c>
      <c r="AK35" s="4">
        <v>0.91077957306286106</v>
      </c>
      <c r="AM35" s="450">
        <v>45907</v>
      </c>
      <c r="AN35" s="451">
        <v>228.05</v>
      </c>
      <c r="AO35" s="451">
        <v>1325116</v>
      </c>
      <c r="AP35" s="451">
        <v>235.8991</v>
      </c>
      <c r="AQ35" s="451">
        <v>53796.789755000005</v>
      </c>
      <c r="AR35" s="451">
        <v>0.625</v>
      </c>
    </row>
    <row r="36" spans="2:44">
      <c r="B36" s="452">
        <v>45721</v>
      </c>
      <c r="C36" s="448">
        <v>9.9253999999999998</v>
      </c>
      <c r="D36" s="448">
        <v>9.3172999999999995</v>
      </c>
      <c r="E36" s="448">
        <v>6.1047000000000002</v>
      </c>
      <c r="F36" s="448">
        <v>19.897600000000001</v>
      </c>
      <c r="G36" s="448">
        <v>14.8719</v>
      </c>
      <c r="H36" s="448">
        <v>11.3773</v>
      </c>
      <c r="I36" s="452">
        <v>45721</v>
      </c>
      <c r="J36" s="448">
        <v>13.1419</v>
      </c>
      <c r="K36" s="448">
        <v>15.0563</v>
      </c>
      <c r="L36" s="448">
        <v>13.583</v>
      </c>
      <c r="M36" s="448">
        <v>32.266199999999998</v>
      </c>
      <c r="N36" s="448">
        <v>35.405099999999997</v>
      </c>
      <c r="O36" s="448">
        <v>27.667200000000001</v>
      </c>
      <c r="P36" s="448"/>
      <c r="Q36" s="452">
        <v>45721</v>
      </c>
      <c r="R36" s="4">
        <v>250.95</v>
      </c>
      <c r="S36" s="4">
        <v>21566.92</v>
      </c>
      <c r="T36" s="4">
        <v>764.58</v>
      </c>
      <c r="U36" s="4">
        <v>1.7312866505691618</v>
      </c>
      <c r="V36" s="4">
        <v>1.9133603921307691</v>
      </c>
      <c r="W36" s="4">
        <v>0.94208827225905023</v>
      </c>
      <c r="Y36" s="448">
        <v>250.95</v>
      </c>
      <c r="Z36" s="4">
        <v>119.02</v>
      </c>
      <c r="AA36" s="4">
        <v>38.880000000000003</v>
      </c>
      <c r="AB36" s="4">
        <v>176.52</v>
      </c>
      <c r="AC36" s="4">
        <v>112.73</v>
      </c>
      <c r="AD36" s="4">
        <v>160.04</v>
      </c>
      <c r="AF36" s="4">
        <v>1.7312866505691618</v>
      </c>
      <c r="AG36" s="4">
        <v>0.70430202970589972</v>
      </c>
      <c r="AH36" s="4">
        <v>1.0795501874219076</v>
      </c>
      <c r="AI36" s="4">
        <v>1.2861202185792351</v>
      </c>
      <c r="AJ36" s="4">
        <v>3.7684444177012923</v>
      </c>
      <c r="AK36" s="4">
        <v>0.94374336596296726</v>
      </c>
      <c r="AM36" s="450">
        <v>45906</v>
      </c>
      <c r="AN36" s="451">
        <v>228.05</v>
      </c>
      <c r="AO36" s="451">
        <v>1325116</v>
      </c>
      <c r="AP36" s="451">
        <v>235.8991</v>
      </c>
      <c r="AQ36" s="451">
        <v>53796.789755000005</v>
      </c>
      <c r="AR36" s="451">
        <v>0.625</v>
      </c>
    </row>
    <row r="37" spans="2:44">
      <c r="B37" s="452">
        <v>45714</v>
      </c>
      <c r="C37" s="448">
        <v>10.158099999999999</v>
      </c>
      <c r="D37" s="448">
        <v>9.1771999999999991</v>
      </c>
      <c r="E37" s="448">
        <v>5.9950999999999999</v>
      </c>
      <c r="F37" s="448">
        <v>19.804200000000002</v>
      </c>
      <c r="G37" s="448">
        <v>15.855499999999999</v>
      </c>
      <c r="H37" s="448">
        <v>11.3949</v>
      </c>
      <c r="I37" s="452">
        <v>45714</v>
      </c>
      <c r="J37" s="448">
        <v>13.922499999999999</v>
      </c>
      <c r="K37" s="448">
        <v>14.786799999999999</v>
      </c>
      <c r="L37" s="448">
        <v>13.233700000000001</v>
      </c>
      <c r="M37" s="448">
        <v>32.1145</v>
      </c>
      <c r="N37" s="448">
        <v>38.432699999999997</v>
      </c>
      <c r="O37" s="448">
        <v>27.715599999999998</v>
      </c>
      <c r="P37" s="448"/>
      <c r="Q37" s="452">
        <v>45714</v>
      </c>
      <c r="R37" s="4">
        <v>278.64999999999998</v>
      </c>
      <c r="S37" s="4">
        <v>21463.040000000001</v>
      </c>
      <c r="T37" s="4">
        <v>880.32</v>
      </c>
      <c r="U37" s="4">
        <v>1.9223870300103485</v>
      </c>
      <c r="V37" s="4">
        <v>1.9041444318761507</v>
      </c>
      <c r="W37" s="4">
        <v>1.0846989822321891</v>
      </c>
      <c r="Y37" s="448">
        <v>278.64999999999998</v>
      </c>
      <c r="Z37" s="4">
        <v>116.89</v>
      </c>
      <c r="AA37" s="4">
        <v>37.880000000000003</v>
      </c>
      <c r="AB37" s="4">
        <v>175.69</v>
      </c>
      <c r="AC37" s="4">
        <v>122.37</v>
      </c>
      <c r="AD37" s="4">
        <v>160.32</v>
      </c>
      <c r="AF37" s="4">
        <v>1.9223870300103485</v>
      </c>
      <c r="AG37" s="4">
        <v>0.69169773359370379</v>
      </c>
      <c r="AH37" s="4">
        <v>1.0517839788976815</v>
      </c>
      <c r="AI37" s="4">
        <v>1.2800728597449909</v>
      </c>
      <c r="AJ37" s="4">
        <v>4.0906994002848149</v>
      </c>
      <c r="AK37" s="4">
        <v>0.94539450406887593</v>
      </c>
      <c r="AM37" s="450">
        <v>45905</v>
      </c>
      <c r="AN37" s="451">
        <v>224.66</v>
      </c>
      <c r="AO37" s="451">
        <v>1454640</v>
      </c>
      <c r="AP37" s="451">
        <v>235.8991</v>
      </c>
      <c r="AQ37" s="451">
        <v>52997.091805999997</v>
      </c>
      <c r="AR37" s="451">
        <v>0.61570000000000003</v>
      </c>
    </row>
    <row r="38" spans="2:44">
      <c r="B38" s="452">
        <v>45707</v>
      </c>
      <c r="C38" s="448">
        <v>10.4381</v>
      </c>
      <c r="D38" s="448">
        <v>9.0530000000000008</v>
      </c>
      <c r="E38" s="448">
        <v>5.8186</v>
      </c>
      <c r="F38" s="448">
        <v>23.218599999999999</v>
      </c>
      <c r="G38" s="448">
        <v>17.389099999999999</v>
      </c>
      <c r="H38" s="448">
        <v>12.043100000000001</v>
      </c>
      <c r="I38" s="452">
        <v>45707</v>
      </c>
      <c r="J38" s="448">
        <v>14.5069</v>
      </c>
      <c r="K38" s="448">
        <v>14.547800000000001</v>
      </c>
      <c r="L38" s="448">
        <v>12.671200000000001</v>
      </c>
      <c r="M38" s="448">
        <v>37.492199999999997</v>
      </c>
      <c r="N38" s="448">
        <v>43.153100000000002</v>
      </c>
      <c r="O38" s="448">
        <v>29.259399999999999</v>
      </c>
      <c r="P38" s="448"/>
      <c r="Q38" s="452">
        <v>45707</v>
      </c>
      <c r="R38" s="4">
        <v>275.57</v>
      </c>
      <c r="S38" s="4">
        <v>21566.51</v>
      </c>
      <c r="T38" s="4">
        <v>865.16</v>
      </c>
      <c r="U38" s="4">
        <v>1.9011383235598482</v>
      </c>
      <c r="V38" s="4">
        <v>1.9133240180096256</v>
      </c>
      <c r="W38" s="4">
        <v>1.0660193696246827</v>
      </c>
      <c r="Y38" s="448">
        <v>275.57</v>
      </c>
      <c r="Z38" s="4">
        <v>115</v>
      </c>
      <c r="AA38" s="4">
        <v>36.270000000000003</v>
      </c>
      <c r="AB38" s="4">
        <v>205.11</v>
      </c>
      <c r="AC38" s="4">
        <v>137.4</v>
      </c>
      <c r="AD38" s="4">
        <v>169.25</v>
      </c>
      <c r="AF38" s="4">
        <v>1.9011383235598482</v>
      </c>
      <c r="AG38" s="4">
        <v>0.68051363986034674</v>
      </c>
      <c r="AH38" s="4">
        <v>1.0070803831736777</v>
      </c>
      <c r="AI38" s="4">
        <v>1.4944262295081969</v>
      </c>
      <c r="AJ38" s="4">
        <v>4.5931363700182519</v>
      </c>
      <c r="AK38" s="4">
        <v>0.99805401580375042</v>
      </c>
      <c r="AM38" s="450">
        <v>45904</v>
      </c>
      <c r="AN38" s="451">
        <v>226.45</v>
      </c>
      <c r="AO38" s="451">
        <v>2130714</v>
      </c>
      <c r="AP38" s="451">
        <v>235.8991</v>
      </c>
      <c r="AQ38" s="451">
        <v>53419.351194999996</v>
      </c>
      <c r="AR38" s="451">
        <v>0.62060000000000004</v>
      </c>
    </row>
    <row r="39" spans="2:44">
      <c r="B39" s="452">
        <v>45700</v>
      </c>
      <c r="C39" s="448">
        <v>10.328200000000001</v>
      </c>
      <c r="D39" s="448">
        <v>8.9971999999999994</v>
      </c>
      <c r="E39" s="448">
        <v>5.7496</v>
      </c>
      <c r="F39" s="448">
        <v>22.982299999999999</v>
      </c>
      <c r="G39" s="448">
        <v>18.145299999999999</v>
      </c>
      <c r="H39" s="448">
        <v>11.750500000000001</v>
      </c>
      <c r="I39" s="452">
        <v>45700</v>
      </c>
      <c r="J39" s="448">
        <v>14.2775</v>
      </c>
      <c r="K39" s="448">
        <v>14.4541</v>
      </c>
      <c r="L39" s="448">
        <v>12.4511</v>
      </c>
      <c r="M39" s="448">
        <v>37.110199999999999</v>
      </c>
      <c r="N39" s="448">
        <v>45.480400000000003</v>
      </c>
      <c r="O39" s="448">
        <v>28.460699999999999</v>
      </c>
      <c r="P39" s="448"/>
      <c r="Q39" s="452">
        <v>45700</v>
      </c>
      <c r="R39" s="4">
        <v>277.62</v>
      </c>
      <c r="S39" s="4">
        <v>20757.41</v>
      </c>
      <c r="T39" s="4">
        <v>841.18</v>
      </c>
      <c r="U39" s="4">
        <v>1.9152811314246294</v>
      </c>
      <c r="V39" s="4">
        <v>1.8415427950406991</v>
      </c>
      <c r="W39" s="4">
        <v>1.036472066832598</v>
      </c>
      <c r="Y39" s="448">
        <v>277.62</v>
      </c>
      <c r="Z39" s="4">
        <v>114.26</v>
      </c>
      <c r="AA39" s="4">
        <v>35.64</v>
      </c>
      <c r="AB39" s="4">
        <v>203.02</v>
      </c>
      <c r="AC39" s="4">
        <v>144.81</v>
      </c>
      <c r="AD39" s="4">
        <v>164.63</v>
      </c>
      <c r="AF39" s="4">
        <v>1.9152811314246294</v>
      </c>
      <c r="AG39" s="4">
        <v>0.67613468252559328</v>
      </c>
      <c r="AH39" s="4">
        <v>0.98958767180341523</v>
      </c>
      <c r="AI39" s="4">
        <v>1.4791985428051002</v>
      </c>
      <c r="AJ39" s="4">
        <v>4.8408448161742585</v>
      </c>
      <c r="AK39" s="4">
        <v>0.97081023705625658</v>
      </c>
      <c r="AM39" s="450">
        <v>45903</v>
      </c>
      <c r="AN39" s="451">
        <v>222.41</v>
      </c>
      <c r="AO39" s="451">
        <v>1972867</v>
      </c>
      <c r="AP39" s="451">
        <v>235.8991</v>
      </c>
      <c r="AQ39" s="451">
        <v>52466.318830999997</v>
      </c>
      <c r="AR39" s="451">
        <v>0.60950000000000004</v>
      </c>
    </row>
    <row r="40" spans="2:44">
      <c r="B40" s="452">
        <v>45693</v>
      </c>
      <c r="C40" s="448">
        <v>10.061400000000001</v>
      </c>
      <c r="D40" s="448">
        <v>8.8422000000000001</v>
      </c>
      <c r="E40" s="448">
        <v>5.6071</v>
      </c>
      <c r="F40" s="448">
        <v>21.923100000000002</v>
      </c>
      <c r="G40" s="448">
        <v>17.1782</v>
      </c>
      <c r="H40" s="448">
        <v>12.121</v>
      </c>
      <c r="I40" s="452">
        <v>45693</v>
      </c>
      <c r="J40" s="448">
        <v>13.7209</v>
      </c>
      <c r="K40" s="448">
        <v>14.1556</v>
      </c>
      <c r="L40" s="448">
        <v>11.9969</v>
      </c>
      <c r="M40" s="448">
        <v>35.397399999999998</v>
      </c>
      <c r="N40" s="448">
        <v>42.8108</v>
      </c>
      <c r="O40" s="448">
        <v>29.472000000000001</v>
      </c>
      <c r="P40" s="448"/>
      <c r="Q40" s="452">
        <v>45693</v>
      </c>
      <c r="R40" s="4">
        <v>275</v>
      </c>
      <c r="S40" s="4">
        <v>21173.040000000001</v>
      </c>
      <c r="T40" s="4">
        <v>836.32</v>
      </c>
      <c r="U40" s="4">
        <v>1.8972059330803728</v>
      </c>
      <c r="V40" s="4">
        <v>1.8784163949697252</v>
      </c>
      <c r="W40" s="4">
        <v>1.0304837477513</v>
      </c>
      <c r="Y40" s="448">
        <v>275</v>
      </c>
      <c r="Z40" s="4">
        <v>111.9</v>
      </c>
      <c r="AA40" s="4">
        <v>34.340000000000003</v>
      </c>
      <c r="AB40" s="4">
        <v>193.65</v>
      </c>
      <c r="AC40" s="4">
        <v>136.31</v>
      </c>
      <c r="AD40" s="4">
        <v>170.48</v>
      </c>
      <c r="AF40" s="4">
        <v>1.8972059330803728</v>
      </c>
      <c r="AG40" s="4">
        <v>0.66216935913367658</v>
      </c>
      <c r="AH40" s="4">
        <v>0.95349160072192152</v>
      </c>
      <c r="AI40" s="4">
        <v>1.410928961748634</v>
      </c>
      <c r="AJ40" s="4">
        <v>4.5566988253070448</v>
      </c>
      <c r="AK40" s="4">
        <v>1.0053072296261349</v>
      </c>
      <c r="AM40" s="450">
        <v>45902</v>
      </c>
      <c r="AN40" s="451">
        <v>217.49</v>
      </c>
      <c r="AO40" s="451">
        <v>1819851</v>
      </c>
      <c r="AP40" s="451">
        <v>235.8991</v>
      </c>
      <c r="AQ40" s="451">
        <v>51305.695259</v>
      </c>
      <c r="AR40" s="451">
        <v>0.59599999999999997</v>
      </c>
    </row>
    <row r="41" spans="2:44">
      <c r="B41" s="452">
        <v>45686</v>
      </c>
      <c r="C41" s="448">
        <v>10.651400000000001</v>
      </c>
      <c r="D41" s="448">
        <v>10.2797</v>
      </c>
      <c r="E41" s="448">
        <v>5.7671000000000001</v>
      </c>
      <c r="F41" s="448">
        <v>21.040199999999999</v>
      </c>
      <c r="G41" s="448">
        <v>17.1417</v>
      </c>
      <c r="H41" s="448">
        <v>12.2128</v>
      </c>
      <c r="I41" s="452">
        <v>45686</v>
      </c>
      <c r="J41" s="448">
        <v>14.9521</v>
      </c>
      <c r="K41" s="448">
        <v>16.923500000000001</v>
      </c>
      <c r="L41" s="448">
        <v>12.507</v>
      </c>
      <c r="M41" s="448">
        <v>33.969799999999999</v>
      </c>
      <c r="N41" s="448">
        <v>42.697699999999998</v>
      </c>
      <c r="O41" s="448">
        <v>29.7227</v>
      </c>
      <c r="P41" s="448"/>
      <c r="Q41" s="452">
        <v>45686</v>
      </c>
      <c r="R41" s="4">
        <v>281.33</v>
      </c>
      <c r="S41" s="4">
        <v>21012.17</v>
      </c>
      <c r="T41" s="4">
        <v>845.87</v>
      </c>
      <c r="U41" s="4">
        <v>1.9408761641945498</v>
      </c>
      <c r="V41" s="4">
        <v>1.8641444318761504</v>
      </c>
      <c r="W41" s="4">
        <v>1.0422509179624928</v>
      </c>
      <c r="Y41" s="448">
        <v>281.33</v>
      </c>
      <c r="Z41" s="4">
        <v>133.78</v>
      </c>
      <c r="AA41" s="4">
        <v>35.799999999999997</v>
      </c>
      <c r="AB41" s="4">
        <v>185.84</v>
      </c>
      <c r="AC41" s="4">
        <v>135.94999999999999</v>
      </c>
      <c r="AD41" s="4">
        <v>171.93</v>
      </c>
      <c r="AF41" s="4">
        <v>1.9408761641945498</v>
      </c>
      <c r="AG41" s="4">
        <v>0.79164447600449728</v>
      </c>
      <c r="AH41" s="4">
        <v>0.99403026516729132</v>
      </c>
      <c r="AI41" s="4">
        <v>1.3540255009107469</v>
      </c>
      <c r="AJ41" s="4">
        <v>4.5446644068703153</v>
      </c>
      <c r="AK41" s="4">
        <v>1.0138577662460195</v>
      </c>
      <c r="AM41" s="450">
        <v>45901</v>
      </c>
      <c r="AN41" s="451">
        <v>217.1</v>
      </c>
      <c r="AO41" s="451">
        <v>2213877</v>
      </c>
      <c r="AP41" s="451">
        <v>235.8991</v>
      </c>
      <c r="AQ41" s="451">
        <v>51213.694609999999</v>
      </c>
      <c r="AR41" s="451">
        <v>0.59489999999999998</v>
      </c>
    </row>
    <row r="42" spans="2:44">
      <c r="B42" s="452">
        <v>45679</v>
      </c>
      <c r="C42" s="448">
        <v>10.530799999999999</v>
      </c>
      <c r="D42" s="448">
        <v>10.1989</v>
      </c>
      <c r="E42" s="448">
        <v>5.6641000000000004</v>
      </c>
      <c r="F42" s="448">
        <v>21.373699999999999</v>
      </c>
      <c r="G42" s="448">
        <v>17.2197</v>
      </c>
      <c r="H42" s="448">
        <v>12.401199999999999</v>
      </c>
      <c r="I42" s="452">
        <v>45679</v>
      </c>
      <c r="J42" s="448">
        <v>14.7004</v>
      </c>
      <c r="K42" s="448">
        <v>16.767900000000001</v>
      </c>
      <c r="L42" s="448">
        <v>12.178599999999999</v>
      </c>
      <c r="M42" s="448">
        <v>34.509</v>
      </c>
      <c r="N42" s="448">
        <v>42.939599999999999</v>
      </c>
      <c r="O42" s="448">
        <v>30.236999999999998</v>
      </c>
      <c r="P42" s="448"/>
      <c r="Q42" s="452">
        <v>45679</v>
      </c>
      <c r="R42" s="4">
        <v>271.83999999999997</v>
      </c>
      <c r="S42" s="4">
        <v>21797.65</v>
      </c>
      <c r="T42" s="4">
        <v>837.36</v>
      </c>
      <c r="U42" s="4">
        <v>1.8754053121766125</v>
      </c>
      <c r="V42" s="4">
        <v>1.9338301505977333</v>
      </c>
      <c r="W42" s="4">
        <v>1.0317651987481209</v>
      </c>
      <c r="Y42" s="448">
        <v>271.83999999999997</v>
      </c>
      <c r="Z42" s="4">
        <v>132.55000000000001</v>
      </c>
      <c r="AA42" s="4">
        <v>34.86</v>
      </c>
      <c r="AB42" s="4">
        <v>188.79</v>
      </c>
      <c r="AC42" s="4">
        <v>136.72</v>
      </c>
      <c r="AD42" s="4">
        <v>174.905</v>
      </c>
      <c r="AF42" s="4">
        <v>1.8754053121766125</v>
      </c>
      <c r="AG42" s="4">
        <v>0.78436593881294758</v>
      </c>
      <c r="AH42" s="4">
        <v>0.96793002915451887</v>
      </c>
      <c r="AI42" s="4">
        <v>1.3755191256830601</v>
      </c>
      <c r="AJ42" s="4">
        <v>4.5704046907488749</v>
      </c>
      <c r="AK42" s="4">
        <v>1.0314011086212995</v>
      </c>
      <c r="AM42" s="450">
        <v>45900</v>
      </c>
      <c r="AN42" s="451">
        <v>217.1</v>
      </c>
      <c r="AO42" s="451">
        <v>2213877</v>
      </c>
      <c r="AP42" s="451">
        <v>235.8991</v>
      </c>
      <c r="AQ42" s="451">
        <v>51213.694609999999</v>
      </c>
      <c r="AR42" s="451">
        <v>0.59489999999999998</v>
      </c>
    </row>
    <row r="43" spans="2:44">
      <c r="B43" s="452">
        <v>45672</v>
      </c>
      <c r="C43" s="448">
        <v>10.6912</v>
      </c>
      <c r="D43" s="448">
        <v>9.8651</v>
      </c>
      <c r="E43" s="448">
        <v>5.6246</v>
      </c>
      <c r="F43" s="448">
        <v>21.1555</v>
      </c>
      <c r="G43" s="448">
        <v>17.186299999999999</v>
      </c>
      <c r="H43" s="448">
        <v>13.138500000000001</v>
      </c>
      <c r="I43" s="452">
        <v>45672</v>
      </c>
      <c r="J43" s="448">
        <v>15.035299999999999</v>
      </c>
      <c r="K43" s="448">
        <v>16.1252</v>
      </c>
      <c r="L43" s="448">
        <v>12.0528</v>
      </c>
      <c r="M43" s="448">
        <v>34.156300000000002</v>
      </c>
      <c r="N43" s="448">
        <v>42.835900000000002</v>
      </c>
      <c r="O43" s="448">
        <v>32.2502</v>
      </c>
      <c r="P43" s="448"/>
      <c r="Q43" s="452">
        <v>45672</v>
      </c>
      <c r="R43" s="4">
        <v>277.43</v>
      </c>
      <c r="S43" s="4">
        <v>22001.08</v>
      </c>
      <c r="T43" s="4">
        <v>852.3</v>
      </c>
      <c r="U43" s="4">
        <v>1.9139703345981376</v>
      </c>
      <c r="V43" s="4">
        <v>1.9518779249007476</v>
      </c>
      <c r="W43" s="4">
        <v>1.0501737351832228</v>
      </c>
      <c r="Y43" s="448">
        <v>277.43</v>
      </c>
      <c r="Z43" s="4">
        <v>127.47</v>
      </c>
      <c r="AA43" s="4">
        <v>34.5</v>
      </c>
      <c r="AB43" s="4">
        <v>186.86</v>
      </c>
      <c r="AC43" s="4">
        <v>136.38999999999999</v>
      </c>
      <c r="AD43" s="4">
        <v>186.55</v>
      </c>
      <c r="AF43" s="4">
        <v>1.9139703345981376</v>
      </c>
      <c r="AG43" s="4">
        <v>0.75430498846085559</v>
      </c>
      <c r="AH43" s="4">
        <v>0.95793419408579761</v>
      </c>
      <c r="AI43" s="4">
        <v>1.361457194899818</v>
      </c>
      <c r="AJ43" s="4">
        <v>4.5593731405152065</v>
      </c>
      <c r="AK43" s="4">
        <v>1.1000707630616817</v>
      </c>
      <c r="AM43" s="450">
        <v>45899</v>
      </c>
      <c r="AN43" s="451">
        <v>217.1</v>
      </c>
      <c r="AO43" s="451">
        <v>2213877</v>
      </c>
      <c r="AP43" s="451">
        <v>235.8991</v>
      </c>
      <c r="AQ43" s="451">
        <v>51213.694609999999</v>
      </c>
      <c r="AR43" s="451">
        <v>0.59489999999999998</v>
      </c>
    </row>
    <row r="44" spans="2:44">
      <c r="B44" s="452">
        <v>45665</v>
      </c>
      <c r="C44" s="448">
        <v>10.6472</v>
      </c>
      <c r="D44" s="448">
        <v>9.8185000000000002</v>
      </c>
      <c r="E44" s="448">
        <v>5.6257000000000001</v>
      </c>
      <c r="F44" s="448">
        <v>20.3325</v>
      </c>
      <c r="G44" s="448">
        <v>17.266300000000001</v>
      </c>
      <c r="H44" s="448">
        <v>12.586399999999999</v>
      </c>
      <c r="I44" s="452">
        <v>45665</v>
      </c>
      <c r="J44" s="448">
        <v>14.9434</v>
      </c>
      <c r="K44" s="448">
        <v>16.035399999999999</v>
      </c>
      <c r="L44" s="448">
        <v>12.0563</v>
      </c>
      <c r="M44" s="448">
        <v>32.825499999999998</v>
      </c>
      <c r="N44" s="448">
        <v>43.084000000000003</v>
      </c>
      <c r="O44" s="448">
        <v>30.742699999999999</v>
      </c>
      <c r="P44" s="448"/>
      <c r="Q44" s="452">
        <v>45665</v>
      </c>
      <c r="R44" s="4">
        <v>279.32</v>
      </c>
      <c r="S44" s="4">
        <v>21368.18</v>
      </c>
      <c r="T44" s="4">
        <v>867.6</v>
      </c>
      <c r="U44" s="4">
        <v>1.9270093135563988</v>
      </c>
      <c r="V44" s="4">
        <v>1.8957287022866902</v>
      </c>
      <c r="W44" s="4">
        <v>1.0690258508095321</v>
      </c>
      <c r="Y44" s="448">
        <v>279.32</v>
      </c>
      <c r="Z44" s="4">
        <v>126.76</v>
      </c>
      <c r="AA44" s="4">
        <v>34.51</v>
      </c>
      <c r="AB44" s="4">
        <v>179.58</v>
      </c>
      <c r="AC44" s="4">
        <v>137.18</v>
      </c>
      <c r="AD44" s="4">
        <v>177.83</v>
      </c>
      <c r="AF44" s="4">
        <v>1.9270093135563988</v>
      </c>
      <c r="AG44" s="4">
        <v>0.75010355642345705</v>
      </c>
      <c r="AH44" s="4">
        <v>0.95821185617103977</v>
      </c>
      <c r="AI44" s="4">
        <v>1.3084153005464483</v>
      </c>
      <c r="AJ44" s="4">
        <v>4.5857820031958063</v>
      </c>
      <c r="AK44" s="4">
        <v>1.048649604906239</v>
      </c>
      <c r="AM44" s="450">
        <v>45898</v>
      </c>
      <c r="AN44" s="451">
        <v>223.49</v>
      </c>
      <c r="AO44" s="451">
        <v>2296579</v>
      </c>
      <c r="AP44" s="451">
        <v>235.8991</v>
      </c>
      <c r="AQ44" s="451">
        <v>52721.089859</v>
      </c>
      <c r="AR44" s="451">
        <v>0.61250000000000004</v>
      </c>
    </row>
    <row r="45" spans="2:44">
      <c r="B45" s="452">
        <v>45658</v>
      </c>
      <c r="C45" s="448">
        <v>10.6311</v>
      </c>
      <c r="D45" s="448">
        <v>9.6286000000000005</v>
      </c>
      <c r="E45" s="448">
        <v>5.5578000000000003</v>
      </c>
      <c r="F45" s="448">
        <v>19.897300000000001</v>
      </c>
      <c r="G45" s="448">
        <v>16.792200000000001</v>
      </c>
      <c r="H45" s="448">
        <v>12.166600000000001</v>
      </c>
      <c r="I45" s="452">
        <v>45658</v>
      </c>
      <c r="J45" s="448">
        <v>14.909700000000001</v>
      </c>
      <c r="K45" s="448">
        <v>15.6698</v>
      </c>
      <c r="L45" s="448">
        <v>11.839700000000001</v>
      </c>
      <c r="M45" s="448">
        <v>32.1218</v>
      </c>
      <c r="N45" s="448">
        <v>41.614199999999997</v>
      </c>
      <c r="O45" s="448">
        <v>29.596499999999999</v>
      </c>
      <c r="P45" s="448"/>
      <c r="Q45" s="452">
        <v>45658</v>
      </c>
      <c r="R45" s="4">
        <v>282.85000000000002</v>
      </c>
      <c r="S45" s="4">
        <v>21229.32</v>
      </c>
      <c r="T45" s="4">
        <v>868.67</v>
      </c>
      <c r="U45" s="4">
        <v>1.9513625388064852</v>
      </c>
      <c r="V45" s="4">
        <v>1.8834094084769446</v>
      </c>
      <c r="W45" s="4">
        <v>1.0703442667389536</v>
      </c>
      <c r="Y45" s="448">
        <v>282.85000000000002</v>
      </c>
      <c r="Z45" s="4">
        <v>123.82</v>
      </c>
      <c r="AA45" s="4">
        <v>33.47</v>
      </c>
      <c r="AB45" s="4">
        <v>191.77</v>
      </c>
      <c r="AC45" s="4">
        <v>147.49</v>
      </c>
      <c r="AD45" s="4">
        <v>170.29</v>
      </c>
      <c r="AF45" s="4">
        <v>1.9513625388064852</v>
      </c>
      <c r="AG45" s="4">
        <v>0.73270607728267934</v>
      </c>
      <c r="AH45" s="4">
        <v>0.92933499930584473</v>
      </c>
      <c r="AI45" s="4">
        <v>1.3972313296903462</v>
      </c>
      <c r="AJ45" s="4">
        <v>4.9304343756476863</v>
      </c>
      <c r="AK45" s="4">
        <v>1.0041868144828399</v>
      </c>
      <c r="AM45" s="450">
        <v>45897</v>
      </c>
      <c r="AN45" s="451">
        <v>223.86</v>
      </c>
      <c r="AO45" s="451">
        <v>3617327</v>
      </c>
      <c r="AP45" s="451">
        <v>235.8991</v>
      </c>
      <c r="AQ45" s="451">
        <v>52808.372526000006</v>
      </c>
      <c r="AR45" s="451">
        <v>0.61350000000000005</v>
      </c>
    </row>
    <row r="46" spans="2:44">
      <c r="B46" s="452">
        <v>45651</v>
      </c>
      <c r="C46" s="448">
        <v>10.745200000000001</v>
      </c>
      <c r="D46" s="448">
        <v>9.8363999999999994</v>
      </c>
      <c r="E46" s="448">
        <v>5.8288000000000002</v>
      </c>
      <c r="F46" s="448">
        <v>19.642199999999999</v>
      </c>
      <c r="G46" s="448">
        <v>17.3871</v>
      </c>
      <c r="H46" s="448">
        <v>8.8428000000000004</v>
      </c>
      <c r="I46" s="452">
        <v>45651</v>
      </c>
      <c r="J46" s="448">
        <v>15.1478</v>
      </c>
      <c r="K46" s="448">
        <v>17.315200000000001</v>
      </c>
      <c r="L46" s="448">
        <v>12.0517</v>
      </c>
      <c r="M46" s="448">
        <v>32.0336</v>
      </c>
      <c r="N46" s="448">
        <v>40.238599999999998</v>
      </c>
      <c r="O46" s="448">
        <v>30.274999999999999</v>
      </c>
      <c r="P46" s="448"/>
      <c r="Q46" s="452">
        <v>45651</v>
      </c>
      <c r="R46" s="4">
        <v>302.98</v>
      </c>
      <c r="S46" s="4">
        <v>20922.900000000001</v>
      </c>
      <c r="T46" s="4">
        <v>907</v>
      </c>
      <c r="U46" s="4">
        <v>2.0902380131079688</v>
      </c>
      <c r="V46" s="4">
        <v>1.8562246323774039</v>
      </c>
      <c r="W46" s="4">
        <v>1.1175731289583282</v>
      </c>
      <c r="Y46" s="448">
        <v>302.98</v>
      </c>
      <c r="Z46" s="4">
        <v>123.82</v>
      </c>
      <c r="AA46" s="4">
        <v>33.47</v>
      </c>
      <c r="AB46" s="4">
        <v>191.77</v>
      </c>
      <c r="AC46" s="4">
        <v>147.49</v>
      </c>
      <c r="AD46" s="4">
        <v>170.29</v>
      </c>
      <c r="AF46" s="4">
        <v>2.0902380131079688</v>
      </c>
      <c r="AG46" s="4">
        <v>0.73270607728267934</v>
      </c>
      <c r="AH46" s="4">
        <v>0.92933499930584473</v>
      </c>
      <c r="AI46" s="4">
        <v>1.3972313296903462</v>
      </c>
      <c r="AJ46" s="4">
        <v>4.9304343756476863</v>
      </c>
      <c r="AK46" s="4">
        <v>1.0041868144828399</v>
      </c>
      <c r="AM46" s="450">
        <v>45896</v>
      </c>
      <c r="AN46" s="451">
        <v>234.54</v>
      </c>
      <c r="AO46" s="451">
        <v>2068886</v>
      </c>
      <c r="AP46" s="451">
        <v>235.8991</v>
      </c>
      <c r="AQ46" s="451">
        <v>55327.774914000001</v>
      </c>
      <c r="AR46" s="451">
        <v>0.64270000000000005</v>
      </c>
    </row>
    <row r="47" spans="2:44">
      <c r="B47" s="452">
        <v>45644</v>
      </c>
      <c r="C47" s="448">
        <v>10.704499999999999</v>
      </c>
      <c r="D47" s="448">
        <v>9.6699000000000002</v>
      </c>
      <c r="E47" s="448">
        <v>5.8288000000000002</v>
      </c>
      <c r="F47" s="448">
        <v>20.760899999999999</v>
      </c>
      <c r="G47" s="448">
        <v>18.8901</v>
      </c>
      <c r="H47" s="448">
        <v>8.7609999999999992</v>
      </c>
      <c r="I47" s="452">
        <v>45644</v>
      </c>
      <c r="J47" s="448">
        <v>14.848800000000001</v>
      </c>
      <c r="K47" s="448">
        <v>16.967099999999999</v>
      </c>
      <c r="L47" s="448">
        <v>12.0517</v>
      </c>
      <c r="M47" s="448">
        <v>33.857300000000002</v>
      </c>
      <c r="N47" s="448">
        <v>44.5655</v>
      </c>
      <c r="O47" s="448">
        <v>29.972200000000001</v>
      </c>
      <c r="P47" s="448"/>
      <c r="Q47" s="452">
        <v>45644</v>
      </c>
      <c r="R47" s="4">
        <v>293.06</v>
      </c>
      <c r="S47" s="4">
        <v>20684.59</v>
      </c>
      <c r="T47" s="4">
        <v>889.87</v>
      </c>
      <c r="U47" s="4">
        <v>2.0218006209037602</v>
      </c>
      <c r="V47" s="4">
        <v>1.8350823962561271</v>
      </c>
      <c r="W47" s="4">
        <v>1.0964661524433821</v>
      </c>
      <c r="Y47" s="448">
        <v>293.06</v>
      </c>
      <c r="Z47" s="4">
        <v>123.82</v>
      </c>
      <c r="AA47" s="4">
        <v>33.47</v>
      </c>
      <c r="AB47" s="4">
        <v>191.77</v>
      </c>
      <c r="AC47" s="4">
        <v>147.49</v>
      </c>
      <c r="AD47" s="4">
        <v>170.29</v>
      </c>
      <c r="AF47" s="4">
        <v>2.0218006209037602</v>
      </c>
      <c r="AG47" s="4">
        <v>0.73270607728267934</v>
      </c>
      <c r="AH47" s="4">
        <v>0.92933499930584473</v>
      </c>
      <c r="AI47" s="4">
        <v>1.3972313296903462</v>
      </c>
      <c r="AJ47" s="4">
        <v>4.9304343756476863</v>
      </c>
      <c r="AK47" s="4">
        <v>1.0041868144828399</v>
      </c>
      <c r="AM47" s="450">
        <v>45895</v>
      </c>
      <c r="AN47" s="451">
        <v>242.41</v>
      </c>
      <c r="AO47" s="451">
        <v>1624527</v>
      </c>
      <c r="AP47" s="451">
        <v>235.8991</v>
      </c>
      <c r="AQ47" s="451">
        <v>57184.300831</v>
      </c>
      <c r="AR47" s="451">
        <v>0.6643</v>
      </c>
    </row>
    <row r="48" spans="2:44">
      <c r="B48" s="452">
        <v>45637</v>
      </c>
      <c r="C48" s="448">
        <v>10.915900000000001</v>
      </c>
      <c r="D48" s="448">
        <v>10.0174</v>
      </c>
      <c r="E48" s="448">
        <v>6.0989000000000004</v>
      </c>
      <c r="F48" s="448">
        <v>22.173100000000002</v>
      </c>
      <c r="G48" s="448">
        <v>20.006900000000002</v>
      </c>
      <c r="H48" s="448">
        <v>9.3181999999999992</v>
      </c>
      <c r="I48" s="452">
        <v>45637</v>
      </c>
      <c r="J48" s="448">
        <v>15.2837</v>
      </c>
      <c r="K48" s="448">
        <v>17.6934</v>
      </c>
      <c r="L48" s="448">
        <v>12.890599999999999</v>
      </c>
      <c r="M48" s="448">
        <v>36.159599999999998</v>
      </c>
      <c r="N48" s="448">
        <v>47.780500000000004</v>
      </c>
      <c r="O48" s="448">
        <v>32.0351</v>
      </c>
      <c r="P48" s="448"/>
      <c r="Q48" s="452">
        <v>45637</v>
      </c>
      <c r="R48" s="4">
        <v>287.27</v>
      </c>
      <c r="S48" s="4">
        <v>21070.79</v>
      </c>
      <c r="T48" s="4">
        <v>874</v>
      </c>
      <c r="U48" s="4">
        <v>1.9818558123490859</v>
      </c>
      <c r="V48" s="4">
        <v>1.8693450440259942</v>
      </c>
      <c r="W48" s="4">
        <v>1.0769117030976614</v>
      </c>
      <c r="Y48" s="448">
        <v>287.27</v>
      </c>
      <c r="Z48" s="4">
        <v>129.12</v>
      </c>
      <c r="AA48" s="4">
        <v>35.799999999999997</v>
      </c>
      <c r="AB48" s="4">
        <v>204.81</v>
      </c>
      <c r="AC48" s="4">
        <v>158.13</v>
      </c>
      <c r="AD48" s="4">
        <v>182.01</v>
      </c>
      <c r="AF48" s="4">
        <v>1.9818558123490859</v>
      </c>
      <c r="AG48" s="4">
        <v>0.76406887981537364</v>
      </c>
      <c r="AH48" s="4">
        <v>0.99403026516729132</v>
      </c>
      <c r="AI48" s="4">
        <v>1.4922404371584699</v>
      </c>
      <c r="AJ48" s="4">
        <v>5.2861182983332329</v>
      </c>
      <c r="AK48" s="4">
        <v>1.0732987380587331</v>
      </c>
      <c r="AM48" s="450">
        <v>45894</v>
      </c>
      <c r="AN48" s="451">
        <v>243.2</v>
      </c>
      <c r="AO48" s="451">
        <v>1812785</v>
      </c>
      <c r="AP48" s="451">
        <v>235.8991</v>
      </c>
      <c r="AQ48" s="451">
        <v>57370.661119999997</v>
      </c>
      <c r="AR48" s="451">
        <v>0.66649999999999998</v>
      </c>
    </row>
    <row r="49" spans="2:44">
      <c r="B49" s="452">
        <v>45630</v>
      </c>
      <c r="C49" s="448">
        <v>10.9758</v>
      </c>
      <c r="D49" s="448">
        <v>9.9951000000000008</v>
      </c>
      <c r="E49" s="448">
        <v>5.9737</v>
      </c>
      <c r="F49" s="448">
        <v>22.846699999999998</v>
      </c>
      <c r="G49" s="448">
        <v>19.692</v>
      </c>
      <c r="H49" s="448">
        <v>9.4664999999999999</v>
      </c>
      <c r="I49" s="452">
        <v>45630</v>
      </c>
      <c r="J49" s="448">
        <v>15.4071</v>
      </c>
      <c r="K49" s="448">
        <v>17.646799999999999</v>
      </c>
      <c r="L49" s="448">
        <v>12.5017</v>
      </c>
      <c r="M49" s="448">
        <v>37.2577</v>
      </c>
      <c r="N49" s="448">
        <v>46.874000000000002</v>
      </c>
      <c r="O49" s="448">
        <v>32.584200000000003</v>
      </c>
      <c r="P49" s="448"/>
      <c r="Q49" s="452">
        <v>45630</v>
      </c>
      <c r="R49" s="4">
        <v>275.42</v>
      </c>
      <c r="S49" s="4">
        <v>20227.46</v>
      </c>
      <c r="T49" s="4">
        <v>874.06</v>
      </c>
      <c r="U49" s="4">
        <v>1.9001034839599864</v>
      </c>
      <c r="V49" s="4">
        <v>1.7945270255284227</v>
      </c>
      <c r="W49" s="4">
        <v>1.0769856329628624</v>
      </c>
      <c r="Y49" s="448">
        <v>275.42</v>
      </c>
      <c r="Z49" s="4">
        <v>128.78</v>
      </c>
      <c r="AA49" s="4">
        <v>34.72</v>
      </c>
      <c r="AB49" s="4">
        <v>211.03</v>
      </c>
      <c r="AC49" s="4">
        <v>155.13</v>
      </c>
      <c r="AD49" s="4">
        <v>185.13</v>
      </c>
      <c r="AF49" s="4">
        <v>1.9001034839599864</v>
      </c>
      <c r="AG49" s="4">
        <v>0.76205692644535172</v>
      </c>
      <c r="AH49" s="4">
        <v>0.96404275996112732</v>
      </c>
      <c r="AI49" s="4">
        <v>1.5375591985428052</v>
      </c>
      <c r="AJ49" s="4">
        <v>5.1858314780271577</v>
      </c>
      <c r="AK49" s="4">
        <v>1.0916971340960018</v>
      </c>
      <c r="AM49" s="450">
        <v>45893</v>
      </c>
      <c r="AN49" s="451">
        <v>243.2</v>
      </c>
      <c r="AO49" s="451">
        <v>1812785</v>
      </c>
      <c r="AP49" s="451">
        <v>235.8991</v>
      </c>
      <c r="AQ49" s="451">
        <v>57370.661119999997</v>
      </c>
      <c r="AR49" s="451">
        <v>0.66649999999999998</v>
      </c>
    </row>
    <row r="50" spans="2:44">
      <c r="B50" s="452">
        <v>45623</v>
      </c>
      <c r="C50" s="448">
        <v>11.213699999999999</v>
      </c>
      <c r="D50" s="448">
        <v>10.4474</v>
      </c>
      <c r="E50" s="448">
        <v>5.9436</v>
      </c>
      <c r="F50" s="448">
        <v>24.263200000000001</v>
      </c>
      <c r="G50" s="448">
        <v>19.176600000000001</v>
      </c>
      <c r="H50" s="448">
        <v>9.7126999999999999</v>
      </c>
      <c r="I50" s="452">
        <v>45623</v>
      </c>
      <c r="J50" s="448">
        <v>16.551200000000001</v>
      </c>
      <c r="K50" s="448">
        <v>18.592300000000002</v>
      </c>
      <c r="L50" s="448">
        <v>12.408099999999999</v>
      </c>
      <c r="M50" s="448">
        <v>39.567</v>
      </c>
      <c r="N50" s="448">
        <v>45.3904</v>
      </c>
      <c r="O50" s="448">
        <v>33.495899999999999</v>
      </c>
      <c r="P50" s="448"/>
      <c r="Q50" s="452">
        <v>45623</v>
      </c>
      <c r="R50" s="4">
        <v>275.04000000000002</v>
      </c>
      <c r="S50" s="4">
        <v>20550.650000000001</v>
      </c>
      <c r="T50" s="4">
        <v>875.35</v>
      </c>
      <c r="U50" s="4">
        <v>1.8974818903070028</v>
      </c>
      <c r="V50" s="4">
        <v>1.8231995919001043</v>
      </c>
      <c r="W50" s="4">
        <v>1.0785751250646887</v>
      </c>
      <c r="Y50" s="448">
        <v>275.04000000000002</v>
      </c>
      <c r="Z50" s="4">
        <v>135.68</v>
      </c>
      <c r="AA50" s="4">
        <v>34.46</v>
      </c>
      <c r="AB50" s="4">
        <v>224.11</v>
      </c>
      <c r="AC50" s="4">
        <v>150.22</v>
      </c>
      <c r="AD50" s="4">
        <v>190.31</v>
      </c>
      <c r="AF50" s="4">
        <v>1.8974818903070028</v>
      </c>
      <c r="AG50" s="4">
        <v>0.80288774483697256</v>
      </c>
      <c r="AH50" s="4">
        <v>0.95682354574482853</v>
      </c>
      <c r="AI50" s="4">
        <v>1.6328597449908926</v>
      </c>
      <c r="AJ50" s="4">
        <v>5.0216953821262145</v>
      </c>
      <c r="AK50" s="4">
        <v>1.1222431890553131</v>
      </c>
      <c r="AM50" s="450">
        <v>45892</v>
      </c>
      <c r="AN50" s="451">
        <v>243.2</v>
      </c>
      <c r="AO50" s="451">
        <v>1812785</v>
      </c>
      <c r="AP50" s="451">
        <v>235.8991</v>
      </c>
      <c r="AQ50" s="451">
        <v>57370.661119999997</v>
      </c>
      <c r="AR50" s="451">
        <v>0.66649999999999998</v>
      </c>
    </row>
    <row r="51" spans="2:44">
      <c r="B51" s="452">
        <v>45616</v>
      </c>
      <c r="C51" s="448">
        <v>10.8165</v>
      </c>
      <c r="D51" s="448">
        <v>10.2121</v>
      </c>
      <c r="E51" s="448">
        <v>5.9957000000000003</v>
      </c>
      <c r="F51" s="448">
        <v>23.2041</v>
      </c>
      <c r="G51" s="448">
        <v>18.789300000000001</v>
      </c>
      <c r="H51" s="448">
        <v>9.2977000000000007</v>
      </c>
      <c r="I51" s="452">
        <v>45616</v>
      </c>
      <c r="J51" s="448">
        <v>15.7133</v>
      </c>
      <c r="K51" s="448">
        <v>18.1004</v>
      </c>
      <c r="L51" s="448">
        <v>12.5702</v>
      </c>
      <c r="M51" s="448">
        <v>37.840400000000002</v>
      </c>
      <c r="N51" s="448">
        <v>44.275399999999998</v>
      </c>
      <c r="O51" s="448">
        <v>31.959399999999999</v>
      </c>
      <c r="P51" s="448"/>
      <c r="Q51" s="452">
        <v>45616</v>
      </c>
      <c r="R51" s="4">
        <v>269.79000000000002</v>
      </c>
      <c r="S51" s="4">
        <v>20383.650000000001</v>
      </c>
      <c r="T51" s="4">
        <v>860.26</v>
      </c>
      <c r="U51" s="4">
        <v>1.861262504311832</v>
      </c>
      <c r="V51" s="4">
        <v>1.8083837913367491</v>
      </c>
      <c r="W51" s="4">
        <v>1.0599817639665836</v>
      </c>
      <c r="Y51" s="448">
        <v>269.79000000000002</v>
      </c>
      <c r="Z51" s="4">
        <v>132.09</v>
      </c>
      <c r="AA51" s="4">
        <v>34.909999999999997</v>
      </c>
      <c r="AB51" s="4">
        <v>214.33</v>
      </c>
      <c r="AC51" s="4">
        <v>146.53</v>
      </c>
      <c r="AD51" s="4">
        <v>181.58</v>
      </c>
      <c r="AF51" s="4">
        <v>1.861262504311832</v>
      </c>
      <c r="AG51" s="4">
        <v>0.78164388425350606</v>
      </c>
      <c r="AH51" s="4">
        <v>0.9693183395807301</v>
      </c>
      <c r="AI51" s="4">
        <v>1.5616029143897998</v>
      </c>
      <c r="AJ51" s="4">
        <v>4.8983425931497413</v>
      </c>
      <c r="AK51" s="4">
        <v>1.070763061681802</v>
      </c>
      <c r="AM51" s="450">
        <v>45891</v>
      </c>
      <c r="AN51" s="451">
        <v>236.51</v>
      </c>
      <c r="AO51" s="451">
        <v>2079819</v>
      </c>
      <c r="AP51" s="451">
        <v>235.8991</v>
      </c>
      <c r="AQ51" s="451">
        <v>55792.496140999996</v>
      </c>
      <c r="AR51" s="451">
        <v>0.64810000000000001</v>
      </c>
    </row>
    <row r="52" spans="2:44">
      <c r="B52" s="452">
        <v>45609</v>
      </c>
      <c r="C52" s="448">
        <v>10.9163</v>
      </c>
      <c r="D52" s="448">
        <v>10.3163</v>
      </c>
      <c r="E52" s="448">
        <v>5.9320000000000004</v>
      </c>
      <c r="F52" s="448">
        <v>24.424600000000002</v>
      </c>
      <c r="G52" s="448">
        <v>19.1021</v>
      </c>
      <c r="H52" s="448">
        <v>9.66</v>
      </c>
      <c r="I52" s="452">
        <v>45609</v>
      </c>
      <c r="J52" s="448">
        <v>15.9239</v>
      </c>
      <c r="K52" s="448">
        <v>18.318300000000001</v>
      </c>
      <c r="L52" s="448">
        <v>12.3721</v>
      </c>
      <c r="M52" s="448">
        <v>39.830100000000002</v>
      </c>
      <c r="N52" s="448">
        <v>45.175899999999999</v>
      </c>
      <c r="O52" s="448">
        <v>33.3005</v>
      </c>
      <c r="P52" s="448"/>
      <c r="Q52" s="452">
        <v>45609</v>
      </c>
      <c r="R52" s="4">
        <v>265.92</v>
      </c>
      <c r="S52" s="4">
        <v>20159.830000000002</v>
      </c>
      <c r="T52" s="4">
        <v>865.87</v>
      </c>
      <c r="U52" s="4">
        <v>1.8345636426353917</v>
      </c>
      <c r="V52" s="4">
        <v>1.7885270698871074</v>
      </c>
      <c r="W52" s="4">
        <v>1.066894206362897</v>
      </c>
      <c r="Y52" s="448">
        <v>265.92</v>
      </c>
      <c r="Z52" s="4">
        <v>133.68</v>
      </c>
      <c r="AA52" s="4">
        <v>34.36</v>
      </c>
      <c r="AB52" s="4">
        <v>225.6</v>
      </c>
      <c r="AC52" s="4">
        <v>149.51</v>
      </c>
      <c r="AD52" s="4">
        <v>189.2</v>
      </c>
      <c r="AF52" s="4">
        <v>1.8345636426353917</v>
      </c>
      <c r="AG52" s="4">
        <v>0.79105272501331436</v>
      </c>
      <c r="AH52" s="4">
        <v>0.95404692489240595</v>
      </c>
      <c r="AI52" s="4">
        <v>1.6437158469945354</v>
      </c>
      <c r="AJ52" s="4">
        <v>4.9979608346537763</v>
      </c>
      <c r="AK52" s="4">
        <v>1.1156976058497463</v>
      </c>
      <c r="AM52" s="450">
        <v>45890</v>
      </c>
      <c r="AN52" s="451">
        <v>237.9</v>
      </c>
      <c r="AO52" s="451">
        <v>2255100</v>
      </c>
      <c r="AP52" s="451">
        <v>235.8991</v>
      </c>
      <c r="AQ52" s="451">
        <v>56120.39589</v>
      </c>
      <c r="AR52" s="451">
        <v>0.65190000000000003</v>
      </c>
    </row>
    <row r="53" spans="2:44">
      <c r="B53" s="452">
        <v>45602</v>
      </c>
      <c r="C53" s="448">
        <v>10.6104</v>
      </c>
      <c r="D53" s="448">
        <v>10.332000000000001</v>
      </c>
      <c r="E53" s="448">
        <v>5.9598000000000004</v>
      </c>
      <c r="F53" s="448">
        <v>24.9206</v>
      </c>
      <c r="G53" s="448">
        <v>19.334099999999999</v>
      </c>
      <c r="H53" s="448">
        <v>9.8321000000000005</v>
      </c>
      <c r="I53" s="452">
        <v>45602</v>
      </c>
      <c r="J53" s="448">
        <v>15.278499999999999</v>
      </c>
      <c r="K53" s="448">
        <v>18.351199999999999</v>
      </c>
      <c r="L53" s="448">
        <v>12.458500000000001</v>
      </c>
      <c r="M53" s="448">
        <v>40.6387</v>
      </c>
      <c r="N53" s="448">
        <v>45.843699999999998</v>
      </c>
      <c r="O53" s="448">
        <v>33.9377</v>
      </c>
      <c r="P53" s="448"/>
      <c r="Q53" s="452">
        <v>45602</v>
      </c>
      <c r="R53" s="4">
        <v>261.39999999999998</v>
      </c>
      <c r="S53" s="4">
        <v>20107.78</v>
      </c>
      <c r="T53" s="4">
        <v>851</v>
      </c>
      <c r="U53" s="4">
        <v>1.803380476026216</v>
      </c>
      <c r="V53" s="4">
        <v>1.7839093308492469</v>
      </c>
      <c r="W53" s="4">
        <v>1.0485719214371965</v>
      </c>
      <c r="Y53" s="448">
        <v>261.39999999999998</v>
      </c>
      <c r="Z53" s="4">
        <v>133.91999999999999</v>
      </c>
      <c r="AA53" s="4">
        <v>34.6</v>
      </c>
      <c r="AB53" s="4">
        <v>230.18</v>
      </c>
      <c r="AC53" s="4">
        <v>151.72</v>
      </c>
      <c r="AD53" s="4">
        <v>192.82</v>
      </c>
      <c r="AF53" s="4">
        <v>1.803380476026216</v>
      </c>
      <c r="AG53" s="4">
        <v>0.79247292739215325</v>
      </c>
      <c r="AH53" s="4">
        <v>0.96071081493822019</v>
      </c>
      <c r="AI53" s="4">
        <v>1.6770856102003644</v>
      </c>
      <c r="AJ53" s="4">
        <v>5.0718387922792516</v>
      </c>
      <c r="AK53" s="4">
        <v>1.1370444627904233</v>
      </c>
      <c r="AM53" s="450">
        <v>45889</v>
      </c>
      <c r="AN53" s="451">
        <v>231.7</v>
      </c>
      <c r="AO53" s="451">
        <v>1833600</v>
      </c>
      <c r="AP53" s="451">
        <v>235.8991</v>
      </c>
      <c r="AQ53" s="451">
        <v>54657.821469999995</v>
      </c>
      <c r="AR53" s="451">
        <v>0.63500000000000001</v>
      </c>
    </row>
    <row r="54" spans="2:44">
      <c r="B54" s="452">
        <v>45595</v>
      </c>
      <c r="C54" s="448">
        <v>10.4558</v>
      </c>
      <c r="D54" s="448">
        <v>10.357200000000001</v>
      </c>
      <c r="E54" s="448">
        <v>6.2588999999999997</v>
      </c>
      <c r="F54" s="448">
        <v>22.148499999999999</v>
      </c>
      <c r="G54" s="448">
        <v>17.473099999999999</v>
      </c>
      <c r="H54" s="448">
        <v>9.3119999999999994</v>
      </c>
      <c r="I54" s="452">
        <v>45595</v>
      </c>
      <c r="J54" s="448">
        <v>14.952299999999999</v>
      </c>
      <c r="K54" s="448">
        <v>18.334700000000002</v>
      </c>
      <c r="L54" s="448">
        <v>13.387499999999999</v>
      </c>
      <c r="M54" s="448">
        <v>35.9848</v>
      </c>
      <c r="N54" s="448">
        <v>40.486400000000003</v>
      </c>
      <c r="O54" s="448">
        <v>32.0122</v>
      </c>
      <c r="P54" s="448"/>
      <c r="Q54" s="452">
        <v>45595</v>
      </c>
      <c r="R54" s="4">
        <v>269.56</v>
      </c>
      <c r="S54" s="4">
        <v>19773.3</v>
      </c>
      <c r="T54" s="4">
        <v>872.74</v>
      </c>
      <c r="U54" s="4">
        <v>1.85967575025871</v>
      </c>
      <c r="V54" s="4">
        <v>1.7542351453855878</v>
      </c>
      <c r="W54" s="4">
        <v>1.0753591759284358</v>
      </c>
      <c r="Y54" s="448">
        <v>269.56</v>
      </c>
      <c r="Z54" s="4">
        <v>133.80000000000001</v>
      </c>
      <c r="AA54" s="4">
        <v>37.18</v>
      </c>
      <c r="AB54" s="4">
        <v>203.82</v>
      </c>
      <c r="AC54" s="4">
        <v>133.99</v>
      </c>
      <c r="AD54" s="4">
        <v>181.88</v>
      </c>
      <c r="AF54" s="4">
        <v>1.85967575025871</v>
      </c>
      <c r="AG54" s="4">
        <v>0.79176282620273386</v>
      </c>
      <c r="AH54" s="4">
        <v>1.0323476329307233</v>
      </c>
      <c r="AI54" s="4">
        <v>1.4850273224043715</v>
      </c>
      <c r="AJ54" s="4">
        <v>4.4791436842703467</v>
      </c>
      <c r="AK54" s="4">
        <v>1.0725321382238471</v>
      </c>
      <c r="AM54" s="450">
        <v>45888</v>
      </c>
      <c r="AN54" s="451">
        <v>225.73</v>
      </c>
      <c r="AO54" s="451">
        <v>1149808</v>
      </c>
      <c r="AP54" s="451">
        <v>235.8991</v>
      </c>
      <c r="AQ54" s="451">
        <v>53249.503842999999</v>
      </c>
      <c r="AR54" s="451">
        <v>0.61860000000000004</v>
      </c>
    </row>
    <row r="55" spans="2:44">
      <c r="B55" s="452">
        <v>45588</v>
      </c>
      <c r="C55" s="448">
        <v>10.299799999999999</v>
      </c>
      <c r="D55" s="448">
        <v>10.1999</v>
      </c>
      <c r="E55" s="448">
        <v>6.2263999999999999</v>
      </c>
      <c r="F55" s="448">
        <v>20.5017</v>
      </c>
      <c r="G55" s="448">
        <v>14.8986</v>
      </c>
      <c r="H55" s="448">
        <v>9.1020000000000003</v>
      </c>
      <c r="I55" s="452">
        <v>45588</v>
      </c>
      <c r="J55" s="448">
        <v>14.6233</v>
      </c>
      <c r="K55" s="448">
        <v>18.007200000000001</v>
      </c>
      <c r="L55" s="448">
        <v>13.2867</v>
      </c>
      <c r="M55" s="448">
        <v>33.31</v>
      </c>
      <c r="N55" s="448">
        <v>33.077399999999997</v>
      </c>
      <c r="O55" s="448">
        <v>30.880400000000002</v>
      </c>
      <c r="P55" s="448"/>
      <c r="Q55" s="452">
        <v>45588</v>
      </c>
      <c r="R55" s="4">
        <v>267.13</v>
      </c>
      <c r="S55" s="4">
        <v>19944.84</v>
      </c>
      <c r="T55" s="4">
        <v>856.95</v>
      </c>
      <c r="U55" s="4">
        <v>1.8429113487409452</v>
      </c>
      <c r="V55" s="4">
        <v>1.7694537228025817</v>
      </c>
      <c r="W55" s="4">
        <v>1.0559032997363169</v>
      </c>
      <c r="Y55" s="448">
        <v>267.13</v>
      </c>
      <c r="Z55" s="4">
        <v>131.41</v>
      </c>
      <c r="AA55" s="4">
        <v>36.9</v>
      </c>
      <c r="AB55" s="4">
        <v>188.67</v>
      </c>
      <c r="AC55" s="4">
        <v>109.47</v>
      </c>
      <c r="AD55" s="4">
        <v>175.45</v>
      </c>
      <c r="AF55" s="4">
        <v>1.8429113487409452</v>
      </c>
      <c r="AG55" s="4">
        <v>0.77761997751346223</v>
      </c>
      <c r="AH55" s="4">
        <v>1.02457309454394</v>
      </c>
      <c r="AI55" s="4">
        <v>1.3746448087431693</v>
      </c>
      <c r="AJ55" s="4">
        <v>3.6594660729686903</v>
      </c>
      <c r="AK55" s="4">
        <v>1.0346149310060146</v>
      </c>
      <c r="AM55" s="450">
        <v>45887</v>
      </c>
      <c r="AN55" s="451">
        <v>226.62</v>
      </c>
      <c r="AO55" s="451">
        <v>1776872</v>
      </c>
      <c r="AP55" s="451">
        <v>239.59891999999999</v>
      </c>
      <c r="AQ55" s="451">
        <v>54297.9072504</v>
      </c>
      <c r="AR55" s="451">
        <v>0.621</v>
      </c>
    </row>
    <row r="56" spans="2:44">
      <c r="B56" s="452">
        <v>45581</v>
      </c>
      <c r="C56" s="448">
        <v>10.396800000000001</v>
      </c>
      <c r="D56" s="448">
        <v>10.491400000000001</v>
      </c>
      <c r="E56" s="448">
        <v>6.3470000000000004</v>
      </c>
      <c r="F56" s="448">
        <v>22.1126</v>
      </c>
      <c r="G56" s="448">
        <v>15.670999999999999</v>
      </c>
      <c r="H56" s="448">
        <v>9.3279999999999994</v>
      </c>
      <c r="I56" s="452">
        <v>45581</v>
      </c>
      <c r="J56" s="448">
        <v>14.8279</v>
      </c>
      <c r="K56" s="448">
        <v>18.6143</v>
      </c>
      <c r="L56" s="448">
        <v>13.661199999999999</v>
      </c>
      <c r="M56" s="448">
        <v>35.926499999999997</v>
      </c>
      <c r="N56" s="448">
        <v>35.301299999999998</v>
      </c>
      <c r="O56" s="448">
        <v>31.707699999999999</v>
      </c>
      <c r="P56" s="448"/>
      <c r="Q56" s="452">
        <v>45581</v>
      </c>
      <c r="R56" s="4">
        <v>297.33999999999997</v>
      </c>
      <c r="S56" s="4">
        <v>19432.400000000001</v>
      </c>
      <c r="T56" s="4">
        <v>884.84</v>
      </c>
      <c r="U56" s="4">
        <v>2.0513280441531561</v>
      </c>
      <c r="V56" s="4">
        <v>1.7239913944152419</v>
      </c>
      <c r="W56" s="4">
        <v>1.0902683654106804</v>
      </c>
      <c r="Y56" s="448">
        <v>297.33999999999997</v>
      </c>
      <c r="Z56" s="4">
        <v>135.84</v>
      </c>
      <c r="AA56" s="4">
        <v>37.94</v>
      </c>
      <c r="AB56" s="4">
        <v>203.49</v>
      </c>
      <c r="AC56" s="4">
        <v>116.83</v>
      </c>
      <c r="AD56" s="4">
        <v>180.15</v>
      </c>
      <c r="AF56" s="4">
        <v>2.0513280441531561</v>
      </c>
      <c r="AG56" s="4">
        <v>0.80383454642286523</v>
      </c>
      <c r="AH56" s="4">
        <v>1.0534499514091351</v>
      </c>
      <c r="AI56" s="4">
        <v>1.4826229508196722</v>
      </c>
      <c r="AJ56" s="4">
        <v>3.9055030721195951</v>
      </c>
      <c r="AK56" s="4">
        <v>1.0623304634980539</v>
      </c>
      <c r="AM56" s="450">
        <v>45886</v>
      </c>
      <c r="AN56" s="451">
        <v>226.62</v>
      </c>
      <c r="AO56" s="451">
        <v>1776872</v>
      </c>
      <c r="AP56" s="451">
        <v>239.59891999999999</v>
      </c>
      <c r="AQ56" s="451">
        <v>54297.9072504</v>
      </c>
      <c r="AR56" s="451">
        <v>0.621</v>
      </c>
    </row>
    <row r="57" spans="2:44">
      <c r="B57" s="452">
        <v>45574</v>
      </c>
      <c r="C57" s="448">
        <v>10.2117</v>
      </c>
      <c r="D57" s="448">
        <v>10.304500000000001</v>
      </c>
      <c r="E57" s="448">
        <v>6.4084000000000003</v>
      </c>
      <c r="F57" s="448">
        <v>21.128900000000002</v>
      </c>
      <c r="G57" s="448">
        <v>14.8535</v>
      </c>
      <c r="H57" s="448">
        <v>8.6518999999999995</v>
      </c>
      <c r="I57" s="452">
        <v>45574</v>
      </c>
      <c r="J57" s="448">
        <v>14.4373</v>
      </c>
      <c r="K57" s="448">
        <v>18.225100000000001</v>
      </c>
      <c r="L57" s="448">
        <v>13.852</v>
      </c>
      <c r="M57" s="448">
        <v>34.328699999999998</v>
      </c>
      <c r="N57" s="448">
        <v>32.947499999999998</v>
      </c>
      <c r="O57" s="448">
        <v>29.233000000000001</v>
      </c>
      <c r="P57" s="448"/>
      <c r="Q57" s="452">
        <v>45574</v>
      </c>
      <c r="R57" s="4">
        <v>283.85000000000002</v>
      </c>
      <c r="S57" s="4">
        <v>18829.14</v>
      </c>
      <c r="T57" s="4">
        <v>867.17</v>
      </c>
      <c r="U57" s="4">
        <v>1.958261469472232</v>
      </c>
      <c r="V57" s="4">
        <v>1.6704717546077583</v>
      </c>
      <c r="W57" s="4">
        <v>1.0684960201089233</v>
      </c>
      <c r="Y57" s="448">
        <v>283.85000000000002</v>
      </c>
      <c r="Z57" s="4">
        <v>133</v>
      </c>
      <c r="AA57" s="4">
        <v>38.47</v>
      </c>
      <c r="AB57" s="4">
        <v>194.44</v>
      </c>
      <c r="AC57" s="4">
        <v>109.04</v>
      </c>
      <c r="AD57" s="4">
        <v>166.09</v>
      </c>
      <c r="AF57" s="4">
        <v>1.958261469472232</v>
      </c>
      <c r="AG57" s="4">
        <v>0.78702881827327054</v>
      </c>
      <c r="AH57" s="4">
        <v>1.0681660419269747</v>
      </c>
      <c r="AI57" s="4">
        <v>1.4166848816029143</v>
      </c>
      <c r="AJ57" s="4">
        <v>3.6450916287248196</v>
      </c>
      <c r="AK57" s="4">
        <v>0.97941974289420919</v>
      </c>
      <c r="AM57" s="450">
        <v>45885</v>
      </c>
      <c r="AN57" s="451">
        <v>226.62</v>
      </c>
      <c r="AO57" s="451">
        <v>1776872</v>
      </c>
      <c r="AP57" s="451">
        <v>239.59891999999999</v>
      </c>
      <c r="AQ57" s="451">
        <v>54297.9072504</v>
      </c>
      <c r="AR57" s="451">
        <v>0.621</v>
      </c>
    </row>
    <row r="58" spans="2:44">
      <c r="B58" s="452">
        <v>45567</v>
      </c>
      <c r="C58" s="448">
        <v>10.270899999999999</v>
      </c>
      <c r="D58" s="448">
        <v>10.305199999999999</v>
      </c>
      <c r="E58" s="448">
        <v>6.4246999999999996</v>
      </c>
      <c r="F58" s="448">
        <v>21.026700000000002</v>
      </c>
      <c r="G58" s="448">
        <v>14.6866</v>
      </c>
      <c r="H58" s="448">
        <v>8.7505000000000006</v>
      </c>
      <c r="I58" s="452">
        <v>45567</v>
      </c>
      <c r="J58" s="448">
        <v>14.562200000000001</v>
      </c>
      <c r="K58" s="448">
        <v>18.226500000000001</v>
      </c>
      <c r="L58" s="448">
        <v>13.9024</v>
      </c>
      <c r="M58" s="448">
        <v>34.162799999999997</v>
      </c>
      <c r="N58" s="448">
        <v>32.467100000000002</v>
      </c>
      <c r="O58" s="448">
        <v>29.593800000000002</v>
      </c>
      <c r="P58" s="448"/>
      <c r="Q58" s="452">
        <v>45567</v>
      </c>
      <c r="R58" s="4">
        <v>293.48</v>
      </c>
      <c r="S58" s="4">
        <v>18958.73</v>
      </c>
      <c r="T58" s="4">
        <v>871.8</v>
      </c>
      <c r="U58" s="4">
        <v>2.0246981717833741</v>
      </c>
      <c r="V58" s="4">
        <v>1.6819686384101846</v>
      </c>
      <c r="W58" s="4">
        <v>1.0742009413736169</v>
      </c>
      <c r="Y58" s="448">
        <v>293.48</v>
      </c>
      <c r="Z58" s="4">
        <v>133.01</v>
      </c>
      <c r="AA58" s="4">
        <v>38.61</v>
      </c>
      <c r="AB58" s="4">
        <v>193.5</v>
      </c>
      <c r="AC58" s="4">
        <v>107.45</v>
      </c>
      <c r="AD58" s="4">
        <v>168.14</v>
      </c>
      <c r="AF58" s="4">
        <v>2.0246981717833741</v>
      </c>
      <c r="AG58" s="4">
        <v>0.78708799337238877</v>
      </c>
      <c r="AH58" s="4">
        <v>1.0720533111203665</v>
      </c>
      <c r="AI58" s="4">
        <v>1.4098360655737705</v>
      </c>
      <c r="AJ58" s="4">
        <v>3.5919396139625999</v>
      </c>
      <c r="AK58" s="4">
        <v>0.99150843259818355</v>
      </c>
      <c r="AM58" s="450">
        <v>45884</v>
      </c>
      <c r="AN58" s="451">
        <v>228.37</v>
      </c>
      <c r="AO58" s="451">
        <v>1328928</v>
      </c>
      <c r="AP58" s="451">
        <v>239.59891999999999</v>
      </c>
      <c r="AQ58" s="451">
        <v>54717.205360400003</v>
      </c>
      <c r="AR58" s="451">
        <v>0.62580000000000002</v>
      </c>
    </row>
    <row r="59" spans="2:44">
      <c r="B59" s="452">
        <v>45560</v>
      </c>
      <c r="C59" s="448">
        <v>10.1892</v>
      </c>
      <c r="D59" s="448">
        <v>10.7743</v>
      </c>
      <c r="E59" s="448">
        <v>6.4755000000000003</v>
      </c>
      <c r="F59" s="448">
        <v>21.2226</v>
      </c>
      <c r="G59" s="448">
        <v>16.002300000000002</v>
      </c>
      <c r="H59" s="448">
        <v>8.8597000000000001</v>
      </c>
      <c r="I59" s="452">
        <v>45560</v>
      </c>
      <c r="J59" s="448">
        <v>14.389799999999999</v>
      </c>
      <c r="K59" s="448">
        <v>18.9846</v>
      </c>
      <c r="L59" s="448">
        <v>13.648199999999999</v>
      </c>
      <c r="M59" s="448">
        <v>34.523800000000001</v>
      </c>
      <c r="N59" s="448">
        <v>35.704799999999999</v>
      </c>
      <c r="O59" s="448">
        <v>28.4178</v>
      </c>
      <c r="P59" s="448"/>
      <c r="Q59" s="452">
        <v>45560</v>
      </c>
      <c r="R59" s="4">
        <v>294.89999999999998</v>
      </c>
      <c r="S59" s="4">
        <v>19581.52</v>
      </c>
      <c r="T59" s="4">
        <v>873.93</v>
      </c>
      <c r="U59" s="4">
        <v>2.0344946533287342</v>
      </c>
      <c r="V59" s="4">
        <v>1.7372209284272628</v>
      </c>
      <c r="W59" s="4">
        <v>1.0768254515882598</v>
      </c>
      <c r="Y59" s="448">
        <v>294.89999999999998</v>
      </c>
      <c r="Z59" s="4">
        <v>131.51</v>
      </c>
      <c r="AA59" s="4">
        <v>38.450000000000003</v>
      </c>
      <c r="AB59" s="4">
        <v>199.46</v>
      </c>
      <c r="AC59" s="4">
        <v>113.86</v>
      </c>
      <c r="AD59" s="4">
        <v>171.74</v>
      </c>
      <c r="AF59" s="4">
        <v>2.0344946533287342</v>
      </c>
      <c r="AG59" s="4">
        <v>0.77821172850464515</v>
      </c>
      <c r="AH59" s="4">
        <v>1.0676107177564904</v>
      </c>
      <c r="AI59" s="4">
        <v>1.4532604735883425</v>
      </c>
      <c r="AJ59" s="4">
        <v>3.8062191200165807</v>
      </c>
      <c r="AK59" s="4">
        <v>1.0127373511027244</v>
      </c>
      <c r="AM59" s="450">
        <v>45883</v>
      </c>
      <c r="AN59" s="451">
        <v>228.75</v>
      </c>
      <c r="AO59" s="451">
        <v>1906491</v>
      </c>
      <c r="AP59" s="451">
        <v>239.59891999999999</v>
      </c>
      <c r="AQ59" s="451">
        <v>54808.252950000002</v>
      </c>
      <c r="AR59" s="451">
        <v>0.62690000000000001</v>
      </c>
    </row>
    <row r="60" spans="2:44">
      <c r="B60" s="452">
        <v>45553</v>
      </c>
      <c r="C60" s="448">
        <v>11.0989</v>
      </c>
      <c r="D60" s="448">
        <v>10.714399999999999</v>
      </c>
      <c r="E60" s="448">
        <v>6.6398999999999999</v>
      </c>
      <c r="F60" s="448">
        <v>20.934000000000001</v>
      </c>
      <c r="G60" s="448">
        <v>15.7448</v>
      </c>
      <c r="H60" s="448">
        <v>8.7456999999999994</v>
      </c>
      <c r="I60" s="452">
        <v>45553</v>
      </c>
      <c r="J60" s="448">
        <v>16.266500000000001</v>
      </c>
      <c r="K60" s="448">
        <v>18.860399999999998</v>
      </c>
      <c r="L60" s="448">
        <v>14.1523</v>
      </c>
      <c r="M60" s="448">
        <v>34.054699999999997</v>
      </c>
      <c r="N60" s="448">
        <v>34.961599999999997</v>
      </c>
      <c r="O60" s="448">
        <v>28.022400000000001</v>
      </c>
      <c r="P60" s="448"/>
      <c r="Q60" s="452">
        <v>45553</v>
      </c>
      <c r="R60" s="4">
        <v>288.44</v>
      </c>
      <c r="S60" s="4">
        <v>19719.82</v>
      </c>
      <c r="T60" s="4">
        <v>866.56</v>
      </c>
      <c r="U60" s="4">
        <v>1.9899275612280098</v>
      </c>
      <c r="V60" s="4">
        <v>1.7494905405105685</v>
      </c>
      <c r="W60" s="4">
        <v>1.067744399812711</v>
      </c>
      <c r="Y60" s="448">
        <v>288.44</v>
      </c>
      <c r="Z60" s="4">
        <v>130.65</v>
      </c>
      <c r="AA60" s="4">
        <v>39.869999999999997</v>
      </c>
      <c r="AB60" s="4">
        <v>196.75</v>
      </c>
      <c r="AC60" s="4">
        <v>111.49</v>
      </c>
      <c r="AD60" s="4">
        <v>169.35</v>
      </c>
      <c r="AF60" s="4">
        <v>1.9899275612280098</v>
      </c>
      <c r="AG60" s="4">
        <v>0.77312266998047219</v>
      </c>
      <c r="AH60" s="4">
        <v>1.1070387338608911</v>
      </c>
      <c r="AI60" s="4">
        <v>1.4335154826958105</v>
      </c>
      <c r="AJ60" s="4">
        <v>3.7269925319747808</v>
      </c>
      <c r="AK60" s="4">
        <v>0.99864370798443203</v>
      </c>
      <c r="AM60" s="450">
        <v>45882</v>
      </c>
      <c r="AN60" s="451">
        <v>230.66</v>
      </c>
      <c r="AO60" s="451">
        <v>1720309</v>
      </c>
      <c r="AP60" s="451">
        <v>239.59891999999999</v>
      </c>
      <c r="AQ60" s="451">
        <v>55265.886887199995</v>
      </c>
      <c r="AR60" s="451">
        <v>0.6321</v>
      </c>
    </row>
    <row r="61" spans="2:44">
      <c r="B61" s="452">
        <v>45546</v>
      </c>
      <c r="C61" s="448">
        <v>10.7538</v>
      </c>
      <c r="D61" s="448">
        <v>10.5648</v>
      </c>
      <c r="E61" s="448">
        <v>6.5911999999999997</v>
      </c>
      <c r="F61" s="448">
        <v>20.092500000000001</v>
      </c>
      <c r="G61" s="448">
        <v>14.809100000000001</v>
      </c>
      <c r="H61" s="448">
        <v>8.7414000000000005</v>
      </c>
      <c r="I61" s="452">
        <v>45546</v>
      </c>
      <c r="J61" s="448">
        <v>15.5403</v>
      </c>
      <c r="K61" s="448">
        <v>18.5501</v>
      </c>
      <c r="L61" s="448">
        <v>14.0032</v>
      </c>
      <c r="M61" s="448">
        <v>32.6873</v>
      </c>
      <c r="N61" s="448">
        <v>32.261600000000001</v>
      </c>
      <c r="O61" s="448">
        <v>28.0075</v>
      </c>
      <c r="P61" s="448"/>
      <c r="Q61" s="452">
        <v>45546</v>
      </c>
      <c r="R61" s="4">
        <v>283.10000000000002</v>
      </c>
      <c r="S61" s="4">
        <v>19006.43</v>
      </c>
      <c r="T61" s="4">
        <v>852.02</v>
      </c>
      <c r="U61" s="4">
        <v>1.9530872714729219</v>
      </c>
      <c r="V61" s="4">
        <v>1.6862004568944486</v>
      </c>
      <c r="W61" s="4">
        <v>1.0498287291456172</v>
      </c>
      <c r="Y61" s="448">
        <v>283.10000000000002</v>
      </c>
      <c r="Z61" s="4">
        <v>128.5</v>
      </c>
      <c r="AA61" s="4">
        <v>39.450000000000003</v>
      </c>
      <c r="AB61" s="4">
        <v>188.85</v>
      </c>
      <c r="AC61" s="4">
        <v>102.88</v>
      </c>
      <c r="AD61" s="4">
        <v>169.26</v>
      </c>
      <c r="AF61" s="4">
        <v>1.9530872714729219</v>
      </c>
      <c r="AG61" s="4">
        <v>0.76040002367003956</v>
      </c>
      <c r="AH61" s="4">
        <v>1.0953769262807165</v>
      </c>
      <c r="AI61" s="4">
        <v>1.3759562841530055</v>
      </c>
      <c r="AJ61" s="4">
        <v>3.4391693576963447</v>
      </c>
      <c r="AK61" s="4">
        <v>0.99811298502181844</v>
      </c>
      <c r="AM61" s="450">
        <v>45881</v>
      </c>
      <c r="AN61" s="451">
        <v>233.98</v>
      </c>
      <c r="AO61" s="451">
        <v>1433186</v>
      </c>
      <c r="AP61" s="451">
        <v>239.59891999999999</v>
      </c>
      <c r="AQ61" s="451">
        <v>56061.355301599993</v>
      </c>
      <c r="AR61" s="451">
        <v>0.64119999999999999</v>
      </c>
    </row>
    <row r="62" spans="2:44">
      <c r="B62" s="452">
        <v>45539</v>
      </c>
      <c r="C62" s="448">
        <v>10.960699999999999</v>
      </c>
      <c r="D62" s="448">
        <v>10.593999999999999</v>
      </c>
      <c r="E62" s="448">
        <v>6.5345000000000004</v>
      </c>
      <c r="F62" s="448">
        <v>20.8157</v>
      </c>
      <c r="G62" s="448">
        <v>15.980600000000001</v>
      </c>
      <c r="H62" s="448">
        <v>8.9111999999999991</v>
      </c>
      <c r="I62" s="452">
        <v>45539</v>
      </c>
      <c r="J62" s="448">
        <v>15.9757</v>
      </c>
      <c r="K62" s="448">
        <v>18.610700000000001</v>
      </c>
      <c r="L62" s="448">
        <v>13.8293</v>
      </c>
      <c r="M62" s="448">
        <v>33.8626</v>
      </c>
      <c r="N62" s="448">
        <v>35.642000000000003</v>
      </c>
      <c r="O62" s="448">
        <v>28.596499999999999</v>
      </c>
      <c r="P62" s="448"/>
      <c r="Q62" s="452">
        <v>45539</v>
      </c>
      <c r="R62" s="4">
        <v>285.73</v>
      </c>
      <c r="S62" s="4">
        <v>18077.919999999998</v>
      </c>
      <c r="T62" s="4">
        <v>846.49</v>
      </c>
      <c r="U62" s="4">
        <v>1.971231459123836</v>
      </c>
      <c r="V62" s="4">
        <v>1.6038254929358793</v>
      </c>
      <c r="W62" s="4">
        <v>1.0430148599029054</v>
      </c>
      <c r="Y62" s="448">
        <v>285.73</v>
      </c>
      <c r="Z62" s="4">
        <v>128.91999999999999</v>
      </c>
      <c r="AA62" s="4">
        <v>38.96</v>
      </c>
      <c r="AB62" s="4">
        <v>195.64</v>
      </c>
      <c r="AC62" s="4">
        <v>113.66</v>
      </c>
      <c r="AD62" s="4">
        <v>172.82</v>
      </c>
      <c r="AF62" s="4">
        <v>1.971231459123836</v>
      </c>
      <c r="AG62" s="4">
        <v>0.76288537783300781</v>
      </c>
      <c r="AH62" s="4">
        <v>1.0817714841038457</v>
      </c>
      <c r="AI62" s="4">
        <v>1.4254280510018214</v>
      </c>
      <c r="AJ62" s="4">
        <v>3.7995333319961753</v>
      </c>
      <c r="AK62" s="4">
        <v>1.0191060266540866</v>
      </c>
      <c r="AM62" s="450">
        <v>45880</v>
      </c>
      <c r="AN62" s="451">
        <v>236.06</v>
      </c>
      <c r="AO62" s="451">
        <v>1667418</v>
      </c>
      <c r="AP62" s="451">
        <v>239.59891999999999</v>
      </c>
      <c r="AQ62" s="451">
        <v>56559.721055199996</v>
      </c>
      <c r="AR62" s="451">
        <v>0.64690000000000003</v>
      </c>
    </row>
    <row r="63" spans="2:44">
      <c r="B63" s="452">
        <v>45532</v>
      </c>
      <c r="C63" s="448">
        <v>10.5382</v>
      </c>
      <c r="D63" s="448">
        <v>10.473599999999999</v>
      </c>
      <c r="E63" s="448">
        <v>6.4650999999999996</v>
      </c>
      <c r="F63" s="448">
        <v>20.662400000000002</v>
      </c>
      <c r="G63" s="448">
        <v>16.432700000000001</v>
      </c>
      <c r="H63" s="448">
        <v>8.9756</v>
      </c>
      <c r="I63" s="452">
        <v>45532</v>
      </c>
      <c r="J63" s="448">
        <v>15.365399999999999</v>
      </c>
      <c r="K63" s="448">
        <v>18.360900000000001</v>
      </c>
      <c r="L63" s="448">
        <v>13.616300000000001</v>
      </c>
      <c r="M63" s="448">
        <v>33.613399999999999</v>
      </c>
      <c r="N63" s="448">
        <v>36.946599999999997</v>
      </c>
      <c r="O63" s="448">
        <v>28.819900000000001</v>
      </c>
      <c r="P63" s="448"/>
      <c r="Q63" s="452">
        <v>45532</v>
      </c>
      <c r="R63" s="4">
        <v>300.88</v>
      </c>
      <c r="S63" s="4">
        <v>18796.27</v>
      </c>
      <c r="T63" s="4">
        <v>878.01</v>
      </c>
      <c r="U63" s="4">
        <v>2.0757502587098999</v>
      </c>
      <c r="V63" s="4">
        <v>1.667555614700468</v>
      </c>
      <c r="W63" s="4">
        <v>1.0818526824219423</v>
      </c>
      <c r="Y63" s="448">
        <v>300.88</v>
      </c>
      <c r="Z63" s="4">
        <v>127.19</v>
      </c>
      <c r="AA63" s="4">
        <v>38.36</v>
      </c>
      <c r="AB63" s="4">
        <v>194.2</v>
      </c>
      <c r="AC63" s="4">
        <v>117.82</v>
      </c>
      <c r="AD63" s="4">
        <v>174.17</v>
      </c>
      <c r="AF63" s="4">
        <v>2.0757502587098999</v>
      </c>
      <c r="AG63" s="4">
        <v>0.75264808568554342</v>
      </c>
      <c r="AH63" s="4">
        <v>1.06511175898931</v>
      </c>
      <c r="AI63" s="4">
        <v>1.4149362477231329</v>
      </c>
      <c r="AJ63" s="4">
        <v>3.9385977228205999</v>
      </c>
      <c r="AK63" s="4">
        <v>1.0270668710932891</v>
      </c>
      <c r="AM63" s="450">
        <v>45879</v>
      </c>
      <c r="AN63" s="451">
        <v>236.06</v>
      </c>
      <c r="AO63" s="451">
        <v>1667418</v>
      </c>
      <c r="AP63" s="451">
        <v>239.59891999999999</v>
      </c>
      <c r="AQ63" s="451">
        <v>56559.721055199996</v>
      </c>
      <c r="AR63" s="451">
        <v>0.64690000000000003</v>
      </c>
    </row>
    <row r="64" spans="2:44">
      <c r="B64" s="452">
        <v>45525</v>
      </c>
      <c r="C64" s="448">
        <v>10.423500000000001</v>
      </c>
      <c r="D64" s="448">
        <v>10.523</v>
      </c>
      <c r="E64" s="448">
        <v>6.4142000000000001</v>
      </c>
      <c r="F64" s="448">
        <v>21.588999999999999</v>
      </c>
      <c r="G64" s="448">
        <v>16.914100000000001</v>
      </c>
      <c r="H64" s="448">
        <v>9.0389999999999997</v>
      </c>
      <c r="I64" s="452">
        <v>45525</v>
      </c>
      <c r="J64" s="448">
        <v>15.126200000000001</v>
      </c>
      <c r="K64" s="448">
        <v>18.4634</v>
      </c>
      <c r="L64" s="448">
        <v>13.460100000000001</v>
      </c>
      <c r="M64" s="448">
        <v>35.119199999999999</v>
      </c>
      <c r="N64" s="448">
        <v>38.335700000000003</v>
      </c>
      <c r="O64" s="448">
        <v>29.04</v>
      </c>
      <c r="P64" s="448"/>
      <c r="Q64" s="452">
        <v>45525</v>
      </c>
      <c r="R64" s="4">
        <v>300.8</v>
      </c>
      <c r="S64" s="4">
        <v>19754.34</v>
      </c>
      <c r="T64" s="4">
        <v>873.37</v>
      </c>
      <c r="U64" s="4">
        <v>2.0751983442566404</v>
      </c>
      <c r="V64" s="4">
        <v>1.7525530640761195</v>
      </c>
      <c r="W64" s="4">
        <v>1.0761354395130485</v>
      </c>
      <c r="Y64" s="448">
        <v>300.8</v>
      </c>
      <c r="Z64" s="4">
        <v>127.9</v>
      </c>
      <c r="AA64" s="4">
        <v>37.92</v>
      </c>
      <c r="AB64" s="4">
        <v>202.9</v>
      </c>
      <c r="AC64" s="4">
        <v>122.25</v>
      </c>
      <c r="AD64" s="4">
        <v>175.5</v>
      </c>
      <c r="AF64" s="4">
        <v>2.0751983442566404</v>
      </c>
      <c r="AG64" s="4">
        <v>0.75684951772294218</v>
      </c>
      <c r="AH64" s="4">
        <v>1.0528946272386506</v>
      </c>
      <c r="AI64" s="4">
        <v>1.4783242258652096</v>
      </c>
      <c r="AJ64" s="4">
        <v>4.0866879274725711</v>
      </c>
      <c r="AK64" s="4">
        <v>1.0349097770963556</v>
      </c>
      <c r="AM64" s="450">
        <v>45878</v>
      </c>
      <c r="AN64" s="451">
        <v>236.06</v>
      </c>
      <c r="AO64" s="451">
        <v>1667418</v>
      </c>
      <c r="AP64" s="451">
        <v>239.59891999999999</v>
      </c>
      <c r="AQ64" s="451">
        <v>56559.721055199996</v>
      </c>
      <c r="AR64" s="451">
        <v>0.64690000000000003</v>
      </c>
    </row>
    <row r="65" spans="2:44">
      <c r="B65" s="452">
        <v>45518</v>
      </c>
      <c r="C65" s="448">
        <v>10.2197</v>
      </c>
      <c r="D65" s="448">
        <v>10.42</v>
      </c>
      <c r="E65" s="448">
        <v>6.2370999999999999</v>
      </c>
      <c r="F65" s="448">
        <v>20.534500000000001</v>
      </c>
      <c r="G65" s="448">
        <v>16.322900000000001</v>
      </c>
      <c r="H65" s="448">
        <v>8.4728999999999992</v>
      </c>
      <c r="I65" s="452">
        <v>45518</v>
      </c>
      <c r="J65" s="448">
        <v>14.7013</v>
      </c>
      <c r="K65" s="448">
        <v>18.2498</v>
      </c>
      <c r="L65" s="448">
        <v>12.917</v>
      </c>
      <c r="M65" s="448">
        <v>33.405700000000003</v>
      </c>
      <c r="N65" s="448">
        <v>36.629800000000003</v>
      </c>
      <c r="O65" s="448">
        <v>27.075900000000001</v>
      </c>
      <c r="P65" s="448"/>
      <c r="Q65" s="452">
        <v>45518</v>
      </c>
      <c r="R65" s="4">
        <v>313.52</v>
      </c>
      <c r="S65" s="4">
        <v>20398.63</v>
      </c>
      <c r="T65" s="4">
        <v>949.73</v>
      </c>
      <c r="U65" s="4">
        <v>2.1629527423249395</v>
      </c>
      <c r="V65" s="4">
        <v>1.8097127775190189</v>
      </c>
      <c r="W65" s="4">
        <v>1.1702235146257915</v>
      </c>
      <c r="Y65" s="448">
        <v>313.52</v>
      </c>
      <c r="Z65" s="4">
        <v>126.42</v>
      </c>
      <c r="AA65" s="4">
        <v>36.39</v>
      </c>
      <c r="AB65" s="4">
        <v>193</v>
      </c>
      <c r="AC65" s="4">
        <v>116.81</v>
      </c>
      <c r="AD65" s="4">
        <v>163.63</v>
      </c>
      <c r="AF65" s="4">
        <v>2.1629527423249395</v>
      </c>
      <c r="AG65" s="4">
        <v>0.74809160305343514</v>
      </c>
      <c r="AH65" s="4">
        <v>1.0104123281965847</v>
      </c>
      <c r="AI65" s="4">
        <v>1.4061930783242258</v>
      </c>
      <c r="AJ65" s="4">
        <v>3.9048344933175549</v>
      </c>
      <c r="AK65" s="4">
        <v>0.96491331524943968</v>
      </c>
      <c r="AM65" s="450">
        <v>45877</v>
      </c>
      <c r="AN65" s="451">
        <v>238.73</v>
      </c>
      <c r="AO65" s="451">
        <v>1940500</v>
      </c>
      <c r="AP65" s="451">
        <v>239.59891999999999</v>
      </c>
      <c r="AQ65" s="451">
        <v>57199.450171599994</v>
      </c>
      <c r="AR65" s="451">
        <v>0.6542</v>
      </c>
    </row>
    <row r="66" spans="2:44">
      <c r="B66" s="452">
        <v>45511</v>
      </c>
      <c r="C66" s="448">
        <v>10.0717</v>
      </c>
      <c r="D66" s="448">
        <v>10.194000000000001</v>
      </c>
      <c r="E66" s="448">
        <v>6.2845000000000004</v>
      </c>
      <c r="F66" s="448">
        <v>20.5505</v>
      </c>
      <c r="G66" s="448">
        <v>15.5405</v>
      </c>
      <c r="H66" s="448">
        <v>8.4375999999999998</v>
      </c>
      <c r="I66" s="452">
        <v>45511</v>
      </c>
      <c r="J66" s="448">
        <v>14.4315</v>
      </c>
      <c r="K66" s="448">
        <v>17.802299999999999</v>
      </c>
      <c r="L66" s="448">
        <v>13.0626</v>
      </c>
      <c r="M66" s="448">
        <v>33.431600000000003</v>
      </c>
      <c r="N66" s="448">
        <v>34.372</v>
      </c>
      <c r="O66" s="448">
        <v>26.953399999999998</v>
      </c>
      <c r="P66" s="448"/>
      <c r="Q66" s="452">
        <v>45511</v>
      </c>
      <c r="R66" s="4">
        <v>292.73</v>
      </c>
      <c r="S66" s="4">
        <v>20453.02</v>
      </c>
      <c r="T66" s="4">
        <v>881.55</v>
      </c>
      <c r="U66" s="4">
        <v>2.0195239737840636</v>
      </c>
      <c r="V66" s="4">
        <v>1.8145381151995033</v>
      </c>
      <c r="W66" s="4">
        <v>1.0862145444688138</v>
      </c>
      <c r="Y66" s="448">
        <v>292.73</v>
      </c>
      <c r="Z66" s="4">
        <v>123.32</v>
      </c>
      <c r="AA66" s="4">
        <v>36.799999999999997</v>
      </c>
      <c r="AB66" s="4">
        <v>193.15</v>
      </c>
      <c r="AC66" s="4">
        <v>109.61</v>
      </c>
      <c r="AD66" s="4">
        <v>162.88999999999999</v>
      </c>
      <c r="AF66" s="4">
        <v>2.0195239737840636</v>
      </c>
      <c r="AG66" s="4">
        <v>0.72974732232676487</v>
      </c>
      <c r="AH66" s="4">
        <v>1.0217964736915173</v>
      </c>
      <c r="AI66" s="4">
        <v>1.4072859744990893</v>
      </c>
      <c r="AJ66" s="4">
        <v>3.6641461245829738</v>
      </c>
      <c r="AK66" s="4">
        <v>0.96054959311239518</v>
      </c>
      <c r="AM66" s="450">
        <v>45876</v>
      </c>
      <c r="AN66" s="451">
        <v>236.51</v>
      </c>
      <c r="AO66" s="451">
        <v>1938385</v>
      </c>
      <c r="AP66" s="451">
        <v>239.59891999999999</v>
      </c>
      <c r="AQ66" s="451">
        <v>56667.540569199999</v>
      </c>
      <c r="AR66" s="451">
        <v>0.64810000000000001</v>
      </c>
    </row>
    <row r="67" spans="2:44">
      <c r="B67" s="452">
        <v>45504</v>
      </c>
      <c r="C67" s="448">
        <v>10.670199999999999</v>
      </c>
      <c r="D67" s="448">
        <v>10.684200000000001</v>
      </c>
      <c r="E67" s="448">
        <v>6.7591000000000001</v>
      </c>
      <c r="F67" s="448">
        <v>22.676600000000001</v>
      </c>
      <c r="G67" s="448">
        <v>16.107600000000001</v>
      </c>
      <c r="H67" s="448">
        <v>8.9268999999999998</v>
      </c>
      <c r="I67" s="452">
        <v>45504</v>
      </c>
      <c r="J67" s="448">
        <v>15.683</v>
      </c>
      <c r="K67" s="448">
        <v>18.82</v>
      </c>
      <c r="L67" s="448">
        <v>14.517899999999999</v>
      </c>
      <c r="M67" s="448">
        <v>36.379300000000001</v>
      </c>
      <c r="N67" s="448">
        <v>36.027700000000003</v>
      </c>
      <c r="O67" s="448">
        <v>28.651199999999999</v>
      </c>
      <c r="P67" s="448"/>
      <c r="Q67" s="452">
        <v>45504</v>
      </c>
      <c r="R67" s="4">
        <v>298.22000000000003</v>
      </c>
      <c r="S67" s="4">
        <v>20011.89</v>
      </c>
      <c r="T67" s="4">
        <v>890.86</v>
      </c>
      <c r="U67" s="4">
        <v>2.057399103139014</v>
      </c>
      <c r="V67" s="4">
        <v>1.7754022223700845</v>
      </c>
      <c r="W67" s="4">
        <v>1.097685995219202</v>
      </c>
      <c r="Y67" s="448">
        <v>298.22000000000003</v>
      </c>
      <c r="Z67" s="4">
        <v>130.37</v>
      </c>
      <c r="AA67" s="4">
        <v>40.9</v>
      </c>
      <c r="AB67" s="4">
        <v>210.18</v>
      </c>
      <c r="AC67" s="4">
        <v>114.89</v>
      </c>
      <c r="AD67" s="4">
        <v>173.15</v>
      </c>
      <c r="AF67" s="4">
        <v>2.057399103139014</v>
      </c>
      <c r="AG67" s="4">
        <v>0.77146576720516002</v>
      </c>
      <c r="AH67" s="4">
        <v>1.135637928640844</v>
      </c>
      <c r="AI67" s="4">
        <v>1.5313661202185793</v>
      </c>
      <c r="AJ67" s="4">
        <v>3.8406509283216663</v>
      </c>
      <c r="AK67" s="4">
        <v>1.021052010850336</v>
      </c>
      <c r="AM67" s="450">
        <v>45875</v>
      </c>
      <c r="AN67" s="451">
        <v>238.71</v>
      </c>
      <c r="AO67" s="451">
        <v>1960342</v>
      </c>
      <c r="AP67" s="451">
        <v>239.59891999999999</v>
      </c>
      <c r="AQ67" s="451">
        <v>57194.658193199997</v>
      </c>
      <c r="AR67" s="451">
        <v>0.6542</v>
      </c>
    </row>
    <row r="68" spans="2:44">
      <c r="B68" s="452">
        <v>45497</v>
      </c>
      <c r="C68" s="448">
        <v>10.5717</v>
      </c>
      <c r="D68" s="448">
        <v>10.5562</v>
      </c>
      <c r="E68" s="448">
        <v>6.6318000000000001</v>
      </c>
      <c r="F68" s="448">
        <v>20.996200000000002</v>
      </c>
      <c r="G68" s="448">
        <v>15.5764</v>
      </c>
      <c r="H68" s="448">
        <v>8.5737000000000005</v>
      </c>
      <c r="I68" s="452">
        <v>45497</v>
      </c>
      <c r="J68" s="448">
        <v>15.477</v>
      </c>
      <c r="K68" s="448">
        <v>18.554400000000001</v>
      </c>
      <c r="L68" s="448">
        <v>14.1274</v>
      </c>
      <c r="M68" s="448">
        <v>33.686100000000003</v>
      </c>
      <c r="N68" s="448">
        <v>34.494300000000003</v>
      </c>
      <c r="O68" s="448">
        <v>27.103999999999999</v>
      </c>
      <c r="P68" s="448"/>
      <c r="Q68" s="452">
        <v>45497</v>
      </c>
      <c r="R68" s="4">
        <v>256.38</v>
      </c>
      <c r="S68" s="4">
        <v>19701.13</v>
      </c>
      <c r="T68" s="4">
        <v>850.63</v>
      </c>
      <c r="U68" s="4">
        <v>1.7687478440841671</v>
      </c>
      <c r="V68" s="4">
        <v>1.7478324128906337</v>
      </c>
      <c r="W68" s="4">
        <v>1.048116020601789</v>
      </c>
      <c r="Y68" s="448">
        <v>256.38</v>
      </c>
      <c r="Z68" s="4">
        <v>128.53</v>
      </c>
      <c r="AA68" s="4">
        <v>39.799999999999997</v>
      </c>
      <c r="AB68" s="4">
        <v>194.62</v>
      </c>
      <c r="AC68" s="4">
        <v>110</v>
      </c>
      <c r="AD68" s="4">
        <v>163.80000000000001</v>
      </c>
      <c r="AF68" s="4">
        <v>1.7687478440841671</v>
      </c>
      <c r="AG68" s="4">
        <v>0.76057754896739449</v>
      </c>
      <c r="AH68" s="4">
        <v>1.1050950992641955</v>
      </c>
      <c r="AI68" s="4">
        <v>1.4179963570127505</v>
      </c>
      <c r="AJ68" s="4">
        <v>3.6771834112227637</v>
      </c>
      <c r="AK68" s="4">
        <v>0.9659157919565986</v>
      </c>
      <c r="AM68" s="450">
        <v>45874</v>
      </c>
      <c r="AN68" s="451">
        <v>235.09</v>
      </c>
      <c r="AO68" s="451">
        <v>2609727</v>
      </c>
      <c r="AP68" s="451">
        <v>239.59891999999999</v>
      </c>
      <c r="AQ68" s="451">
        <v>56327.310102800002</v>
      </c>
      <c r="AR68" s="451">
        <v>0.64419999999999999</v>
      </c>
    </row>
    <row r="69" spans="2:44">
      <c r="B69" s="452">
        <v>45490</v>
      </c>
      <c r="C69" s="448">
        <v>10.873100000000001</v>
      </c>
      <c r="D69" s="448">
        <v>11.8668</v>
      </c>
      <c r="E69" s="448">
        <v>6.6561000000000003</v>
      </c>
      <c r="F69" s="448">
        <v>21.4346</v>
      </c>
      <c r="G69" s="448">
        <v>16.023900000000001</v>
      </c>
      <c r="H69" s="448">
        <v>8.5785</v>
      </c>
      <c r="I69" s="452">
        <v>45490</v>
      </c>
      <c r="J69" s="448">
        <v>16.107399999999998</v>
      </c>
      <c r="K69" s="448">
        <v>21.275500000000001</v>
      </c>
      <c r="L69" s="448">
        <v>14.202</v>
      </c>
      <c r="M69" s="448">
        <v>34.388800000000003</v>
      </c>
      <c r="N69" s="448">
        <v>35.786299999999997</v>
      </c>
      <c r="O69" s="448">
        <v>27.1206</v>
      </c>
      <c r="P69" s="448"/>
      <c r="Q69" s="452">
        <v>45490</v>
      </c>
      <c r="R69" s="4">
        <v>248.09</v>
      </c>
      <c r="S69" s="4">
        <v>19908.86</v>
      </c>
      <c r="T69" s="4">
        <v>838</v>
      </c>
      <c r="U69" s="4">
        <v>1.7115557088651261</v>
      </c>
      <c r="V69" s="4">
        <v>1.7662616718788122</v>
      </c>
      <c r="W69" s="4">
        <v>1.0325537839769339</v>
      </c>
      <c r="Y69" s="448">
        <v>248.09</v>
      </c>
      <c r="Z69" s="4">
        <v>147.38</v>
      </c>
      <c r="AA69" s="4">
        <v>40.01</v>
      </c>
      <c r="AB69" s="4">
        <v>198.68</v>
      </c>
      <c r="AC69" s="4">
        <v>114.12</v>
      </c>
      <c r="AD69" s="4">
        <v>163.9</v>
      </c>
      <c r="AF69" s="4">
        <v>1.7115557088651261</v>
      </c>
      <c r="AG69" s="4">
        <v>0.87212261080537301</v>
      </c>
      <c r="AH69" s="4">
        <v>1.1109260030542829</v>
      </c>
      <c r="AI69" s="4">
        <v>1.4475774134790529</v>
      </c>
      <c r="AJ69" s="4">
        <v>3.8149106444431071</v>
      </c>
      <c r="AK69" s="4">
        <v>0.96650548413728032</v>
      </c>
      <c r="AM69" s="450">
        <v>45873</v>
      </c>
      <c r="AN69" s="451">
        <v>241.23</v>
      </c>
      <c r="AO69" s="451">
        <v>2410389</v>
      </c>
      <c r="AP69" s="451">
        <v>239.59891999999999</v>
      </c>
      <c r="AQ69" s="451">
        <v>57798.447471599997</v>
      </c>
      <c r="AR69" s="451">
        <v>0.66110000000000002</v>
      </c>
    </row>
    <row r="70" spans="2:44">
      <c r="B70" s="452">
        <v>45483</v>
      </c>
      <c r="C70" s="448">
        <v>10.483700000000001</v>
      </c>
      <c r="D70" s="448">
        <v>11.0512</v>
      </c>
      <c r="E70" s="448">
        <v>6.6513999999999998</v>
      </c>
      <c r="F70" s="448">
        <v>19.6462</v>
      </c>
      <c r="G70" s="448">
        <v>14.7042</v>
      </c>
      <c r="H70" s="448">
        <v>8.3796999999999997</v>
      </c>
      <c r="I70" s="452">
        <v>45483</v>
      </c>
      <c r="J70" s="448">
        <v>15.217000000000001</v>
      </c>
      <c r="K70" s="448">
        <v>19.5822</v>
      </c>
      <c r="L70" s="448">
        <v>14.187799999999999</v>
      </c>
      <c r="M70" s="448">
        <v>31.522500000000001</v>
      </c>
      <c r="N70" s="448">
        <v>31.976199999999999</v>
      </c>
      <c r="O70" s="448">
        <v>26.438800000000001</v>
      </c>
      <c r="P70" s="448"/>
      <c r="Q70" s="452">
        <v>45483</v>
      </c>
      <c r="R70" s="4">
        <v>252.43</v>
      </c>
      <c r="S70" s="4">
        <v>19210.18</v>
      </c>
      <c r="T70" s="4">
        <v>852.34</v>
      </c>
      <c r="U70" s="4">
        <v>1.7414970679544672</v>
      </c>
      <c r="V70" s="4">
        <v>1.7042766207554285</v>
      </c>
      <c r="W70" s="4">
        <v>1.0502230217600237</v>
      </c>
      <c r="Y70" s="448">
        <v>252.43</v>
      </c>
      <c r="Z70" s="4">
        <v>135.65</v>
      </c>
      <c r="AA70" s="4">
        <v>39.97</v>
      </c>
      <c r="AB70" s="4">
        <v>182.12</v>
      </c>
      <c r="AC70" s="4">
        <v>101.97</v>
      </c>
      <c r="AD70" s="4">
        <v>159.78</v>
      </c>
      <c r="AF70" s="4">
        <v>1.7414970679544672</v>
      </c>
      <c r="AG70" s="4">
        <v>0.80271021953961774</v>
      </c>
      <c r="AH70" s="4">
        <v>1.1098153547133138</v>
      </c>
      <c r="AI70" s="4">
        <v>1.3269216757741349</v>
      </c>
      <c r="AJ70" s="4">
        <v>3.408749022203502</v>
      </c>
      <c r="AK70" s="4">
        <v>0.94221016629319487</v>
      </c>
      <c r="AM70" s="450">
        <v>45872</v>
      </c>
      <c r="AN70" s="451">
        <v>241.23</v>
      </c>
      <c r="AO70" s="451">
        <v>2410389</v>
      </c>
      <c r="AP70" s="451">
        <v>239.59891999999999</v>
      </c>
      <c r="AQ70" s="451">
        <v>57798.447471599997</v>
      </c>
      <c r="AR70" s="451">
        <v>0.66110000000000002</v>
      </c>
    </row>
    <row r="71" spans="2:44">
      <c r="B71" s="452">
        <v>45476</v>
      </c>
      <c r="C71" s="448">
        <v>10.4947</v>
      </c>
      <c r="D71" s="448">
        <v>11.0443</v>
      </c>
      <c r="E71" s="448">
        <v>6.5993000000000004</v>
      </c>
      <c r="F71" s="448">
        <v>19.619199999999999</v>
      </c>
      <c r="G71" s="448">
        <v>15.2614</v>
      </c>
      <c r="H71" s="448">
        <v>8.3279999999999994</v>
      </c>
      <c r="I71" s="452">
        <v>45476</v>
      </c>
      <c r="J71" s="448">
        <v>15.2399</v>
      </c>
      <c r="K71" s="448">
        <v>19.567799999999998</v>
      </c>
      <c r="L71" s="448">
        <v>14.028</v>
      </c>
      <c r="M71" s="448">
        <v>31.479199999999999</v>
      </c>
      <c r="N71" s="448">
        <v>33.584899999999998</v>
      </c>
      <c r="O71" s="448">
        <v>26.261800000000001</v>
      </c>
      <c r="P71" s="448"/>
      <c r="Q71" s="452">
        <v>45476</v>
      </c>
      <c r="R71" s="4">
        <v>245.95</v>
      </c>
      <c r="S71" s="4">
        <v>18654.84</v>
      </c>
      <c r="T71" s="4">
        <v>839.21</v>
      </c>
      <c r="U71" s="4">
        <v>1.6967919972404277</v>
      </c>
      <c r="V71" s="4">
        <v>1.6550083172533103</v>
      </c>
      <c r="W71" s="4">
        <v>1.0340447029251583</v>
      </c>
      <c r="Y71" s="448">
        <v>245.95</v>
      </c>
      <c r="Z71" s="4">
        <v>135.55000000000001</v>
      </c>
      <c r="AA71" s="4">
        <v>39.520000000000003</v>
      </c>
      <c r="AB71" s="4">
        <v>181.87</v>
      </c>
      <c r="AC71" s="4">
        <v>107.1</v>
      </c>
      <c r="AD71" s="4">
        <v>158.71</v>
      </c>
      <c r="AF71" s="4">
        <v>1.6967919972404277</v>
      </c>
      <c r="AG71" s="4">
        <v>0.80211846854843483</v>
      </c>
      <c r="AH71" s="4">
        <v>1.0973205608774124</v>
      </c>
      <c r="AI71" s="4">
        <v>1.3251001821493624</v>
      </c>
      <c r="AJ71" s="4">
        <v>3.5802394849268908</v>
      </c>
      <c r="AK71" s="4">
        <v>0.9359004599599009</v>
      </c>
      <c r="AM71" s="450">
        <v>45871</v>
      </c>
      <c r="AN71" s="451">
        <v>241.23</v>
      </c>
      <c r="AO71" s="451">
        <v>2410389</v>
      </c>
      <c r="AP71" s="451">
        <v>239.59891999999999</v>
      </c>
      <c r="AQ71" s="451">
        <v>57798.447471599997</v>
      </c>
      <c r="AR71" s="451">
        <v>0.66110000000000002</v>
      </c>
    </row>
    <row r="72" spans="2:44">
      <c r="B72" s="452">
        <v>45469</v>
      </c>
      <c r="C72" s="448">
        <v>10.5565</v>
      </c>
      <c r="D72" s="448">
        <v>10.5656</v>
      </c>
      <c r="E72" s="448">
        <v>6.0537999999999998</v>
      </c>
      <c r="F72" s="448">
        <v>19.093699999999998</v>
      </c>
      <c r="G72" s="448">
        <v>16.671299999999999</v>
      </c>
      <c r="H72" s="448">
        <v>7.9672000000000001</v>
      </c>
      <c r="I72" s="452">
        <v>45469</v>
      </c>
      <c r="J72" s="448">
        <v>15.368499999999999</v>
      </c>
      <c r="K72" s="448">
        <v>17.978899999999999</v>
      </c>
      <c r="L72" s="448">
        <v>12.896599999999999</v>
      </c>
      <c r="M72" s="448">
        <v>31.340199999999999</v>
      </c>
      <c r="N72" s="448">
        <v>37.819499999999998</v>
      </c>
      <c r="O72" s="448">
        <v>24.099399999999999</v>
      </c>
      <c r="P72" s="448"/>
      <c r="Q72" s="452">
        <v>45469</v>
      </c>
      <c r="R72" s="4">
        <v>248.04</v>
      </c>
      <c r="S72" s="4">
        <v>18869.439999999999</v>
      </c>
      <c r="T72" s="4">
        <v>845.75</v>
      </c>
      <c r="U72" s="4">
        <v>1.7112107623318387</v>
      </c>
      <c r="V72" s="4">
        <v>1.6740470645640648</v>
      </c>
      <c r="W72" s="4">
        <v>1.0421030582320905</v>
      </c>
      <c r="Y72" s="448">
        <v>248.04</v>
      </c>
      <c r="Z72" s="4">
        <v>138.15</v>
      </c>
      <c r="AA72" s="4">
        <v>38.28</v>
      </c>
      <c r="AB72" s="4">
        <v>176.04</v>
      </c>
      <c r="AC72" s="4">
        <v>105.05</v>
      </c>
      <c r="AD72" s="4">
        <v>157.13</v>
      </c>
      <c r="AF72" s="4">
        <v>1.7112107623318387</v>
      </c>
      <c r="AG72" s="4">
        <v>0.81750399431919052</v>
      </c>
      <c r="AH72" s="4">
        <v>1.0628904623073721</v>
      </c>
      <c r="AI72" s="4">
        <v>1.282622950819672</v>
      </c>
      <c r="AJ72" s="4">
        <v>3.5117101577177392</v>
      </c>
      <c r="AK72" s="4">
        <v>0.92658332350513017</v>
      </c>
      <c r="AM72" s="450">
        <v>45870</v>
      </c>
      <c r="AN72" s="451">
        <v>241.23</v>
      </c>
      <c r="AO72" s="451">
        <v>2410389</v>
      </c>
      <c r="AP72" s="451">
        <v>239.59891999999999</v>
      </c>
      <c r="AQ72" s="451">
        <v>57798.447471599997</v>
      </c>
      <c r="AR72" s="451">
        <v>0.66110000000000002</v>
      </c>
    </row>
    <row r="73" spans="2:44">
      <c r="B73" s="452">
        <v>45462</v>
      </c>
      <c r="C73" s="448">
        <v>9.4818999999999996</v>
      </c>
      <c r="D73" s="448">
        <v>10.4819</v>
      </c>
      <c r="E73" s="448">
        <v>5.9870999999999999</v>
      </c>
      <c r="F73" s="448">
        <v>18.940999999999999</v>
      </c>
      <c r="G73" s="448">
        <v>16.6738</v>
      </c>
      <c r="H73" s="448">
        <v>7.8845999999999998</v>
      </c>
      <c r="I73" s="452">
        <v>45462</v>
      </c>
      <c r="J73" s="448">
        <v>13.102600000000001</v>
      </c>
      <c r="K73" s="448">
        <v>17.8123</v>
      </c>
      <c r="L73" s="448">
        <v>12.697900000000001</v>
      </c>
      <c r="M73" s="448">
        <v>31.092700000000001</v>
      </c>
      <c r="N73" s="448">
        <v>37.826700000000002</v>
      </c>
      <c r="O73" s="448">
        <v>23.829499999999999</v>
      </c>
      <c r="P73" s="448"/>
      <c r="Q73" s="452">
        <v>45462</v>
      </c>
      <c r="R73" s="4">
        <v>252.33</v>
      </c>
      <c r="S73" s="4">
        <v>18713.8</v>
      </c>
      <c r="T73" s="4">
        <v>873.61</v>
      </c>
      <c r="U73" s="4">
        <v>1.7408071748878926</v>
      </c>
      <c r="V73" s="4">
        <v>1.6602390933084925</v>
      </c>
      <c r="W73" s="4">
        <v>1.0764311589738533</v>
      </c>
      <c r="Y73" s="448">
        <v>252.33</v>
      </c>
      <c r="Z73" s="4">
        <v>136.43</v>
      </c>
      <c r="AA73" s="4">
        <v>37.69</v>
      </c>
      <c r="AB73" s="4">
        <v>174.79</v>
      </c>
      <c r="AC73" s="4">
        <v>106.52</v>
      </c>
      <c r="AD73" s="4">
        <v>160.97</v>
      </c>
      <c r="AF73" s="4">
        <v>1.7408071748878926</v>
      </c>
      <c r="AG73" s="4">
        <v>0.80732587727084437</v>
      </c>
      <c r="AH73" s="4">
        <v>1.0465083992780786</v>
      </c>
      <c r="AI73" s="4">
        <v>1.2735154826958106</v>
      </c>
      <c r="AJ73" s="4">
        <v>3.5608506996677161</v>
      </c>
      <c r="AK73" s="4">
        <v>0.94922750324330696</v>
      </c>
      <c r="AM73" s="450">
        <v>45869</v>
      </c>
      <c r="AN73" s="451">
        <v>239.14</v>
      </c>
      <c r="AO73" s="451">
        <v>2495809</v>
      </c>
      <c r="AP73" s="451">
        <v>239.59891999999999</v>
      </c>
      <c r="AQ73" s="451">
        <v>57297.685728799996</v>
      </c>
      <c r="AR73" s="451">
        <v>0.65529999999999999</v>
      </c>
    </row>
    <row r="74" spans="2:44">
      <c r="B74" s="452">
        <v>45455</v>
      </c>
      <c r="C74" s="448">
        <v>9.3839000000000006</v>
      </c>
      <c r="D74" s="448">
        <v>10.453099999999999</v>
      </c>
      <c r="E74" s="448">
        <v>6.1295999999999999</v>
      </c>
      <c r="F74" s="448">
        <v>18.956399999999999</v>
      </c>
      <c r="G74" s="448">
        <v>16.848400000000002</v>
      </c>
      <c r="H74" s="448">
        <v>8.1473999999999993</v>
      </c>
      <c r="I74" s="452">
        <v>45455</v>
      </c>
      <c r="J74" s="448">
        <v>12.8992</v>
      </c>
      <c r="K74" s="448">
        <v>17.754999999999999</v>
      </c>
      <c r="L74" s="448">
        <v>13.122400000000001</v>
      </c>
      <c r="M74" s="448">
        <v>31.117599999999999</v>
      </c>
      <c r="N74" s="448">
        <v>38.348700000000001</v>
      </c>
      <c r="O74" s="448">
        <v>24.688400000000001</v>
      </c>
      <c r="P74" s="448"/>
      <c r="Q74" s="452">
        <v>45455</v>
      </c>
      <c r="R74" s="4">
        <v>259.04000000000002</v>
      </c>
      <c r="S74" s="4">
        <v>18322.77</v>
      </c>
      <c r="T74" s="4">
        <v>889.64</v>
      </c>
      <c r="U74" s="4">
        <v>1.7870989996550537</v>
      </c>
      <c r="V74" s="4">
        <v>1.6255479406480804</v>
      </c>
      <c r="W74" s="4">
        <v>1.0961827546267773</v>
      </c>
      <c r="Y74" s="448">
        <v>259.04000000000002</v>
      </c>
      <c r="Z74" s="4">
        <v>136.43</v>
      </c>
      <c r="AA74" s="4">
        <v>38.950000000000003</v>
      </c>
      <c r="AB74" s="4">
        <v>174.79</v>
      </c>
      <c r="AC74" s="4">
        <v>106.52</v>
      </c>
      <c r="AD74" s="4">
        <v>160.97</v>
      </c>
      <c r="AF74" s="4">
        <v>1.7870989996550537</v>
      </c>
      <c r="AG74" s="4">
        <v>0.80732587727084437</v>
      </c>
      <c r="AH74" s="4">
        <v>1.0814938220186034</v>
      </c>
      <c r="AI74" s="4">
        <v>1.2735154826958106</v>
      </c>
      <c r="AJ74" s="4">
        <v>3.5608506996677161</v>
      </c>
      <c r="AK74" s="4">
        <v>0.94922750324330696</v>
      </c>
      <c r="AM74" s="450">
        <v>45868</v>
      </c>
      <c r="AN74" s="451">
        <v>234.33</v>
      </c>
      <c r="AO74" s="451">
        <v>2720962</v>
      </c>
      <c r="AP74" s="451">
        <v>239.59891999999999</v>
      </c>
      <c r="AQ74" s="451">
        <v>56145.214923600004</v>
      </c>
      <c r="AR74" s="451">
        <v>0.64219999999999999</v>
      </c>
    </row>
    <row r="75" spans="2:44">
      <c r="B75" s="452">
        <v>45448</v>
      </c>
      <c r="C75" s="448">
        <v>9.3701000000000008</v>
      </c>
      <c r="D75" s="448">
        <v>10.527699999999999</v>
      </c>
      <c r="E75" s="448">
        <v>6.3079999999999998</v>
      </c>
      <c r="F75" s="448">
        <v>19.0564</v>
      </c>
      <c r="G75" s="448">
        <v>17.0868</v>
      </c>
      <c r="H75" s="448">
        <v>8.0625</v>
      </c>
      <c r="I75" s="452">
        <v>45448</v>
      </c>
      <c r="J75" s="448">
        <v>12.870699999999999</v>
      </c>
      <c r="K75" s="448">
        <v>17.903400000000001</v>
      </c>
      <c r="L75" s="448">
        <v>13.2234</v>
      </c>
      <c r="M75" s="448">
        <v>31.279599999999999</v>
      </c>
      <c r="N75" s="448">
        <v>39.061599999999999</v>
      </c>
      <c r="O75" s="448">
        <v>24.410799999999998</v>
      </c>
      <c r="P75" s="448"/>
      <c r="Q75" s="452">
        <v>45448</v>
      </c>
      <c r="R75" s="4">
        <v>259.47000000000003</v>
      </c>
      <c r="S75" s="4">
        <v>18091.45</v>
      </c>
      <c r="T75" s="4">
        <v>883.18</v>
      </c>
      <c r="U75" s="4">
        <v>1.790065539841325</v>
      </c>
      <c r="V75" s="4">
        <v>1.6050258389336174</v>
      </c>
      <c r="W75" s="4">
        <v>1.0882229724734467</v>
      </c>
      <c r="Y75" s="448">
        <v>259.47000000000003</v>
      </c>
      <c r="Z75" s="4">
        <v>137.57</v>
      </c>
      <c r="AA75" s="4">
        <v>39.25</v>
      </c>
      <c r="AB75" s="4">
        <v>175.7</v>
      </c>
      <c r="AC75" s="4">
        <v>108.5</v>
      </c>
      <c r="AD75" s="4">
        <v>159.16</v>
      </c>
      <c r="AF75" s="4">
        <v>1.790065539841325</v>
      </c>
      <c r="AG75" s="4">
        <v>0.8140718385703295</v>
      </c>
      <c r="AH75" s="4">
        <v>1.0898236845758711</v>
      </c>
      <c r="AI75" s="4">
        <v>1.2801457194899817</v>
      </c>
      <c r="AJ75" s="4">
        <v>3.6270400010697261</v>
      </c>
      <c r="AK75" s="4">
        <v>0.93855407477296837</v>
      </c>
      <c r="AM75" s="450">
        <v>45867</v>
      </c>
      <c r="AN75" s="451">
        <v>227.31</v>
      </c>
      <c r="AO75" s="451">
        <v>2599821</v>
      </c>
      <c r="AP75" s="451">
        <v>239.59891999999999</v>
      </c>
      <c r="AQ75" s="451">
        <v>54463.230505200001</v>
      </c>
      <c r="AR75" s="451">
        <v>0.62290000000000001</v>
      </c>
    </row>
    <row r="76" spans="2:44">
      <c r="B76" s="452">
        <v>45441</v>
      </c>
      <c r="C76" s="448">
        <v>9.4405000000000001</v>
      </c>
      <c r="D76" s="448">
        <v>10.3208</v>
      </c>
      <c r="E76" s="448">
        <v>6.2016999999999998</v>
      </c>
      <c r="F76" s="448">
        <v>18.572800000000001</v>
      </c>
      <c r="G76" s="448">
        <v>16.9556</v>
      </c>
      <c r="H76" s="448">
        <v>7.8507999999999996</v>
      </c>
      <c r="I76" s="452">
        <v>45441</v>
      </c>
      <c r="J76" s="448">
        <v>14.1288</v>
      </c>
      <c r="K76" s="448">
        <v>17.4922</v>
      </c>
      <c r="L76" s="448">
        <v>12.9168</v>
      </c>
      <c r="M76" s="448">
        <v>30.496300000000002</v>
      </c>
      <c r="N76" s="448">
        <v>38.669199999999996</v>
      </c>
      <c r="O76" s="448">
        <v>23.719100000000001</v>
      </c>
      <c r="P76" s="448"/>
      <c r="Q76" s="452">
        <v>45441</v>
      </c>
      <c r="R76" s="4">
        <v>261.77999999999997</v>
      </c>
      <c r="S76" s="4">
        <v>17440.689999999999</v>
      </c>
      <c r="T76" s="4">
        <v>879.95</v>
      </c>
      <c r="U76" s="4">
        <v>1.8060020696791996</v>
      </c>
      <c r="V76" s="4">
        <v>1.5472921241155986</v>
      </c>
      <c r="W76" s="4">
        <v>1.0842430813967816</v>
      </c>
      <c r="Y76" s="448">
        <v>261.77999999999997</v>
      </c>
      <c r="Z76" s="4">
        <v>134.41</v>
      </c>
      <c r="AA76" s="4">
        <v>38.340000000000003</v>
      </c>
      <c r="AB76" s="4">
        <v>171.3</v>
      </c>
      <c r="AC76" s="4">
        <v>107.41</v>
      </c>
      <c r="AD76" s="4">
        <v>154.65</v>
      </c>
      <c r="AF76" s="4">
        <v>1.8060020696791996</v>
      </c>
      <c r="AG76" s="4">
        <v>0.79537250724894959</v>
      </c>
      <c r="AH76" s="4">
        <v>1.0645564348188257</v>
      </c>
      <c r="AI76" s="4">
        <v>1.2480874316939892</v>
      </c>
      <c r="AJ76" s="4">
        <v>3.5906024563585186</v>
      </c>
      <c r="AK76" s="4">
        <v>0.9119589574242245</v>
      </c>
      <c r="AM76" s="450">
        <v>45866</v>
      </c>
      <c r="AN76" s="451">
        <v>228.91</v>
      </c>
      <c r="AO76" s="451">
        <v>4052904</v>
      </c>
      <c r="AP76" s="451">
        <v>239.59891999999999</v>
      </c>
      <c r="AQ76" s="451">
        <v>54846.588777199999</v>
      </c>
      <c r="AR76" s="451">
        <v>0.62729999999999997</v>
      </c>
    </row>
    <row r="77" spans="2:44">
      <c r="B77" s="452">
        <v>45434</v>
      </c>
      <c r="C77" s="448">
        <v>9.6158999999999999</v>
      </c>
      <c r="D77" s="448">
        <v>10.9335</v>
      </c>
      <c r="E77" s="448">
        <v>6.2858000000000001</v>
      </c>
      <c r="F77" s="448">
        <v>18.703600000000002</v>
      </c>
      <c r="G77" s="448">
        <v>16.726700000000001</v>
      </c>
      <c r="H77" s="448">
        <v>8.0070999999999994</v>
      </c>
      <c r="I77" s="452">
        <v>45434</v>
      </c>
      <c r="J77" s="448">
        <v>14.53</v>
      </c>
      <c r="K77" s="448">
        <v>18.7103</v>
      </c>
      <c r="L77" s="448">
        <v>13.1594</v>
      </c>
      <c r="M77" s="448">
        <v>30.708200000000001</v>
      </c>
      <c r="N77" s="448">
        <v>37.985100000000003</v>
      </c>
      <c r="O77" s="448">
        <v>24.229800000000001</v>
      </c>
      <c r="P77" s="448"/>
      <c r="Q77" s="452">
        <v>45434</v>
      </c>
      <c r="R77" s="4">
        <v>271.75</v>
      </c>
      <c r="S77" s="4">
        <v>17471.47</v>
      </c>
      <c r="T77" s="4">
        <v>895.94</v>
      </c>
      <c r="U77" s="4">
        <v>1.8747844084166956</v>
      </c>
      <c r="V77" s="4">
        <v>1.5500228447224256</v>
      </c>
      <c r="W77" s="4">
        <v>1.1039453904729046</v>
      </c>
      <c r="Y77" s="448">
        <v>271.75</v>
      </c>
      <c r="Z77" s="4">
        <v>143.77000000000001</v>
      </c>
      <c r="AA77" s="4">
        <v>39.06</v>
      </c>
      <c r="AB77" s="4">
        <v>172.49</v>
      </c>
      <c r="AC77" s="4">
        <v>105.51</v>
      </c>
      <c r="AD77" s="4">
        <v>157.97999999999999</v>
      </c>
      <c r="AF77" s="4">
        <v>1.8747844084166956</v>
      </c>
      <c r="AG77" s="4">
        <v>0.85076040002367004</v>
      </c>
      <c r="AH77" s="4">
        <v>1.0845481049562682</v>
      </c>
      <c r="AI77" s="4">
        <v>1.2567577413479054</v>
      </c>
      <c r="AJ77" s="4">
        <v>3.5270874701646711</v>
      </c>
      <c r="AK77" s="4">
        <v>0.93159570704092454</v>
      </c>
      <c r="AM77" s="450">
        <v>45865</v>
      </c>
      <c r="AN77" s="451">
        <v>228.91</v>
      </c>
      <c r="AO77" s="451">
        <v>4052904</v>
      </c>
      <c r="AP77" s="451">
        <v>239.59891999999999</v>
      </c>
      <c r="AQ77" s="451">
        <v>54846.588777199999</v>
      </c>
      <c r="AR77" s="451">
        <v>0.62729999999999997</v>
      </c>
    </row>
    <row r="78" spans="2:44">
      <c r="B78" s="452">
        <v>45427</v>
      </c>
      <c r="C78" s="448">
        <v>9.7986000000000004</v>
      </c>
      <c r="D78" s="448">
        <v>11.2064</v>
      </c>
      <c r="E78" s="448">
        <v>6.3453999999999997</v>
      </c>
      <c r="F78" s="448">
        <v>19.959800000000001</v>
      </c>
      <c r="G78" s="448">
        <v>17.756399999999999</v>
      </c>
      <c r="H78" s="448">
        <v>8.4581</v>
      </c>
      <c r="I78" s="452">
        <v>45427</v>
      </c>
      <c r="J78" s="448">
        <v>14.947900000000001</v>
      </c>
      <c r="K78" s="448">
        <v>19.253</v>
      </c>
      <c r="L78" s="448">
        <v>13.331200000000001</v>
      </c>
      <c r="M78" s="448">
        <v>32.743000000000002</v>
      </c>
      <c r="N78" s="448">
        <v>41.063299999999998</v>
      </c>
      <c r="O78" s="448">
        <v>25.703700000000001</v>
      </c>
      <c r="P78" s="448"/>
      <c r="Q78" s="452">
        <v>45427</v>
      </c>
      <c r="R78" s="4">
        <v>264.94</v>
      </c>
      <c r="S78" s="4">
        <v>17713.66</v>
      </c>
      <c r="T78" s="4">
        <v>869.27</v>
      </c>
      <c r="U78" s="4">
        <v>1.8278026905829599</v>
      </c>
      <c r="V78" s="4">
        <v>1.5715093042340365</v>
      </c>
      <c r="W78" s="4">
        <v>1.0710835653909656</v>
      </c>
      <c r="Y78" s="448">
        <v>264.94</v>
      </c>
      <c r="Z78" s="4">
        <v>147.94</v>
      </c>
      <c r="AA78" s="4">
        <v>39.57</v>
      </c>
      <c r="AB78" s="4">
        <v>183.92</v>
      </c>
      <c r="AC78" s="4">
        <v>114.06</v>
      </c>
      <c r="AD78" s="4">
        <v>167.59</v>
      </c>
      <c r="AF78" s="4">
        <v>1.8278026905829599</v>
      </c>
      <c r="AG78" s="4">
        <v>0.87543641635599734</v>
      </c>
      <c r="AH78" s="4">
        <v>1.0987088713036235</v>
      </c>
      <c r="AI78" s="4">
        <v>1.3400364298724954</v>
      </c>
      <c r="AJ78" s="4">
        <v>3.8129049080369857</v>
      </c>
      <c r="AK78" s="4">
        <v>0.98826512560443447</v>
      </c>
      <c r="AM78" s="450">
        <v>45864</v>
      </c>
      <c r="AN78" s="451">
        <v>228.91</v>
      </c>
      <c r="AO78" s="451">
        <v>4052904</v>
      </c>
      <c r="AP78" s="451">
        <v>239.59891999999999</v>
      </c>
      <c r="AQ78" s="451">
        <v>54846.588777199999</v>
      </c>
      <c r="AR78" s="451">
        <v>0.62729999999999997</v>
      </c>
    </row>
    <row r="79" spans="2:44">
      <c r="B79" s="452">
        <v>45420</v>
      </c>
      <c r="C79" s="448">
        <v>9.7655999999999992</v>
      </c>
      <c r="D79" s="448">
        <v>11.1953</v>
      </c>
      <c r="E79" s="448">
        <v>6.1818999999999997</v>
      </c>
      <c r="F79" s="448">
        <v>19.715800000000002</v>
      </c>
      <c r="G79" s="448">
        <v>17.503499999999999</v>
      </c>
      <c r="H79" s="448">
        <v>8.4657</v>
      </c>
      <c r="I79" s="452">
        <v>45420</v>
      </c>
      <c r="J79" s="448">
        <v>14.872400000000001</v>
      </c>
      <c r="K79" s="448">
        <v>19.230799999999999</v>
      </c>
      <c r="L79" s="448">
        <v>12.8596</v>
      </c>
      <c r="M79" s="448">
        <v>32.347799999999999</v>
      </c>
      <c r="N79" s="448">
        <v>40.307200000000002</v>
      </c>
      <c r="O79" s="448">
        <v>25.728300000000001</v>
      </c>
      <c r="P79" s="448"/>
      <c r="Q79" s="452">
        <v>45420</v>
      </c>
      <c r="R79" s="4">
        <v>276.37</v>
      </c>
      <c r="S79" s="4">
        <v>18169.900000000001</v>
      </c>
      <c r="T79" s="4">
        <v>913.17</v>
      </c>
      <c r="U79" s="4">
        <v>1.906657468092446</v>
      </c>
      <c r="V79" s="4">
        <v>1.6119857165036486</v>
      </c>
      <c r="W79" s="4">
        <v>1.1251755834298527</v>
      </c>
      <c r="Y79" s="448">
        <v>276.37</v>
      </c>
      <c r="Z79" s="4">
        <v>147.77000000000001</v>
      </c>
      <c r="AA79" s="4">
        <v>38.17</v>
      </c>
      <c r="AB79" s="4">
        <v>181.7</v>
      </c>
      <c r="AC79" s="4">
        <v>111.96</v>
      </c>
      <c r="AD79" s="4">
        <v>167.75</v>
      </c>
      <c r="AF79" s="4">
        <v>1.906657468092446</v>
      </c>
      <c r="AG79" s="4">
        <v>0.87443043967098644</v>
      </c>
      <c r="AH79" s="4">
        <v>1.0598361793697071</v>
      </c>
      <c r="AI79" s="4">
        <v>1.3238615664845172</v>
      </c>
      <c r="AJ79" s="4">
        <v>3.7427041338227327</v>
      </c>
      <c r="AK79" s="4">
        <v>0.98920863309352514</v>
      </c>
      <c r="AM79" s="450">
        <v>45863</v>
      </c>
      <c r="AN79" s="451">
        <v>221.07</v>
      </c>
      <c r="AO79" s="451">
        <v>4787145</v>
      </c>
      <c r="AP79" s="451">
        <v>239.59891999999999</v>
      </c>
      <c r="AQ79" s="451">
        <v>52968.1332444</v>
      </c>
      <c r="AR79" s="451">
        <v>0.60580000000000001</v>
      </c>
    </row>
    <row r="80" spans="2:44">
      <c r="B80" s="452">
        <v>45413</v>
      </c>
      <c r="C80" s="448">
        <v>9.8341999999999992</v>
      </c>
      <c r="D80" s="448">
        <v>11.049200000000001</v>
      </c>
      <c r="E80" s="448">
        <v>6.3512000000000004</v>
      </c>
      <c r="F80" s="448">
        <v>19.8385</v>
      </c>
      <c r="G80" s="448">
        <v>16.829499999999999</v>
      </c>
      <c r="H80" s="448">
        <v>8.2670999999999992</v>
      </c>
      <c r="I80" s="452">
        <v>45413</v>
      </c>
      <c r="J80" s="448">
        <v>15.029199999999999</v>
      </c>
      <c r="K80" s="448">
        <v>18.990100000000002</v>
      </c>
      <c r="L80" s="448">
        <v>13.348100000000001</v>
      </c>
      <c r="M80" s="448">
        <v>32.488500000000002</v>
      </c>
      <c r="N80" s="448">
        <v>38.298299999999998</v>
      </c>
      <c r="O80" s="448">
        <v>25.079499999999999</v>
      </c>
      <c r="P80" s="448"/>
      <c r="Q80" s="452">
        <v>45413</v>
      </c>
      <c r="R80" s="4">
        <v>275.29000000000002</v>
      </c>
      <c r="S80" s="4">
        <v>18121.78</v>
      </c>
      <c r="T80" s="4">
        <v>904.65</v>
      </c>
      <c r="U80" s="4">
        <v>1.8992066229734395</v>
      </c>
      <c r="V80" s="4">
        <v>1.6077166367245546</v>
      </c>
      <c r="W80" s="4">
        <v>1.1146775425712807</v>
      </c>
      <c r="Y80" s="448">
        <v>275.29000000000002</v>
      </c>
      <c r="Z80" s="4">
        <v>145.91999999999999</v>
      </c>
      <c r="AA80" s="4">
        <v>38.44</v>
      </c>
      <c r="AB80" s="4">
        <v>182.49</v>
      </c>
      <c r="AC80" s="4">
        <v>106.38</v>
      </c>
      <c r="AD80" s="4">
        <v>163.52000000000001</v>
      </c>
      <c r="AF80" s="4">
        <v>1.8992066229734395</v>
      </c>
      <c r="AG80" s="4">
        <v>0.86348304633410244</v>
      </c>
      <c r="AH80" s="4">
        <v>1.0673330556712479</v>
      </c>
      <c r="AI80" s="4">
        <v>1.3296174863387979</v>
      </c>
      <c r="AJ80" s="4">
        <v>3.5561706480534325</v>
      </c>
      <c r="AK80" s="4">
        <v>0.96426465385068993</v>
      </c>
      <c r="AM80" s="450">
        <v>45862</v>
      </c>
      <c r="AN80" s="451">
        <v>222</v>
      </c>
      <c r="AO80" s="451">
        <v>8103708</v>
      </c>
      <c r="AP80" s="451">
        <v>239.59891999999999</v>
      </c>
      <c r="AQ80" s="451">
        <v>53190.96024</v>
      </c>
      <c r="AR80" s="451">
        <v>0.60840000000000005</v>
      </c>
    </row>
    <row r="81" spans="2:44">
      <c r="B81" s="452">
        <v>45406</v>
      </c>
      <c r="C81" s="448">
        <v>9.9687000000000001</v>
      </c>
      <c r="D81" s="448">
        <v>11.094900000000001</v>
      </c>
      <c r="E81" s="448">
        <v>6.2134</v>
      </c>
      <c r="F81" s="448">
        <v>21.2225</v>
      </c>
      <c r="G81" s="448">
        <v>18.166</v>
      </c>
      <c r="H81" s="448">
        <v>8.3269000000000002</v>
      </c>
      <c r="I81" s="452">
        <v>45406</v>
      </c>
      <c r="J81" s="448">
        <v>15.337</v>
      </c>
      <c r="K81" s="448">
        <v>19.081199999999999</v>
      </c>
      <c r="L81" s="448">
        <v>12.9505</v>
      </c>
      <c r="M81" s="448">
        <v>34.726300000000002</v>
      </c>
      <c r="N81" s="448">
        <v>42.294499999999999</v>
      </c>
      <c r="O81" s="448">
        <v>25.249700000000001</v>
      </c>
      <c r="P81" s="448"/>
      <c r="Q81" s="452">
        <v>45406</v>
      </c>
      <c r="R81" s="4">
        <v>288.99</v>
      </c>
      <c r="S81" s="4">
        <v>18210.54</v>
      </c>
      <c r="T81" s="4">
        <v>903.2</v>
      </c>
      <c r="U81" s="4">
        <v>1.9937219730941707</v>
      </c>
      <c r="V81" s="4">
        <v>1.6155911903652938</v>
      </c>
      <c r="W81" s="4">
        <v>1.1128909041622514</v>
      </c>
      <c r="Y81" s="448">
        <v>288.99</v>
      </c>
      <c r="Z81" s="4">
        <v>146.62</v>
      </c>
      <c r="AA81" s="4">
        <v>38.44</v>
      </c>
      <c r="AB81" s="4">
        <v>195.06</v>
      </c>
      <c r="AC81" s="4">
        <v>117.48</v>
      </c>
      <c r="AD81" s="4">
        <v>164.63</v>
      </c>
      <c r="AF81" s="4">
        <v>1.9937219730941707</v>
      </c>
      <c r="AG81" s="4">
        <v>0.86762530327238296</v>
      </c>
      <c r="AH81" s="4">
        <v>1.0673330556712479</v>
      </c>
      <c r="AI81" s="4">
        <v>1.4212021857923498</v>
      </c>
      <c r="AJ81" s="4">
        <v>3.9272318831859119</v>
      </c>
      <c r="AK81" s="4">
        <v>0.97081023705625658</v>
      </c>
      <c r="AM81" s="450">
        <v>45861</v>
      </c>
      <c r="AN81" s="451">
        <v>229.51</v>
      </c>
      <c r="AO81" s="451">
        <v>4670573</v>
      </c>
      <c r="AP81" s="451">
        <v>239.59891999999999</v>
      </c>
      <c r="AQ81" s="451">
        <v>54990.3481292</v>
      </c>
      <c r="AR81" s="451">
        <v>0.629</v>
      </c>
    </row>
    <row r="82" spans="2:44">
      <c r="B82" s="452">
        <v>45399</v>
      </c>
      <c r="C82" s="448">
        <v>9.8931000000000004</v>
      </c>
      <c r="D82" s="448">
        <v>10.8096</v>
      </c>
      <c r="E82" s="448">
        <v>6.2064000000000004</v>
      </c>
      <c r="F82" s="448">
        <v>22.956499999999998</v>
      </c>
      <c r="G82" s="448">
        <v>18.350200000000001</v>
      </c>
      <c r="H82" s="448">
        <v>8.4913000000000007</v>
      </c>
      <c r="I82" s="452">
        <v>45399</v>
      </c>
      <c r="J82" s="448">
        <v>15.164099999999999</v>
      </c>
      <c r="K82" s="448">
        <v>18.512499999999999</v>
      </c>
      <c r="L82" s="448">
        <v>12.930300000000001</v>
      </c>
      <c r="M82" s="448">
        <v>37.530200000000001</v>
      </c>
      <c r="N82" s="448">
        <v>42.845300000000002</v>
      </c>
      <c r="O82" s="448">
        <v>25.7865</v>
      </c>
      <c r="P82" s="448"/>
      <c r="Q82" s="452">
        <v>45399</v>
      </c>
      <c r="R82" s="4">
        <v>256.62</v>
      </c>
      <c r="S82" s="4">
        <v>18032.21</v>
      </c>
      <c r="T82" s="4">
        <v>899.42</v>
      </c>
      <c r="U82" s="4">
        <v>1.7704035874439463</v>
      </c>
      <c r="V82" s="4">
        <v>1.599770222015215</v>
      </c>
      <c r="W82" s="4">
        <v>1.1082333226545749</v>
      </c>
      <c r="Y82" s="448">
        <v>256.62</v>
      </c>
      <c r="Z82" s="4">
        <v>142.25</v>
      </c>
      <c r="AA82" s="4">
        <v>38.380000000000003</v>
      </c>
      <c r="AB82" s="4">
        <v>210.81</v>
      </c>
      <c r="AC82" s="4">
        <v>119.01</v>
      </c>
      <c r="AD82" s="4">
        <v>168.13</v>
      </c>
      <c r="AF82" s="4">
        <v>1.7704035874439463</v>
      </c>
      <c r="AG82" s="4">
        <v>0.84176578495768972</v>
      </c>
      <c r="AH82" s="4">
        <v>1.0656670831597945</v>
      </c>
      <c r="AI82" s="4">
        <v>1.5359562841530054</v>
      </c>
      <c r="AJ82" s="4">
        <v>3.9783781615420102</v>
      </c>
      <c r="AK82" s="4">
        <v>0.99144946338011553</v>
      </c>
      <c r="AM82" s="450">
        <v>45860</v>
      </c>
      <c r="AN82" s="451">
        <v>229.23</v>
      </c>
      <c r="AO82" s="451">
        <v>2044954</v>
      </c>
      <c r="AP82" s="451">
        <v>239.59891999999999</v>
      </c>
      <c r="AQ82" s="451">
        <v>54923.260431599992</v>
      </c>
      <c r="AR82" s="451">
        <v>0.62819999999999998</v>
      </c>
    </row>
    <row r="83" spans="2:44">
      <c r="B83" s="452">
        <v>45392</v>
      </c>
      <c r="C83" s="448">
        <v>10.0753</v>
      </c>
      <c r="D83" s="448">
        <v>11.136699999999999</v>
      </c>
      <c r="E83" s="448">
        <v>6.2858000000000001</v>
      </c>
      <c r="F83" s="448">
        <v>23.4222</v>
      </c>
      <c r="G83" s="448">
        <v>19.1569</v>
      </c>
      <c r="H83" s="448">
        <v>9.4337</v>
      </c>
      <c r="I83" s="452">
        <v>45392</v>
      </c>
      <c r="J83" s="448">
        <v>15.5809</v>
      </c>
      <c r="K83" s="448">
        <v>19.1645</v>
      </c>
      <c r="L83" s="448">
        <v>13.1594</v>
      </c>
      <c r="M83" s="448">
        <v>38.283299999999997</v>
      </c>
      <c r="N83" s="448">
        <v>45.257399999999997</v>
      </c>
      <c r="O83" s="448">
        <v>28.863199999999999</v>
      </c>
      <c r="P83" s="448"/>
      <c r="Q83" s="452">
        <v>45392</v>
      </c>
      <c r="R83" s="4">
        <v>254.22</v>
      </c>
      <c r="S83" s="4">
        <v>18219.12</v>
      </c>
      <c r="T83" s="4">
        <v>914.2</v>
      </c>
      <c r="U83" s="4">
        <v>1.7538461538461541</v>
      </c>
      <c r="V83" s="4">
        <v>1.6163523853882493</v>
      </c>
      <c r="W83" s="4">
        <v>1.1264447127824737</v>
      </c>
      <c r="Y83" s="448">
        <v>254.22</v>
      </c>
      <c r="Z83" s="4">
        <v>147.26</v>
      </c>
      <c r="AA83" s="4">
        <v>39.06</v>
      </c>
      <c r="AB83" s="4">
        <v>215.04</v>
      </c>
      <c r="AC83" s="4">
        <v>125.71</v>
      </c>
      <c r="AD83" s="4">
        <v>188.19</v>
      </c>
      <c r="AF83" s="4">
        <v>1.7538461538461541</v>
      </c>
      <c r="AG83" s="4">
        <v>0.87141250961595351</v>
      </c>
      <c r="AH83" s="4">
        <v>1.0845481049562682</v>
      </c>
      <c r="AI83" s="4">
        <v>1.566775956284153</v>
      </c>
      <c r="AJ83" s="4">
        <v>4.2023520602255777</v>
      </c>
      <c r="AK83" s="4">
        <v>1.1097417148248614</v>
      </c>
      <c r="AM83" s="450">
        <v>45859</v>
      </c>
      <c r="AN83" s="451">
        <v>226.04</v>
      </c>
      <c r="AO83" s="451">
        <v>2248442</v>
      </c>
      <c r="AP83" s="451">
        <v>239.59891999999999</v>
      </c>
      <c r="AQ83" s="451">
        <v>54158.939876799996</v>
      </c>
      <c r="AR83" s="451">
        <v>0.61939999999999995</v>
      </c>
    </row>
    <row r="84" spans="2:44">
      <c r="B84" s="452">
        <v>45385</v>
      </c>
      <c r="C84" s="448">
        <v>10.281700000000001</v>
      </c>
      <c r="D84" s="448">
        <v>11.463800000000001</v>
      </c>
      <c r="E84" s="448">
        <v>6.3535000000000004</v>
      </c>
      <c r="F84" s="448">
        <v>23.950700000000001</v>
      </c>
      <c r="G84" s="448">
        <v>18.9161</v>
      </c>
      <c r="H84" s="448">
        <v>9.8560999999999996</v>
      </c>
      <c r="I84" s="452">
        <v>45385</v>
      </c>
      <c r="J84" s="448">
        <v>16.053000000000001</v>
      </c>
      <c r="K84" s="448">
        <v>19.816500000000001</v>
      </c>
      <c r="L84" s="448">
        <v>13.354799999999999</v>
      </c>
      <c r="M84" s="448">
        <v>39.137799999999999</v>
      </c>
      <c r="N84" s="448">
        <v>44.537399999999998</v>
      </c>
      <c r="O84" s="448">
        <v>30.242000000000001</v>
      </c>
      <c r="P84" s="448"/>
      <c r="Q84" s="452">
        <v>45385</v>
      </c>
      <c r="R84" s="4">
        <v>248.72</v>
      </c>
      <c r="S84" s="4">
        <v>17897.87</v>
      </c>
      <c r="T84" s="4">
        <v>877.91</v>
      </c>
      <c r="U84" s="4">
        <v>1.7159020351845464</v>
      </c>
      <c r="V84" s="4">
        <v>1.5878519307117349</v>
      </c>
      <c r="W84" s="4">
        <v>1.0817294659799404</v>
      </c>
      <c r="Y84" s="448">
        <v>248.72</v>
      </c>
      <c r="Z84" s="4">
        <v>152.27000000000001</v>
      </c>
      <c r="AA84" s="4">
        <v>39.64</v>
      </c>
      <c r="AB84" s="4">
        <v>219.84</v>
      </c>
      <c r="AC84" s="4">
        <v>123.71</v>
      </c>
      <c r="AD84" s="4">
        <v>197.18</v>
      </c>
      <c r="AF84" s="4">
        <v>1.7159020351845464</v>
      </c>
      <c r="AG84" s="4">
        <v>0.90105923427421741</v>
      </c>
      <c r="AH84" s="4">
        <v>1.1006525059003194</v>
      </c>
      <c r="AI84" s="4">
        <v>1.6017486338797815</v>
      </c>
      <c r="AJ84" s="4">
        <v>4.1354941800215279</v>
      </c>
      <c r="AK84" s="4">
        <v>1.1627550418681447</v>
      </c>
      <c r="AM84" s="450">
        <v>45858</v>
      </c>
      <c r="AN84" s="451">
        <v>226.04</v>
      </c>
      <c r="AO84" s="451">
        <v>2248442</v>
      </c>
      <c r="AP84" s="451">
        <v>239.59891999999999</v>
      </c>
      <c r="AQ84" s="451">
        <v>54158.939876799996</v>
      </c>
      <c r="AR84" s="451">
        <v>0.61939999999999995</v>
      </c>
    </row>
    <row r="85" spans="2:44">
      <c r="B85" s="452">
        <v>45378</v>
      </c>
      <c r="C85" s="448">
        <v>10.5184</v>
      </c>
      <c r="D85" s="448">
        <v>10.5229</v>
      </c>
      <c r="E85" s="448">
        <v>6.3398000000000003</v>
      </c>
      <c r="F85" s="448">
        <v>23.582999999999998</v>
      </c>
      <c r="G85" s="448">
        <v>20.392399999999999</v>
      </c>
      <c r="H85" s="448">
        <v>9.8329000000000004</v>
      </c>
      <c r="I85" s="452">
        <v>45378</v>
      </c>
      <c r="J85" s="448">
        <v>16.594200000000001</v>
      </c>
      <c r="K85" s="448">
        <v>17.422999999999998</v>
      </c>
      <c r="L85" s="448">
        <v>13.0656</v>
      </c>
      <c r="M85" s="448">
        <v>38.561399999999999</v>
      </c>
      <c r="N85" s="448">
        <v>47.683399999999999</v>
      </c>
      <c r="O85" s="448">
        <v>27.184999999999999</v>
      </c>
      <c r="P85" s="448"/>
      <c r="Q85" s="452">
        <v>45378</v>
      </c>
      <c r="R85" s="4">
        <v>241.4</v>
      </c>
      <c r="S85" s="4">
        <v>17971.05</v>
      </c>
      <c r="T85" s="4">
        <v>867.69</v>
      </c>
      <c r="U85" s="4">
        <v>1.6654018627112799</v>
      </c>
      <c r="V85" s="4">
        <v>1.5943442677490185</v>
      </c>
      <c r="W85" s="4">
        <v>1.069136745607334</v>
      </c>
      <c r="Y85" s="448">
        <v>241.4</v>
      </c>
      <c r="Z85" s="4">
        <v>147.33000000000001</v>
      </c>
      <c r="AA85" s="4">
        <v>40.479999999999997</v>
      </c>
      <c r="AB85" s="4">
        <v>213.97499999999999</v>
      </c>
      <c r="AC85" s="4">
        <v>120.92</v>
      </c>
      <c r="AD85" s="4">
        <v>195.2</v>
      </c>
      <c r="AF85" s="4">
        <v>1.6654018627112799</v>
      </c>
      <c r="AG85" s="4">
        <v>0.87182673530978172</v>
      </c>
      <c r="AH85" s="4">
        <v>1.1239761210606691</v>
      </c>
      <c r="AI85" s="4">
        <v>1.5590163934426229</v>
      </c>
      <c r="AJ85" s="4">
        <v>4.0422274371368783</v>
      </c>
      <c r="AK85" s="4">
        <v>1.1510791366906474</v>
      </c>
      <c r="AM85" s="450">
        <v>45857</v>
      </c>
      <c r="AN85" s="451">
        <v>226.04</v>
      </c>
      <c r="AO85" s="451">
        <v>2248442</v>
      </c>
      <c r="AP85" s="451">
        <v>239.59891999999999</v>
      </c>
      <c r="AQ85" s="451">
        <v>54158.939876799996</v>
      </c>
      <c r="AR85" s="451">
        <v>0.61939999999999995</v>
      </c>
    </row>
    <row r="86" spans="2:44">
      <c r="B86" s="452">
        <v>45371</v>
      </c>
      <c r="C86" s="448">
        <v>9.9169999999999998</v>
      </c>
      <c r="D86" s="448">
        <v>10.9787</v>
      </c>
      <c r="E86" s="448">
        <v>6.1798999999999999</v>
      </c>
      <c r="F86" s="448">
        <v>23.932500000000001</v>
      </c>
      <c r="G86" s="448">
        <v>20.851500000000001</v>
      </c>
      <c r="H86" s="448">
        <v>9.8264999999999993</v>
      </c>
      <c r="I86" s="452">
        <v>45371</v>
      </c>
      <c r="J86" s="448">
        <v>14.986599999999999</v>
      </c>
      <c r="K86" s="448">
        <v>18.3017</v>
      </c>
      <c r="L86" s="448">
        <v>12.6137</v>
      </c>
      <c r="M86" s="448">
        <v>39.130000000000003</v>
      </c>
      <c r="N86" s="448">
        <v>49.04</v>
      </c>
      <c r="O86" s="448">
        <v>27.165500000000002</v>
      </c>
      <c r="P86" s="448"/>
      <c r="Q86" s="452">
        <v>45371</v>
      </c>
      <c r="R86" s="4">
        <v>239.54</v>
      </c>
      <c r="S86" s="4">
        <v>17546.099999999999</v>
      </c>
      <c r="T86" s="4">
        <v>863.45</v>
      </c>
      <c r="U86" s="4">
        <v>1.6525698516729908</v>
      </c>
      <c r="V86" s="4">
        <v>1.5566438219442411</v>
      </c>
      <c r="W86" s="4">
        <v>1.0639123684664482</v>
      </c>
      <c r="Y86" s="448">
        <v>239.54</v>
      </c>
      <c r="Z86" s="4">
        <v>154.76</v>
      </c>
      <c r="AA86" s="4">
        <v>39.08</v>
      </c>
      <c r="AB86" s="4">
        <v>217.13</v>
      </c>
      <c r="AC86" s="4">
        <v>124.36</v>
      </c>
      <c r="AD86" s="4">
        <v>195.06</v>
      </c>
      <c r="AF86" s="4">
        <v>1.6525698516729908</v>
      </c>
      <c r="AG86" s="4">
        <v>0.91579383395467173</v>
      </c>
      <c r="AH86" s="4">
        <v>1.0851034291267527</v>
      </c>
      <c r="AI86" s="4">
        <v>1.5820036429872495</v>
      </c>
      <c r="AJ86" s="4">
        <v>4.1572229910878447</v>
      </c>
      <c r="AK86" s="4">
        <v>1.150253567637693</v>
      </c>
      <c r="AM86" s="450">
        <v>45856</v>
      </c>
      <c r="AN86" s="451">
        <v>223.3</v>
      </c>
      <c r="AO86" s="451">
        <v>1518172</v>
      </c>
      <c r="AP86" s="451">
        <v>239.59891999999999</v>
      </c>
      <c r="AQ86" s="451">
        <v>53502.438836000001</v>
      </c>
      <c r="AR86" s="451">
        <v>0.6119</v>
      </c>
    </row>
    <row r="87" spans="2:44">
      <c r="B87" s="452">
        <v>45364</v>
      </c>
      <c r="C87" s="448">
        <v>9.7949000000000002</v>
      </c>
      <c r="D87" s="448">
        <v>10.982699999999999</v>
      </c>
      <c r="E87" s="448">
        <v>6.1604999999999999</v>
      </c>
      <c r="F87" s="448">
        <v>23.908100000000001</v>
      </c>
      <c r="G87" s="448">
        <v>20.636600000000001</v>
      </c>
      <c r="H87" s="448">
        <v>10.117599999999999</v>
      </c>
      <c r="I87" s="452">
        <v>45364</v>
      </c>
      <c r="J87" s="448">
        <v>14.711600000000001</v>
      </c>
      <c r="K87" s="448">
        <v>18.3017</v>
      </c>
      <c r="L87" s="448">
        <v>12.5588</v>
      </c>
      <c r="M87" s="448">
        <v>39.090299999999999</v>
      </c>
      <c r="N87" s="448">
        <v>48.405099999999997</v>
      </c>
      <c r="O87" s="448">
        <v>28.058199999999999</v>
      </c>
      <c r="P87" s="448"/>
      <c r="Q87" s="452">
        <v>45364</v>
      </c>
      <c r="R87" s="4">
        <v>236.39</v>
      </c>
      <c r="S87" s="4">
        <v>17600.419999999998</v>
      </c>
      <c r="T87" s="4">
        <v>855.47</v>
      </c>
      <c r="U87" s="4">
        <v>1.6308382200758882</v>
      </c>
      <c r="V87" s="4">
        <v>1.5614629494089203</v>
      </c>
      <c r="W87" s="4">
        <v>1.0540796963946868</v>
      </c>
      <c r="Y87" s="448">
        <v>236.39</v>
      </c>
      <c r="Z87" s="4">
        <v>154.76</v>
      </c>
      <c r="AA87" s="4">
        <v>38.909999999999997</v>
      </c>
      <c r="AB87" s="4">
        <v>216.91</v>
      </c>
      <c r="AC87" s="4">
        <v>122.75</v>
      </c>
      <c r="AD87" s="4">
        <v>201.47</v>
      </c>
      <c r="AF87" s="4">
        <v>1.6308382200758882</v>
      </c>
      <c r="AG87" s="4">
        <v>0.91579383395467173</v>
      </c>
      <c r="AH87" s="4">
        <v>1.0803831736776341</v>
      </c>
      <c r="AI87" s="4">
        <v>1.58040072859745</v>
      </c>
      <c r="AJ87" s="4">
        <v>4.1034023975235838</v>
      </c>
      <c r="AK87" s="4">
        <v>1.188052836419389</v>
      </c>
      <c r="AM87" s="450">
        <v>45855</v>
      </c>
      <c r="AN87" s="451">
        <v>223.3</v>
      </c>
      <c r="AO87" s="451">
        <v>1518172</v>
      </c>
      <c r="AP87" s="451">
        <v>239.59891999999999</v>
      </c>
      <c r="AQ87" s="451">
        <v>53502.438836000001</v>
      </c>
      <c r="AR87" s="451">
        <v>0.6119</v>
      </c>
    </row>
    <row r="88" spans="2:44">
      <c r="B88" s="452">
        <v>45357</v>
      </c>
      <c r="C88" s="448">
        <v>9.6204000000000001</v>
      </c>
      <c r="D88" s="448">
        <v>10.847099999999999</v>
      </c>
      <c r="E88" s="448">
        <v>6.1798999999999999</v>
      </c>
      <c r="F88" s="448">
        <v>23.998899999999999</v>
      </c>
      <c r="G88" s="448">
        <v>20.978300000000001</v>
      </c>
      <c r="H88" s="448">
        <v>10.0427</v>
      </c>
      <c r="I88" s="452">
        <v>45357</v>
      </c>
      <c r="J88" s="448">
        <v>14.3185</v>
      </c>
      <c r="K88" s="448">
        <v>18.040299999999998</v>
      </c>
      <c r="L88" s="448">
        <v>12.6137</v>
      </c>
      <c r="M88" s="448">
        <v>39.238100000000003</v>
      </c>
      <c r="N88" s="448">
        <v>49.4146</v>
      </c>
      <c r="O88" s="448">
        <v>27.828399999999998</v>
      </c>
      <c r="P88" s="448"/>
      <c r="Q88" s="452">
        <v>45357</v>
      </c>
      <c r="R88" s="4">
        <v>241.32</v>
      </c>
      <c r="S88" s="4">
        <v>17572.73</v>
      </c>
      <c r="T88" s="4">
        <v>864.82</v>
      </c>
      <c r="U88" s="4">
        <v>1.6648499482580201</v>
      </c>
      <c r="V88" s="4">
        <v>1.5590063654712001</v>
      </c>
      <c r="W88" s="4">
        <v>1.0656004337218759</v>
      </c>
      <c r="Y88" s="448">
        <v>241.32</v>
      </c>
      <c r="Z88" s="4">
        <v>152.55000000000001</v>
      </c>
      <c r="AA88" s="4">
        <v>39.08</v>
      </c>
      <c r="AB88" s="4">
        <v>217.73</v>
      </c>
      <c r="AC88" s="4">
        <v>125.31</v>
      </c>
      <c r="AD88" s="4">
        <v>199.82</v>
      </c>
      <c r="AF88" s="4">
        <v>1.6648499482580201</v>
      </c>
      <c r="AG88" s="4">
        <v>0.90271613704952958</v>
      </c>
      <c r="AH88" s="4">
        <v>1.0851034291267527</v>
      </c>
      <c r="AI88" s="4">
        <v>1.5863752276867029</v>
      </c>
      <c r="AJ88" s="4">
        <v>4.1889804841847686</v>
      </c>
      <c r="AK88" s="4">
        <v>1.1783229154381412</v>
      </c>
      <c r="AM88" s="450">
        <v>45854</v>
      </c>
      <c r="AN88" s="451">
        <v>222.53</v>
      </c>
      <c r="AO88" s="451">
        <v>1779237</v>
      </c>
      <c r="AP88" s="451">
        <v>239.59891999999999</v>
      </c>
      <c r="AQ88" s="451">
        <v>53317.947667599998</v>
      </c>
      <c r="AR88" s="451">
        <v>0.60980000000000001</v>
      </c>
    </row>
    <row r="89" spans="2:44">
      <c r="B89" s="452">
        <v>45350</v>
      </c>
      <c r="C89" s="448">
        <v>9.7152999999999992</v>
      </c>
      <c r="D89" s="448">
        <v>10.5428</v>
      </c>
      <c r="E89" s="448">
        <v>6.6384999999999996</v>
      </c>
      <c r="F89" s="448">
        <v>23.857099999999999</v>
      </c>
      <c r="G89" s="448">
        <v>19.968</v>
      </c>
      <c r="H89" s="448">
        <v>10.287000000000001</v>
      </c>
      <c r="I89" s="452">
        <v>45350</v>
      </c>
      <c r="J89" s="448">
        <v>14.4497</v>
      </c>
      <c r="K89" s="448">
        <v>17.475000000000001</v>
      </c>
      <c r="L89" s="448">
        <v>13.909599999999999</v>
      </c>
      <c r="M89" s="448">
        <v>39.007399999999997</v>
      </c>
      <c r="N89" s="448">
        <v>46.429400000000001</v>
      </c>
      <c r="O89" s="448">
        <v>28.5776</v>
      </c>
      <c r="P89" s="448"/>
      <c r="Q89" s="452">
        <v>45350</v>
      </c>
      <c r="R89" s="4">
        <v>243.77</v>
      </c>
      <c r="S89" s="4">
        <v>17476.71</v>
      </c>
      <c r="T89" s="4">
        <v>872.33</v>
      </c>
      <c r="U89" s="4">
        <v>1.6817523283890998</v>
      </c>
      <c r="V89" s="4">
        <v>1.5504877237341139</v>
      </c>
      <c r="W89" s="4">
        <v>1.0748539885162276</v>
      </c>
      <c r="Y89" s="448">
        <v>243.77</v>
      </c>
      <c r="Z89" s="4">
        <v>147.77000000000001</v>
      </c>
      <c r="AA89" s="4">
        <v>43.094999999999999</v>
      </c>
      <c r="AB89" s="4">
        <v>216.45</v>
      </c>
      <c r="AC89" s="4">
        <v>117.74</v>
      </c>
      <c r="AD89" s="4">
        <v>205.2</v>
      </c>
      <c r="AF89" s="4">
        <v>1.6817523283890998</v>
      </c>
      <c r="AG89" s="4">
        <v>0.87443043967098644</v>
      </c>
      <c r="AH89" s="4">
        <v>1.1965847563515202</v>
      </c>
      <c r="AI89" s="4">
        <v>1.5770491803278688</v>
      </c>
      <c r="AJ89" s="4">
        <v>3.9359234076124379</v>
      </c>
      <c r="AK89" s="4">
        <v>1.2100483547588157</v>
      </c>
      <c r="AM89" s="450">
        <v>45853</v>
      </c>
      <c r="AN89" s="451">
        <v>226.77</v>
      </c>
      <c r="AO89" s="451">
        <v>1902606</v>
      </c>
      <c r="AP89" s="451">
        <v>239.59891999999999</v>
      </c>
      <c r="AQ89" s="451">
        <v>54333.847088399998</v>
      </c>
      <c r="AR89" s="451">
        <v>0.62139999999999995</v>
      </c>
    </row>
    <row r="90" spans="2:44">
      <c r="B90" s="452">
        <v>45343</v>
      </c>
      <c r="C90" s="448">
        <v>9.6377000000000006</v>
      </c>
      <c r="D90" s="448">
        <v>10.573499999999999</v>
      </c>
      <c r="E90" s="448">
        <v>6.6379000000000001</v>
      </c>
      <c r="F90" s="448">
        <v>23.447199999999999</v>
      </c>
      <c r="G90" s="448">
        <v>20.166799999999999</v>
      </c>
      <c r="H90" s="448">
        <v>10.1814</v>
      </c>
      <c r="I90" s="452">
        <v>45343</v>
      </c>
      <c r="J90" s="448">
        <v>14.274699999999999</v>
      </c>
      <c r="K90" s="448">
        <v>17.534199999999998</v>
      </c>
      <c r="L90" s="448">
        <v>13.907999999999999</v>
      </c>
      <c r="M90" s="448">
        <v>38.243299999999998</v>
      </c>
      <c r="N90" s="448">
        <v>47.017000000000003</v>
      </c>
      <c r="O90" s="448">
        <v>28.296299999999999</v>
      </c>
      <c r="P90" s="448"/>
      <c r="Q90" s="452">
        <v>45343</v>
      </c>
      <c r="R90" s="4">
        <v>250.85</v>
      </c>
      <c r="S90" s="4">
        <v>17404.21</v>
      </c>
      <c r="T90" s="4">
        <v>930.4</v>
      </c>
      <c r="U90" s="4">
        <v>1.7305967575025871</v>
      </c>
      <c r="V90" s="4">
        <v>1.5440557145075076</v>
      </c>
      <c r="W90" s="4">
        <v>1.146405776386801</v>
      </c>
      <c r="Y90" s="448">
        <v>250.85</v>
      </c>
      <c r="Z90" s="4">
        <v>148.27000000000001</v>
      </c>
      <c r="AA90" s="4">
        <v>43.09</v>
      </c>
      <c r="AB90" s="4">
        <v>212.21</v>
      </c>
      <c r="AC90" s="4">
        <v>119.23</v>
      </c>
      <c r="AD90" s="4">
        <v>203.18</v>
      </c>
      <c r="AF90" s="4">
        <v>1.7305967575025871</v>
      </c>
      <c r="AG90" s="4">
        <v>0.87738919462690101</v>
      </c>
      <c r="AH90" s="4">
        <v>1.196445925308899</v>
      </c>
      <c r="AI90" s="4">
        <v>1.5461566484517304</v>
      </c>
      <c r="AJ90" s="4">
        <v>3.9857325283644558</v>
      </c>
      <c r="AK90" s="4">
        <v>1.1981365727090458</v>
      </c>
      <c r="AM90" s="450">
        <v>45852</v>
      </c>
      <c r="AN90" s="451">
        <v>224.38</v>
      </c>
      <c r="AO90" s="451">
        <v>1888412</v>
      </c>
      <c r="AP90" s="451">
        <v>239.59891999999999</v>
      </c>
      <c r="AQ90" s="451">
        <v>53761.2056696</v>
      </c>
      <c r="AR90" s="451">
        <v>0.6149</v>
      </c>
    </row>
    <row r="91" spans="2:44">
      <c r="B91" s="452">
        <v>45336</v>
      </c>
      <c r="C91" s="448">
        <v>9.5175000000000001</v>
      </c>
      <c r="D91" s="448">
        <v>10.3177</v>
      </c>
      <c r="E91" s="448">
        <v>6.53</v>
      </c>
      <c r="F91" s="448">
        <v>23.819800000000001</v>
      </c>
      <c r="G91" s="448">
        <v>20.306999999999999</v>
      </c>
      <c r="H91" s="448">
        <v>10.833399999999999</v>
      </c>
      <c r="I91" s="452">
        <v>45336</v>
      </c>
      <c r="J91" s="448">
        <v>14.0039</v>
      </c>
      <c r="K91" s="448">
        <v>17.055199999999999</v>
      </c>
      <c r="L91" s="448">
        <v>13.603</v>
      </c>
      <c r="M91" s="448">
        <v>38.847900000000003</v>
      </c>
      <c r="N91" s="448">
        <v>47.431100000000001</v>
      </c>
      <c r="O91" s="448">
        <v>30.298999999999999</v>
      </c>
      <c r="P91" s="448"/>
      <c r="Q91" s="452">
        <v>45336</v>
      </c>
      <c r="R91" s="4">
        <v>245.04</v>
      </c>
      <c r="S91" s="4">
        <v>16830.71</v>
      </c>
      <c r="T91" s="4">
        <v>906.85</v>
      </c>
      <c r="U91" s="4">
        <v>1.6905139703345982</v>
      </c>
      <c r="V91" s="4">
        <v>1.4931763035908354</v>
      </c>
      <c r="W91" s="4">
        <v>1.1173883042953252</v>
      </c>
      <c r="Y91" s="448">
        <v>245.04</v>
      </c>
      <c r="Z91" s="4">
        <v>144.22</v>
      </c>
      <c r="AA91" s="4">
        <v>42.145000000000003</v>
      </c>
      <c r="AB91" s="4">
        <v>215.565</v>
      </c>
      <c r="AC91" s="4">
        <v>120.28</v>
      </c>
      <c r="AD91" s="4">
        <v>217.56</v>
      </c>
      <c r="AF91" s="4">
        <v>1.6905139703345982</v>
      </c>
      <c r="AG91" s="4">
        <v>0.8534232794839931</v>
      </c>
      <c r="AH91" s="4">
        <v>1.1702068582535055</v>
      </c>
      <c r="AI91" s="4">
        <v>1.5706010928961749</v>
      </c>
      <c r="AJ91" s="4">
        <v>4.0208329154715816</v>
      </c>
      <c r="AK91" s="4">
        <v>1.282934308291072</v>
      </c>
      <c r="AM91" s="450">
        <v>45851</v>
      </c>
      <c r="AN91" s="451">
        <v>224.38</v>
      </c>
      <c r="AO91" s="451">
        <v>1888412</v>
      </c>
      <c r="AP91" s="451">
        <v>239.59891999999999</v>
      </c>
      <c r="AQ91" s="451">
        <v>53761.2056696</v>
      </c>
      <c r="AR91" s="451">
        <v>0.6149</v>
      </c>
    </row>
    <row r="92" spans="2:44">
      <c r="B92" s="452">
        <v>45329</v>
      </c>
      <c r="C92" s="448">
        <v>9.6565999999999992</v>
      </c>
      <c r="D92" s="448">
        <v>10.502700000000001</v>
      </c>
      <c r="E92" s="448">
        <v>6.5174000000000003</v>
      </c>
      <c r="F92" s="448">
        <v>23.8931</v>
      </c>
      <c r="G92" s="448">
        <v>19.7927</v>
      </c>
      <c r="H92" s="448">
        <v>10.680099999999999</v>
      </c>
      <c r="I92" s="452">
        <v>45329</v>
      </c>
      <c r="J92" s="448">
        <v>14.317299999999999</v>
      </c>
      <c r="K92" s="448">
        <v>17.412400000000002</v>
      </c>
      <c r="L92" s="448">
        <v>13.567500000000001</v>
      </c>
      <c r="M92" s="448">
        <v>38.966900000000003</v>
      </c>
      <c r="N92" s="448">
        <v>45.956200000000003</v>
      </c>
      <c r="O92" s="448">
        <v>29.828299999999999</v>
      </c>
      <c r="P92" s="448"/>
      <c r="Q92" s="452">
        <v>45329</v>
      </c>
      <c r="R92" s="4">
        <v>247.25</v>
      </c>
      <c r="S92" s="4">
        <v>16678.71</v>
      </c>
      <c r="T92" s="4">
        <v>922.05</v>
      </c>
      <c r="U92" s="4">
        <v>1.7057606071058988</v>
      </c>
      <c r="V92" s="4">
        <v>1.4796912635571229</v>
      </c>
      <c r="W92" s="4">
        <v>1.1361172034796323</v>
      </c>
      <c r="Y92" s="448">
        <v>247.25</v>
      </c>
      <c r="Z92" s="4">
        <v>147.24</v>
      </c>
      <c r="AA92" s="4">
        <v>42.034999999999997</v>
      </c>
      <c r="AB92" s="4">
        <v>216.22499999999999</v>
      </c>
      <c r="AC92" s="4">
        <v>116.54</v>
      </c>
      <c r="AD92" s="4">
        <v>214.18</v>
      </c>
      <c r="AF92" s="4">
        <v>1.7057606071058988</v>
      </c>
      <c r="AG92" s="4">
        <v>0.87129415941771704</v>
      </c>
      <c r="AH92" s="4">
        <v>1.1671525753158405</v>
      </c>
      <c r="AI92" s="4">
        <v>1.5754098360655737</v>
      </c>
      <c r="AJ92" s="4">
        <v>3.895808679490008</v>
      </c>
      <c r="AK92" s="4">
        <v>1.2630027125840311</v>
      </c>
      <c r="AM92" s="450">
        <v>45850</v>
      </c>
      <c r="AN92" s="451">
        <v>224.38</v>
      </c>
      <c r="AO92" s="451">
        <v>1888412</v>
      </c>
      <c r="AP92" s="451">
        <v>239.59891999999999</v>
      </c>
      <c r="AQ92" s="451">
        <v>53761.2056696</v>
      </c>
      <c r="AR92" s="451">
        <v>0.6149</v>
      </c>
    </row>
    <row r="93" spans="2:44">
      <c r="B93" s="452">
        <v>45322</v>
      </c>
      <c r="C93" s="448">
        <v>9.6344999999999992</v>
      </c>
      <c r="D93" s="448">
        <v>10.175599999999999</v>
      </c>
      <c r="E93" s="448">
        <v>6.7624000000000004</v>
      </c>
      <c r="F93" s="448">
        <v>21.592700000000001</v>
      </c>
      <c r="G93" s="448">
        <v>15.6434</v>
      </c>
      <c r="H93" s="448">
        <v>10.0816</v>
      </c>
      <c r="I93" s="452">
        <v>45322</v>
      </c>
      <c r="J93" s="448">
        <v>14.2676</v>
      </c>
      <c r="K93" s="448">
        <v>16.780899999999999</v>
      </c>
      <c r="L93" s="448">
        <v>14.2598</v>
      </c>
      <c r="M93" s="448">
        <v>35.233699999999999</v>
      </c>
      <c r="N93" s="448">
        <v>33.692300000000003</v>
      </c>
      <c r="O93" s="448">
        <v>27.989899999999999</v>
      </c>
      <c r="P93" s="448"/>
      <c r="Q93" s="452">
        <v>45322</v>
      </c>
      <c r="R93" s="4">
        <v>252.24</v>
      </c>
      <c r="S93" s="4">
        <v>16543.939999999999</v>
      </c>
      <c r="T93" s="4">
        <v>925.13</v>
      </c>
      <c r="U93" s="4">
        <v>1.7401862711279754</v>
      </c>
      <c r="V93" s="4">
        <v>1.4677348237851264</v>
      </c>
      <c r="W93" s="4">
        <v>1.1399122698932944</v>
      </c>
      <c r="Y93" s="448">
        <v>252.24</v>
      </c>
      <c r="Z93" s="4">
        <v>141.9</v>
      </c>
      <c r="AA93" s="4">
        <v>44.18</v>
      </c>
      <c r="AB93" s="4">
        <v>195.51</v>
      </c>
      <c r="AC93" s="4">
        <v>85.44</v>
      </c>
      <c r="AD93" s="4">
        <v>200.98</v>
      </c>
      <c r="AF93" s="4">
        <v>1.7401862711279754</v>
      </c>
      <c r="AG93" s="4">
        <v>0.83969465648854957</v>
      </c>
      <c r="AH93" s="4">
        <v>1.2267110926003053</v>
      </c>
      <c r="AI93" s="4">
        <v>1.4244808743169399</v>
      </c>
      <c r="AJ93" s="4">
        <v>2.8561686423170265</v>
      </c>
      <c r="AK93" s="4">
        <v>1.1851633447340486</v>
      </c>
      <c r="AM93" s="450">
        <v>45849</v>
      </c>
      <c r="AN93" s="451">
        <v>225</v>
      </c>
      <c r="AO93" s="451">
        <v>1860749</v>
      </c>
      <c r="AP93" s="451">
        <v>239.59891999999999</v>
      </c>
      <c r="AQ93" s="451">
        <v>53909.756999999998</v>
      </c>
      <c r="AR93" s="451">
        <v>0.61660000000000004</v>
      </c>
    </row>
    <row r="94" spans="2:44">
      <c r="B94" s="452">
        <v>45315</v>
      </c>
      <c r="C94" s="448">
        <v>9.8559999999999999</v>
      </c>
      <c r="D94" s="448">
        <v>11.0747</v>
      </c>
      <c r="E94" s="448">
        <v>6.8349000000000002</v>
      </c>
      <c r="F94" s="448">
        <v>21.629300000000001</v>
      </c>
      <c r="G94" s="448">
        <v>15.4541</v>
      </c>
      <c r="H94" s="448">
        <v>10.205399999999999</v>
      </c>
      <c r="I94" s="452">
        <v>45315</v>
      </c>
      <c r="J94" s="448">
        <v>14.7667</v>
      </c>
      <c r="K94" s="448">
        <v>18.5169</v>
      </c>
      <c r="L94" s="448">
        <v>14.4648</v>
      </c>
      <c r="M94" s="448">
        <v>35.293199999999999</v>
      </c>
      <c r="N94" s="448">
        <v>33.132300000000001</v>
      </c>
      <c r="O94" s="448">
        <v>28.370100000000001</v>
      </c>
      <c r="P94" s="448"/>
      <c r="Q94" s="452">
        <v>45315</v>
      </c>
      <c r="R94" s="4">
        <v>251.99</v>
      </c>
      <c r="S94" s="4">
        <v>16878.46</v>
      </c>
      <c r="T94" s="4">
        <v>924.72</v>
      </c>
      <c r="U94" s="4">
        <v>1.7384615384615387</v>
      </c>
      <c r="V94" s="4">
        <v>1.4974125579435313</v>
      </c>
      <c r="W94" s="4">
        <v>1.1394070824810862</v>
      </c>
      <c r="Y94" s="448">
        <v>251.99</v>
      </c>
      <c r="Z94" s="4">
        <v>156.58000000000001</v>
      </c>
      <c r="AA94" s="4">
        <v>44.814999999999998</v>
      </c>
      <c r="AB94" s="4">
        <v>195.84</v>
      </c>
      <c r="AC94" s="4">
        <v>84.02</v>
      </c>
      <c r="AD94" s="4">
        <v>203.71</v>
      </c>
      <c r="AF94" s="4">
        <v>1.7384615384615387</v>
      </c>
      <c r="AG94" s="4">
        <v>0.92656370199420091</v>
      </c>
      <c r="AH94" s="4">
        <v>1.2443426350131888</v>
      </c>
      <c r="AI94" s="4">
        <v>1.4268852459016395</v>
      </c>
      <c r="AJ94" s="4">
        <v>2.808699547372151</v>
      </c>
      <c r="AK94" s="4">
        <v>1.2012619412666588</v>
      </c>
      <c r="AM94" s="450">
        <v>45848</v>
      </c>
      <c r="AN94" s="451">
        <v>224</v>
      </c>
      <c r="AO94" s="451">
        <v>1927149</v>
      </c>
      <c r="AP94" s="451">
        <v>239.59891999999999</v>
      </c>
      <c r="AQ94" s="451">
        <v>53670.158080000001</v>
      </c>
      <c r="AR94" s="451">
        <v>0.6139</v>
      </c>
    </row>
    <row r="95" spans="2:44">
      <c r="B95" s="452">
        <v>45308</v>
      </c>
      <c r="C95" s="448">
        <v>9.6869999999999994</v>
      </c>
      <c r="D95" s="448">
        <v>10.950900000000001</v>
      </c>
      <c r="E95" s="448">
        <v>6.6909999999999998</v>
      </c>
      <c r="F95" s="448">
        <v>20.861899999999999</v>
      </c>
      <c r="G95" s="448">
        <v>15.0822</v>
      </c>
      <c r="H95" s="448">
        <v>9.6613000000000007</v>
      </c>
      <c r="I95" s="452">
        <v>45308</v>
      </c>
      <c r="J95" s="448">
        <v>14.385899999999999</v>
      </c>
      <c r="K95" s="448">
        <v>18.277999999999999</v>
      </c>
      <c r="L95" s="448">
        <v>14.0581</v>
      </c>
      <c r="M95" s="448">
        <v>34.047899999999998</v>
      </c>
      <c r="N95" s="448">
        <v>32.0321</v>
      </c>
      <c r="O95" s="448">
        <v>26.698899999999998</v>
      </c>
      <c r="P95" s="448"/>
      <c r="Q95" s="452">
        <v>45308</v>
      </c>
      <c r="R95" s="4">
        <v>280</v>
      </c>
      <c r="S95" s="4">
        <v>16811.849999999999</v>
      </c>
      <c r="T95" s="4">
        <v>964</v>
      </c>
      <c r="U95" s="4">
        <v>1.9317005864091068</v>
      </c>
      <c r="V95" s="4">
        <v>1.4915030940182312</v>
      </c>
      <c r="W95" s="4">
        <v>1.18780650089948</v>
      </c>
      <c r="Y95" s="448">
        <v>280</v>
      </c>
      <c r="Z95" s="4">
        <v>154.56</v>
      </c>
      <c r="AA95" s="4">
        <v>43.555</v>
      </c>
      <c r="AB95" s="4">
        <v>188.93</v>
      </c>
      <c r="AC95" s="4">
        <v>81.23</v>
      </c>
      <c r="AD95" s="4">
        <v>191.71</v>
      </c>
      <c r="AF95" s="4">
        <v>1.9317005864091068</v>
      </c>
      <c r="AG95" s="4">
        <v>0.91461033197230601</v>
      </c>
      <c r="AH95" s="4">
        <v>1.2093572122726641</v>
      </c>
      <c r="AI95" s="4">
        <v>1.3765391621129326</v>
      </c>
      <c r="AJ95" s="4">
        <v>2.7154328044875009</v>
      </c>
      <c r="AK95" s="4">
        <v>1.1304988795848567</v>
      </c>
      <c r="AM95" s="450">
        <v>45847</v>
      </c>
      <c r="AN95" s="451">
        <v>227.96</v>
      </c>
      <c r="AO95" s="451">
        <v>2034255</v>
      </c>
      <c r="AP95" s="451">
        <v>239.59891999999999</v>
      </c>
      <c r="AQ95" s="451">
        <v>54618.969803200001</v>
      </c>
      <c r="AR95" s="451">
        <v>0.62470000000000003</v>
      </c>
    </row>
    <row r="96" spans="2:44">
      <c r="B96" s="452">
        <v>45301</v>
      </c>
      <c r="C96" s="448">
        <v>9.8842999999999996</v>
      </c>
      <c r="D96" s="448">
        <v>11.3588</v>
      </c>
      <c r="E96" s="448">
        <v>6.8171999999999997</v>
      </c>
      <c r="F96" s="448">
        <v>21.592700000000001</v>
      </c>
      <c r="G96" s="448">
        <v>15.6007</v>
      </c>
      <c r="H96" s="448">
        <v>9.7184000000000008</v>
      </c>
      <c r="I96" s="452">
        <v>45301</v>
      </c>
      <c r="J96" s="448">
        <v>14.830500000000001</v>
      </c>
      <c r="K96" s="448">
        <v>19.0656</v>
      </c>
      <c r="L96" s="448">
        <v>14.4147</v>
      </c>
      <c r="M96" s="448">
        <v>35.233699999999999</v>
      </c>
      <c r="N96" s="448">
        <v>33.566099999999999</v>
      </c>
      <c r="O96" s="448">
        <v>26.874400000000001</v>
      </c>
      <c r="P96" s="448"/>
      <c r="Q96" s="452">
        <v>45301</v>
      </c>
      <c r="R96" s="4">
        <v>273.01</v>
      </c>
      <c r="S96" s="4">
        <v>16354.25</v>
      </c>
      <c r="T96" s="4">
        <v>931.06</v>
      </c>
      <c r="U96" s="4">
        <v>1.8834770610555365</v>
      </c>
      <c r="V96" s="4">
        <v>1.450906026127265</v>
      </c>
      <c r="W96" s="4">
        <v>1.1472190049040143</v>
      </c>
      <c r="Y96" s="448">
        <v>273.01</v>
      </c>
      <c r="Z96" s="4">
        <v>161.22</v>
      </c>
      <c r="AA96" s="4">
        <v>44.66</v>
      </c>
      <c r="AB96" s="4">
        <v>195.51</v>
      </c>
      <c r="AC96" s="4">
        <v>85.12</v>
      </c>
      <c r="AD96" s="4">
        <v>192.97</v>
      </c>
      <c r="AF96" s="4">
        <v>1.8834770610555365</v>
      </c>
      <c r="AG96" s="4">
        <v>0.95402094798508785</v>
      </c>
      <c r="AH96" s="4">
        <v>1.2400388726919338</v>
      </c>
      <c r="AI96" s="4">
        <v>1.4244808743169399</v>
      </c>
      <c r="AJ96" s="4">
        <v>2.8454713814843786</v>
      </c>
      <c r="AK96" s="4">
        <v>1.1379290010614458</v>
      </c>
      <c r="AM96" s="450">
        <v>45846</v>
      </c>
      <c r="AN96" s="451">
        <v>222.18</v>
      </c>
      <c r="AO96" s="451">
        <v>2146383</v>
      </c>
      <c r="AP96" s="451">
        <v>239.59891999999999</v>
      </c>
      <c r="AQ96" s="451">
        <v>53234.088045600001</v>
      </c>
      <c r="AR96" s="451">
        <v>0.6089</v>
      </c>
    </row>
    <row r="97" spans="2:44">
      <c r="B97" s="452">
        <v>45294</v>
      </c>
      <c r="C97" s="448">
        <v>9.8011999999999997</v>
      </c>
      <c r="D97" s="448">
        <v>11.1334</v>
      </c>
      <c r="E97" s="448">
        <v>6.7670000000000003</v>
      </c>
      <c r="F97" s="448">
        <v>21.2651</v>
      </c>
      <c r="G97" s="448">
        <v>15.2621</v>
      </c>
      <c r="H97" s="448">
        <v>9.6721000000000004</v>
      </c>
      <c r="I97" s="452">
        <v>45294</v>
      </c>
      <c r="J97" s="448">
        <v>14.6431</v>
      </c>
      <c r="K97" s="448">
        <v>18.630400000000002</v>
      </c>
      <c r="L97" s="448">
        <v>14.2727</v>
      </c>
      <c r="M97" s="448">
        <v>34.702100000000002</v>
      </c>
      <c r="N97" s="448">
        <v>32.564500000000002</v>
      </c>
      <c r="O97" s="448">
        <v>26.732299999999999</v>
      </c>
      <c r="P97" s="448"/>
      <c r="Q97" s="452">
        <v>45294</v>
      </c>
      <c r="R97" s="4">
        <v>266.08</v>
      </c>
      <c r="S97" s="4">
        <v>15877.71</v>
      </c>
      <c r="T97" s="4">
        <v>920.84</v>
      </c>
      <c r="U97" s="4">
        <v>1.835667471541911</v>
      </c>
      <c r="V97" s="4">
        <v>1.4086286512742032</v>
      </c>
      <c r="W97" s="4">
        <v>1.1346262845314079</v>
      </c>
      <c r="Y97" s="448">
        <v>266.08</v>
      </c>
      <c r="Z97" s="4">
        <v>157.54</v>
      </c>
      <c r="AA97" s="4">
        <v>44.22</v>
      </c>
      <c r="AB97" s="4">
        <v>192.56</v>
      </c>
      <c r="AC97" s="4">
        <v>82.58</v>
      </c>
      <c r="AD97" s="4">
        <v>191.95</v>
      </c>
      <c r="AF97" s="4">
        <v>1.835667471541911</v>
      </c>
      <c r="AG97" s="4">
        <v>0.93224451150955667</v>
      </c>
      <c r="AH97" s="4">
        <v>1.2278217409412744</v>
      </c>
      <c r="AI97" s="4">
        <v>1.4029872495446265</v>
      </c>
      <c r="AJ97" s="4">
        <v>2.7605618736252349</v>
      </c>
      <c r="AK97" s="4">
        <v>1.1319141408184925</v>
      </c>
      <c r="AM97" s="450">
        <v>45845</v>
      </c>
      <c r="AN97" s="451">
        <v>219.61</v>
      </c>
      <c r="AO97" s="451">
        <v>1684260</v>
      </c>
      <c r="AP97" s="451">
        <v>239.59891999999999</v>
      </c>
      <c r="AQ97" s="451">
        <v>52618.318821200002</v>
      </c>
      <c r="AR97" s="451">
        <v>0.6018</v>
      </c>
    </row>
    <row r="98" spans="2:44">
      <c r="B98" s="452">
        <v>45287</v>
      </c>
      <c r="C98" s="448">
        <v>9.8877000000000006</v>
      </c>
      <c r="D98" s="448">
        <v>10.7798</v>
      </c>
      <c r="E98" s="448">
        <v>6.7347000000000001</v>
      </c>
      <c r="F98" s="448">
        <v>22.940200000000001</v>
      </c>
      <c r="G98" s="448">
        <v>17.851199999999999</v>
      </c>
      <c r="H98" s="448">
        <v>12.4406</v>
      </c>
      <c r="I98" s="452">
        <v>45287</v>
      </c>
      <c r="J98" s="448">
        <v>14.838200000000001</v>
      </c>
      <c r="K98" s="448">
        <v>15.8019</v>
      </c>
      <c r="L98" s="448">
        <v>13.3147</v>
      </c>
      <c r="M98" s="448">
        <v>36.9724</v>
      </c>
      <c r="N98" s="448">
        <v>38.435000000000002</v>
      </c>
      <c r="O98" s="448">
        <v>26.906700000000001</v>
      </c>
      <c r="P98" s="448"/>
      <c r="Q98" s="452">
        <v>45287</v>
      </c>
      <c r="R98" s="4">
        <v>253.41</v>
      </c>
      <c r="S98" s="4">
        <v>16010.43</v>
      </c>
      <c r="T98" s="4">
        <v>893.63</v>
      </c>
      <c r="U98" s="4">
        <v>1.7482580200068991</v>
      </c>
      <c r="V98" s="4">
        <v>1.4204032204404817</v>
      </c>
      <c r="W98" s="4">
        <v>1.1010990906626579</v>
      </c>
      <c r="Y98" s="448">
        <v>253.41</v>
      </c>
      <c r="Z98" s="4">
        <v>156.84</v>
      </c>
      <c r="AA98" s="4">
        <v>44.825000000000003</v>
      </c>
      <c r="AB98" s="4">
        <v>206.8</v>
      </c>
      <c r="AC98" s="4">
        <v>89.92</v>
      </c>
      <c r="AD98" s="4">
        <v>202.25</v>
      </c>
      <c r="AF98" s="4">
        <v>1.7482580200068991</v>
      </c>
      <c r="AG98" s="4">
        <v>0.92810225457127637</v>
      </c>
      <c r="AH98" s="4">
        <v>1.2446202970984312</v>
      </c>
      <c r="AI98" s="4">
        <v>1.5067395264116576</v>
      </c>
      <c r="AJ98" s="4">
        <v>3.0059302939740991</v>
      </c>
      <c r="AK98" s="4">
        <v>1.192652435428706</v>
      </c>
      <c r="AM98" s="450">
        <v>45844</v>
      </c>
      <c r="AN98" s="451">
        <v>219.61</v>
      </c>
      <c r="AO98" s="451">
        <v>1684260</v>
      </c>
      <c r="AP98" s="451">
        <v>239.59891999999999</v>
      </c>
      <c r="AQ98" s="451">
        <v>52618.318821200002</v>
      </c>
      <c r="AR98" s="451">
        <v>0.6018</v>
      </c>
    </row>
    <row r="99" spans="2:44">
      <c r="B99" s="452">
        <v>45280</v>
      </c>
      <c r="C99" s="448">
        <v>9.7646999999999995</v>
      </c>
      <c r="D99" s="448">
        <v>10.787000000000001</v>
      </c>
      <c r="E99" s="448">
        <v>6.6928999999999998</v>
      </c>
      <c r="F99" s="448">
        <v>22.296600000000002</v>
      </c>
      <c r="G99" s="448">
        <v>17.3477</v>
      </c>
      <c r="H99" s="448">
        <v>12.171099999999999</v>
      </c>
      <c r="I99" s="452">
        <v>45280</v>
      </c>
      <c r="J99" s="448">
        <v>14.5609</v>
      </c>
      <c r="K99" s="448">
        <v>15.814</v>
      </c>
      <c r="L99" s="448">
        <v>13.204800000000001</v>
      </c>
      <c r="M99" s="448">
        <v>35.938099999999999</v>
      </c>
      <c r="N99" s="448">
        <v>37.054400000000001</v>
      </c>
      <c r="O99" s="448">
        <v>26.285399999999999</v>
      </c>
      <c r="P99" s="448"/>
      <c r="Q99" s="452">
        <v>45280</v>
      </c>
      <c r="R99" s="4">
        <v>255.86</v>
      </c>
      <c r="S99" s="4">
        <v>15933.62</v>
      </c>
      <c r="T99" s="4">
        <v>891.82</v>
      </c>
      <c r="U99" s="4">
        <v>1.7651604001379788</v>
      </c>
      <c r="V99" s="4">
        <v>1.4135888393550249</v>
      </c>
      <c r="W99" s="4">
        <v>1.0988688730624214</v>
      </c>
      <c r="Y99" s="448">
        <v>255.86</v>
      </c>
      <c r="Z99" s="4">
        <v>156.96</v>
      </c>
      <c r="AA99" s="4">
        <v>44.454999999999998</v>
      </c>
      <c r="AB99" s="4">
        <v>201.01499999999999</v>
      </c>
      <c r="AC99" s="4">
        <v>86.69</v>
      </c>
      <c r="AD99" s="4">
        <v>197.58</v>
      </c>
      <c r="AF99" s="4">
        <v>1.7651604001379788</v>
      </c>
      <c r="AG99" s="4">
        <v>0.92881235576069587</v>
      </c>
      <c r="AH99" s="4">
        <v>1.2343467999444675</v>
      </c>
      <c r="AI99" s="4">
        <v>1.4645901639344261</v>
      </c>
      <c r="AJ99" s="4">
        <v>2.8979548174445577</v>
      </c>
      <c r="AK99" s="4">
        <v>1.1651138105908716</v>
      </c>
      <c r="AM99" s="450">
        <v>45843</v>
      </c>
      <c r="AN99" s="451">
        <v>219.61</v>
      </c>
      <c r="AO99" s="451">
        <v>1684260</v>
      </c>
      <c r="AP99" s="451">
        <v>239.59891999999999</v>
      </c>
      <c r="AQ99" s="451">
        <v>52618.318821200002</v>
      </c>
      <c r="AR99" s="451">
        <v>0.6018</v>
      </c>
    </row>
    <row r="100" spans="2:44">
      <c r="B100" s="452">
        <v>45273</v>
      </c>
      <c r="C100" s="448">
        <v>10.532299999999999</v>
      </c>
      <c r="D100" s="448">
        <v>10.804600000000001</v>
      </c>
      <c r="E100" s="448">
        <v>6.907</v>
      </c>
      <c r="F100" s="448">
        <v>21.2971</v>
      </c>
      <c r="G100" s="448">
        <v>17.1311</v>
      </c>
      <c r="H100" s="448">
        <v>12.080500000000001</v>
      </c>
      <c r="I100" s="452">
        <v>45273</v>
      </c>
      <c r="J100" s="448">
        <v>16.191700000000001</v>
      </c>
      <c r="K100" s="448">
        <v>15.8432</v>
      </c>
      <c r="L100" s="448">
        <v>13.7677</v>
      </c>
      <c r="M100" s="448">
        <v>34.331699999999998</v>
      </c>
      <c r="N100" s="448">
        <v>36.460299999999997</v>
      </c>
      <c r="O100" s="448">
        <v>26.076499999999999</v>
      </c>
      <c r="P100" s="448"/>
      <c r="Q100" s="452">
        <v>45273</v>
      </c>
      <c r="R100" s="4">
        <v>254.18</v>
      </c>
      <c r="S100" s="4">
        <v>15812.47</v>
      </c>
      <c r="T100" s="4">
        <v>869.01</v>
      </c>
      <c r="U100" s="4">
        <v>1.7535701966195241</v>
      </c>
      <c r="V100" s="4">
        <v>1.4028407301439438</v>
      </c>
      <c r="W100" s="4">
        <v>1.0707632026417604</v>
      </c>
      <c r="Y100" s="448">
        <v>254.18</v>
      </c>
      <c r="Z100" s="4">
        <v>157.25</v>
      </c>
      <c r="AA100" s="4">
        <v>46.35</v>
      </c>
      <c r="AB100" s="4">
        <v>192.03</v>
      </c>
      <c r="AC100" s="4">
        <v>85.3</v>
      </c>
      <c r="AD100" s="4">
        <v>196.01</v>
      </c>
      <c r="AF100" s="4">
        <v>1.7535701966195241</v>
      </c>
      <c r="AG100" s="4">
        <v>0.93052843363512627</v>
      </c>
      <c r="AH100" s="4">
        <v>1.2869637650978758</v>
      </c>
      <c r="AI100" s="4">
        <v>1.3991256830601093</v>
      </c>
      <c r="AJ100" s="4">
        <v>2.851488590702743</v>
      </c>
      <c r="AK100" s="4">
        <v>1.1558556433541689</v>
      </c>
      <c r="AM100" s="450">
        <v>45842</v>
      </c>
      <c r="AN100" s="451">
        <v>216.73</v>
      </c>
      <c r="AO100" s="451">
        <v>1961375</v>
      </c>
      <c r="AP100" s="451">
        <v>239.59891999999999</v>
      </c>
      <c r="AQ100" s="451">
        <v>51928.273931599993</v>
      </c>
      <c r="AR100" s="451">
        <v>0.59389999999999998</v>
      </c>
    </row>
    <row r="101" spans="2:44">
      <c r="B101" s="452">
        <v>45266</v>
      </c>
      <c r="C101" s="448">
        <v>10.3576</v>
      </c>
      <c r="D101" s="448">
        <v>10.686</v>
      </c>
      <c r="E101" s="448">
        <v>6.7053000000000003</v>
      </c>
      <c r="F101" s="448">
        <v>20.675899999999999</v>
      </c>
      <c r="G101" s="448">
        <v>16.532499999999999</v>
      </c>
      <c r="H101" s="448">
        <v>11.6228</v>
      </c>
      <c r="I101" s="452">
        <v>45266</v>
      </c>
      <c r="J101" s="448">
        <v>15.8003</v>
      </c>
      <c r="K101" s="448">
        <v>15.6457</v>
      </c>
      <c r="L101" s="448">
        <v>13.237500000000001</v>
      </c>
      <c r="M101" s="448">
        <v>33.333199999999998</v>
      </c>
      <c r="N101" s="448">
        <v>34.818899999999999</v>
      </c>
      <c r="O101" s="448">
        <v>25.0215</v>
      </c>
      <c r="P101" s="448"/>
      <c r="Q101" s="452">
        <v>45266</v>
      </c>
      <c r="R101" s="4">
        <v>244.2</v>
      </c>
      <c r="S101" s="4">
        <v>15296.02</v>
      </c>
      <c r="T101" s="4">
        <v>848.37</v>
      </c>
      <c r="U101" s="4">
        <v>1.6847188685753709</v>
      </c>
      <c r="V101" s="4">
        <v>1.357022645108346</v>
      </c>
      <c r="W101" s="4">
        <v>1.0453313290125434</v>
      </c>
      <c r="Y101" s="448">
        <v>244.2</v>
      </c>
      <c r="Z101" s="4">
        <v>155.29</v>
      </c>
      <c r="AA101" s="4">
        <v>44.564999999999998</v>
      </c>
      <c r="AB101" s="4">
        <v>186.44499999999999</v>
      </c>
      <c r="AC101" s="4">
        <v>81.459999999999994</v>
      </c>
      <c r="AD101" s="4">
        <v>188.08</v>
      </c>
      <c r="AF101" s="4">
        <v>1.6847188685753709</v>
      </c>
      <c r="AG101" s="4">
        <v>0.91893011420794124</v>
      </c>
      <c r="AH101" s="4">
        <v>1.2374010828821325</v>
      </c>
      <c r="AI101" s="4">
        <v>1.3584335154826959</v>
      </c>
      <c r="AJ101" s="4">
        <v>2.7231214607109666</v>
      </c>
      <c r="AK101" s="4">
        <v>1.1090930534261116</v>
      </c>
      <c r="AM101" s="450">
        <v>45841</v>
      </c>
      <c r="AN101" s="451">
        <v>218.89</v>
      </c>
      <c r="AO101" s="451">
        <v>1437109</v>
      </c>
      <c r="AP101" s="451">
        <v>239.59891999999999</v>
      </c>
      <c r="AQ101" s="451">
        <v>52445.807598799998</v>
      </c>
      <c r="AR101" s="451">
        <v>0.59989999999999999</v>
      </c>
    </row>
    <row r="102" spans="2:44">
      <c r="B102" s="452">
        <v>45259</v>
      </c>
      <c r="C102" s="448">
        <v>10.075699999999999</v>
      </c>
      <c r="D102" s="448">
        <v>10.5045</v>
      </c>
      <c r="E102" s="448">
        <v>6.5149999999999997</v>
      </c>
      <c r="F102" s="448">
        <v>21.288799999999998</v>
      </c>
      <c r="G102" s="448">
        <v>17.237100000000002</v>
      </c>
      <c r="H102" s="448">
        <v>11.274699999999999</v>
      </c>
      <c r="I102" s="452">
        <v>45259</v>
      </c>
      <c r="J102" s="448">
        <v>15.6616</v>
      </c>
      <c r="K102" s="448">
        <v>15.343500000000001</v>
      </c>
      <c r="L102" s="448">
        <v>12.737</v>
      </c>
      <c r="M102" s="448">
        <v>34.318300000000001</v>
      </c>
      <c r="N102" s="448">
        <v>36.750900000000001</v>
      </c>
      <c r="O102" s="448">
        <v>24.2193</v>
      </c>
      <c r="P102" s="448"/>
      <c r="Q102" s="452">
        <v>45259</v>
      </c>
      <c r="R102" s="4">
        <v>240.1</v>
      </c>
      <c r="S102" s="4">
        <v>14409.78</v>
      </c>
      <c r="T102" s="4">
        <v>840.75</v>
      </c>
      <c r="U102" s="4">
        <v>1.656433252845809</v>
      </c>
      <c r="V102" s="4">
        <v>1.2783977643223103</v>
      </c>
      <c r="W102" s="4">
        <v>1.0359422361319894</v>
      </c>
      <c r="Y102" s="448">
        <v>240.1</v>
      </c>
      <c r="Z102" s="4">
        <v>152.29</v>
      </c>
      <c r="AA102" s="4">
        <v>42.88</v>
      </c>
      <c r="AB102" s="4">
        <v>191.95500000000001</v>
      </c>
      <c r="AC102" s="4">
        <v>85.98</v>
      </c>
      <c r="AD102" s="4">
        <v>182.05</v>
      </c>
      <c r="AF102" s="4">
        <v>1.656433252845809</v>
      </c>
      <c r="AG102" s="4">
        <v>0.90117758447245389</v>
      </c>
      <c r="AH102" s="4">
        <v>1.1906150215188116</v>
      </c>
      <c r="AI102" s="4">
        <v>1.3985792349726778</v>
      </c>
      <c r="AJ102" s="4">
        <v>2.8742202699721204</v>
      </c>
      <c r="AK102" s="4">
        <v>1.0735346149310061</v>
      </c>
      <c r="AM102" s="450">
        <v>45840</v>
      </c>
      <c r="AN102" s="451">
        <v>219.78</v>
      </c>
      <c r="AO102" s="451">
        <v>2352291</v>
      </c>
      <c r="AP102" s="451">
        <v>239.59891999999999</v>
      </c>
      <c r="AQ102" s="451">
        <v>52659.050637599998</v>
      </c>
      <c r="AR102" s="451">
        <v>0.60229999999999995</v>
      </c>
    </row>
    <row r="103" spans="2:44">
      <c r="B103" s="452">
        <v>45252</v>
      </c>
      <c r="C103" s="448">
        <v>10.1432</v>
      </c>
      <c r="D103" s="448">
        <v>10.411300000000001</v>
      </c>
      <c r="E103" s="448">
        <v>6.2976000000000001</v>
      </c>
      <c r="F103" s="448">
        <v>22.392299999999999</v>
      </c>
      <c r="G103" s="448">
        <v>17.6907</v>
      </c>
      <c r="H103" s="448">
        <v>11.222200000000001</v>
      </c>
      <c r="I103" s="452">
        <v>45252</v>
      </c>
      <c r="J103" s="448">
        <v>15.8177</v>
      </c>
      <c r="K103" s="448">
        <v>15.1883</v>
      </c>
      <c r="L103" s="448">
        <v>12.1652</v>
      </c>
      <c r="M103" s="448">
        <v>36.091900000000003</v>
      </c>
      <c r="N103" s="448">
        <v>37.994799999999998</v>
      </c>
      <c r="O103" s="448">
        <v>24.098299999999998</v>
      </c>
      <c r="P103" s="448"/>
      <c r="Q103" s="452">
        <v>45252</v>
      </c>
      <c r="R103" s="4">
        <v>241.68</v>
      </c>
      <c r="S103" s="4">
        <v>14745.85</v>
      </c>
      <c r="T103" s="4">
        <v>872.2</v>
      </c>
      <c r="U103" s="4">
        <v>1.6673335632976891</v>
      </c>
      <c r="V103" s="4">
        <v>1.3082130104021115</v>
      </c>
      <c r="W103" s="4">
        <v>1.074693807141625</v>
      </c>
      <c r="Y103" s="448">
        <v>241.68</v>
      </c>
      <c r="Z103" s="4">
        <v>150.75</v>
      </c>
      <c r="AA103" s="4">
        <v>40.954999999999998</v>
      </c>
      <c r="AB103" s="4">
        <v>201.875</v>
      </c>
      <c r="AC103" s="4">
        <v>88.89</v>
      </c>
      <c r="AD103" s="4">
        <v>181.14</v>
      </c>
      <c r="AF103" s="4">
        <v>1.6673335632976891</v>
      </c>
      <c r="AG103" s="4">
        <v>0.8920646192082371</v>
      </c>
      <c r="AH103" s="4">
        <v>1.1371650701096765</v>
      </c>
      <c r="AI103" s="4">
        <v>1.470856102003643</v>
      </c>
      <c r="AJ103" s="4">
        <v>2.9714984856690134</v>
      </c>
      <c r="AK103" s="4">
        <v>1.0681684160868026</v>
      </c>
      <c r="AM103" s="450">
        <v>45839</v>
      </c>
      <c r="AN103" s="451">
        <v>217.89</v>
      </c>
      <c r="AO103" s="451">
        <v>1374354</v>
      </c>
      <c r="AP103" s="451">
        <v>239.59891999999999</v>
      </c>
      <c r="AQ103" s="451">
        <v>52206.208678799994</v>
      </c>
      <c r="AR103" s="451">
        <v>0.59709999999999996</v>
      </c>
    </row>
    <row r="104" spans="2:44">
      <c r="B104" s="452">
        <v>45245</v>
      </c>
      <c r="C104" s="448">
        <v>10.168799999999999</v>
      </c>
      <c r="D104" s="448">
        <v>10.194699999999999</v>
      </c>
      <c r="E104" s="448">
        <v>6.2111999999999998</v>
      </c>
      <c r="F104" s="448">
        <v>22.336099999999998</v>
      </c>
      <c r="G104" s="448">
        <v>17.190300000000001</v>
      </c>
      <c r="H104" s="448">
        <v>11.2684</v>
      </c>
      <c r="I104" s="452">
        <v>45245</v>
      </c>
      <c r="J104" s="448">
        <v>15.876899999999999</v>
      </c>
      <c r="K104" s="448">
        <v>14.8276</v>
      </c>
      <c r="L104" s="448">
        <v>11.938000000000001</v>
      </c>
      <c r="M104" s="448">
        <v>36.001600000000003</v>
      </c>
      <c r="N104" s="448">
        <v>36.622700000000002</v>
      </c>
      <c r="O104" s="448">
        <v>24.204699999999999</v>
      </c>
      <c r="P104" s="448"/>
      <c r="Q104" s="452">
        <v>45245</v>
      </c>
      <c r="R104" s="4">
        <v>248.03</v>
      </c>
      <c r="S104" s="4">
        <v>15122.01</v>
      </c>
      <c r="T104" s="4">
        <v>911.89</v>
      </c>
      <c r="U104" s="4">
        <v>1.7111417730251812</v>
      </c>
      <c r="V104" s="4">
        <v>1.3415849357908045</v>
      </c>
      <c r="W104" s="4">
        <v>1.123598412972227</v>
      </c>
      <c r="Y104" s="448">
        <v>248.03</v>
      </c>
      <c r="Z104" s="4">
        <v>147.16999999999999</v>
      </c>
      <c r="AA104" s="4">
        <v>40.19</v>
      </c>
      <c r="AB104" s="4">
        <v>201.37</v>
      </c>
      <c r="AC104" s="4">
        <v>85.68</v>
      </c>
      <c r="AD104" s="4">
        <v>181.94</v>
      </c>
      <c r="AF104" s="4">
        <v>1.7111417730251812</v>
      </c>
      <c r="AG104" s="4">
        <v>0.87087993372388883</v>
      </c>
      <c r="AH104" s="4">
        <v>1.1159239205886435</v>
      </c>
      <c r="AI104" s="4">
        <v>1.467176684881603</v>
      </c>
      <c r="AJ104" s="4">
        <v>2.8641915879415127</v>
      </c>
      <c r="AK104" s="4">
        <v>1.0728859535322561</v>
      </c>
      <c r="AM104" s="450">
        <v>45838</v>
      </c>
      <c r="AN104" s="451">
        <v>218.1</v>
      </c>
      <c r="AO104" s="451">
        <v>2339144</v>
      </c>
      <c r="AP104" s="451">
        <v>239.59891999999999</v>
      </c>
      <c r="AQ104" s="451">
        <v>52256.524451999998</v>
      </c>
      <c r="AR104" s="451">
        <v>0.60470000000000002</v>
      </c>
    </row>
    <row r="105" spans="2:44">
      <c r="B105" s="452">
        <v>45238</v>
      </c>
      <c r="C105" s="448">
        <v>9.8475000000000001</v>
      </c>
      <c r="D105" s="448">
        <v>9.8788999999999998</v>
      </c>
      <c r="E105" s="448">
        <v>5.9751000000000003</v>
      </c>
      <c r="F105" s="448">
        <v>21.635899999999999</v>
      </c>
      <c r="G105" s="448">
        <v>16.5839</v>
      </c>
      <c r="H105" s="448">
        <v>10.867800000000001</v>
      </c>
      <c r="I105" s="452">
        <v>45238</v>
      </c>
      <c r="J105" s="448">
        <v>15.133699999999999</v>
      </c>
      <c r="K105" s="448">
        <v>14.3017</v>
      </c>
      <c r="L105" s="448">
        <v>11.3171</v>
      </c>
      <c r="M105" s="448">
        <v>34.876100000000001</v>
      </c>
      <c r="N105" s="448">
        <v>34.96</v>
      </c>
      <c r="O105" s="448">
        <v>23.281400000000001</v>
      </c>
      <c r="P105" s="448"/>
      <c r="Q105" s="452">
        <v>45238</v>
      </c>
      <c r="R105" s="4">
        <v>256.79000000000002</v>
      </c>
      <c r="S105" s="4">
        <v>15131.52</v>
      </c>
      <c r="T105" s="4">
        <v>914.1</v>
      </c>
      <c r="U105" s="4">
        <v>1.7715764056571235</v>
      </c>
      <c r="V105" s="4">
        <v>1.3424286379665979</v>
      </c>
      <c r="W105" s="4">
        <v>1.1263214963404717</v>
      </c>
      <c r="Y105" s="448">
        <v>256.79000000000002</v>
      </c>
      <c r="Z105" s="4">
        <v>141.94999999999999</v>
      </c>
      <c r="AA105" s="4">
        <v>38.1</v>
      </c>
      <c r="AB105" s="4">
        <v>195.07499999999999</v>
      </c>
      <c r="AC105" s="4">
        <v>81.790000000000006</v>
      </c>
      <c r="AD105" s="4">
        <v>175</v>
      </c>
      <c r="AF105" s="4">
        <v>1.7715764056571235</v>
      </c>
      <c r="AG105" s="4">
        <v>0.83999053198414098</v>
      </c>
      <c r="AH105" s="4">
        <v>1.0578925447730112</v>
      </c>
      <c r="AI105" s="4">
        <v>1.4213114754098359</v>
      </c>
      <c r="AJ105" s="4">
        <v>2.734153010944635</v>
      </c>
      <c r="AK105" s="4">
        <v>1.0319613161929473</v>
      </c>
      <c r="AM105" s="450">
        <v>45837</v>
      </c>
      <c r="AN105" s="451">
        <v>218.1</v>
      </c>
      <c r="AO105" s="451">
        <v>2339144</v>
      </c>
      <c r="AP105" s="451">
        <v>239.59891999999999</v>
      </c>
      <c r="AQ105" s="451">
        <v>52256.524451999998</v>
      </c>
      <c r="AR105" s="451">
        <v>0.60470000000000002</v>
      </c>
    </row>
    <row r="106" spans="2:44">
      <c r="B106" s="452">
        <v>45231</v>
      </c>
      <c r="C106" s="448">
        <v>9.7904</v>
      </c>
      <c r="D106" s="448">
        <v>9.7736999999999998</v>
      </c>
      <c r="E106" s="448">
        <v>5.8334000000000001</v>
      </c>
      <c r="F106" s="448">
        <v>21.694400000000002</v>
      </c>
      <c r="G106" s="448">
        <v>15.9885</v>
      </c>
      <c r="H106" s="448">
        <v>10.749499999999999</v>
      </c>
      <c r="I106" s="452">
        <v>45231</v>
      </c>
      <c r="J106" s="448">
        <v>15.0017</v>
      </c>
      <c r="K106" s="448">
        <v>14.085100000000001</v>
      </c>
      <c r="L106" s="448">
        <v>10.9444</v>
      </c>
      <c r="M106" s="448">
        <v>34.9208</v>
      </c>
      <c r="N106" s="448">
        <v>33.327199999999998</v>
      </c>
      <c r="O106" s="448">
        <v>23.008700000000001</v>
      </c>
      <c r="P106" s="448"/>
      <c r="Q106" s="452">
        <v>45231</v>
      </c>
      <c r="R106" s="4">
        <v>260.19</v>
      </c>
      <c r="S106" s="4">
        <v>14565.62</v>
      </c>
      <c r="T106" s="4">
        <v>908.74</v>
      </c>
      <c r="U106" s="4">
        <v>1.7950327699206625</v>
      </c>
      <c r="V106" s="4">
        <v>1.2922234790516114</v>
      </c>
      <c r="W106" s="4">
        <v>1.1197170950491633</v>
      </c>
      <c r="Y106" s="448">
        <v>260.19</v>
      </c>
      <c r="Z106" s="4">
        <v>139.80000000000001</v>
      </c>
      <c r="AA106" s="4">
        <v>36.844999999999999</v>
      </c>
      <c r="AB106" s="4">
        <v>195.32499999999999</v>
      </c>
      <c r="AC106" s="4">
        <v>77.97</v>
      </c>
      <c r="AD106" s="4">
        <v>172.95</v>
      </c>
      <c r="AF106" s="4">
        <v>1.7950327699206625</v>
      </c>
      <c r="AG106" s="4">
        <v>0.82726788567370857</v>
      </c>
      <c r="AH106" s="4">
        <v>1.0230459530751075</v>
      </c>
      <c r="AI106" s="4">
        <v>1.4231329690346084</v>
      </c>
      <c r="AJ106" s="4">
        <v>2.6064544597548989</v>
      </c>
      <c r="AK106" s="4">
        <v>1.0198726264889726</v>
      </c>
      <c r="AM106" s="450">
        <v>45836</v>
      </c>
      <c r="AN106" s="451">
        <v>218.1</v>
      </c>
      <c r="AO106" s="451">
        <v>2339144</v>
      </c>
      <c r="AP106" s="451">
        <v>239.59891999999999</v>
      </c>
      <c r="AQ106" s="451">
        <v>52256.524451999998</v>
      </c>
      <c r="AR106" s="451">
        <v>0.60470000000000002</v>
      </c>
    </row>
    <row r="107" spans="2:44">
      <c r="B107" s="452">
        <v>45224</v>
      </c>
      <c r="C107" s="448">
        <v>9.5765999999999991</v>
      </c>
      <c r="D107" s="448">
        <v>10.2065</v>
      </c>
      <c r="E107" s="448">
        <v>5.8029000000000002</v>
      </c>
      <c r="F107" s="448">
        <v>20.6005</v>
      </c>
      <c r="G107" s="448">
        <v>14.638</v>
      </c>
      <c r="H107" s="448">
        <v>10.6007</v>
      </c>
      <c r="I107" s="452">
        <v>45224</v>
      </c>
      <c r="J107" s="448">
        <v>14.507</v>
      </c>
      <c r="K107" s="448">
        <v>14.8035</v>
      </c>
      <c r="L107" s="448">
        <v>10.8642</v>
      </c>
      <c r="M107" s="448">
        <v>33.165199999999999</v>
      </c>
      <c r="N107" s="448">
        <v>29.625599999999999</v>
      </c>
      <c r="O107" s="448">
        <v>22.621600000000001</v>
      </c>
      <c r="P107" s="448"/>
      <c r="Q107" s="452">
        <v>45224</v>
      </c>
      <c r="R107" s="4">
        <v>261.39</v>
      </c>
      <c r="S107" s="4">
        <v>14545.83</v>
      </c>
      <c r="T107" s="4">
        <v>903.53</v>
      </c>
      <c r="U107" s="4">
        <v>1.8033114867195585</v>
      </c>
      <c r="V107" s="4">
        <v>1.2904677623261693</v>
      </c>
      <c r="W107" s="4">
        <v>1.113297518420858</v>
      </c>
      <c r="Y107" s="448">
        <v>261.39</v>
      </c>
      <c r="Z107" s="4">
        <v>146.93</v>
      </c>
      <c r="AA107" s="4">
        <v>36.575000000000003</v>
      </c>
      <c r="AB107" s="4">
        <v>185.505</v>
      </c>
      <c r="AC107" s="4">
        <v>69.31</v>
      </c>
      <c r="AD107" s="4">
        <v>170.04</v>
      </c>
      <c r="AF107" s="4">
        <v>1.8033114867195585</v>
      </c>
      <c r="AG107" s="4">
        <v>0.86945973134504995</v>
      </c>
      <c r="AH107" s="4">
        <v>1.0155490767735667</v>
      </c>
      <c r="AI107" s="4">
        <v>1.3515846994535519</v>
      </c>
      <c r="AJ107" s="4">
        <v>2.3169598384713614</v>
      </c>
      <c r="AK107" s="4">
        <v>1.0027125840311357</v>
      </c>
      <c r="AM107" s="450">
        <v>45835</v>
      </c>
      <c r="AN107" s="451">
        <v>220.26</v>
      </c>
      <c r="AO107" s="451">
        <v>1461856</v>
      </c>
      <c r="AP107" s="451">
        <v>239.59891999999999</v>
      </c>
      <c r="AQ107" s="451">
        <v>52774.058119199995</v>
      </c>
      <c r="AR107" s="451">
        <v>0.61070000000000002</v>
      </c>
    </row>
    <row r="108" spans="2:44">
      <c r="B108" s="452">
        <v>45217</v>
      </c>
      <c r="C108" s="448">
        <v>9.8005999999999993</v>
      </c>
      <c r="D108" s="448">
        <v>10.624599999999999</v>
      </c>
      <c r="E108" s="448">
        <v>5.9908999999999999</v>
      </c>
      <c r="F108" s="448">
        <v>22.3188</v>
      </c>
      <c r="G108" s="448">
        <v>15.3597</v>
      </c>
      <c r="H108" s="448">
        <v>11.0998</v>
      </c>
      <c r="I108" s="452">
        <v>45217</v>
      </c>
      <c r="J108" s="448">
        <v>15.0251</v>
      </c>
      <c r="K108" s="448">
        <v>15.4976</v>
      </c>
      <c r="L108" s="448">
        <v>11.358700000000001</v>
      </c>
      <c r="M108" s="448">
        <v>35.922899999999998</v>
      </c>
      <c r="N108" s="448">
        <v>31.604600000000001</v>
      </c>
      <c r="O108" s="448">
        <v>23.7697</v>
      </c>
      <c r="P108" s="448"/>
      <c r="Q108" s="452">
        <v>45217</v>
      </c>
      <c r="R108" s="4">
        <v>249.99</v>
      </c>
      <c r="S108" s="4">
        <v>15191.23</v>
      </c>
      <c r="T108" s="4">
        <v>915.88</v>
      </c>
      <c r="U108" s="4">
        <v>1.724663677130045</v>
      </c>
      <c r="V108" s="4">
        <v>1.3477259520482623</v>
      </c>
      <c r="W108" s="4">
        <v>1.1285147490081076</v>
      </c>
      <c r="Y108" s="448">
        <v>249.99</v>
      </c>
      <c r="Z108" s="4">
        <v>153.82</v>
      </c>
      <c r="AA108" s="4">
        <v>38.24</v>
      </c>
      <c r="AB108" s="4">
        <v>200.93</v>
      </c>
      <c r="AC108" s="4">
        <v>73.94</v>
      </c>
      <c r="AD108" s="4">
        <v>178.67</v>
      </c>
      <c r="AF108" s="4">
        <v>1.724663677130045</v>
      </c>
      <c r="AG108" s="4">
        <v>0.91023137463755244</v>
      </c>
      <c r="AH108" s="4">
        <v>1.061779813966403</v>
      </c>
      <c r="AI108" s="4">
        <v>1.4639708561020037</v>
      </c>
      <c r="AJ108" s="4">
        <v>2.4717358311437376</v>
      </c>
      <c r="AK108" s="4">
        <v>1.0536030192239649</v>
      </c>
      <c r="AM108" s="450">
        <v>45834</v>
      </c>
      <c r="AN108" s="451">
        <v>217.15</v>
      </c>
      <c r="AO108" s="451">
        <v>1247351</v>
      </c>
      <c r="AP108" s="451">
        <v>239.59891999999999</v>
      </c>
      <c r="AQ108" s="451">
        <v>52028.905478000001</v>
      </c>
      <c r="AR108" s="451">
        <v>0.60199999999999998</v>
      </c>
    </row>
    <row r="109" spans="2:44">
      <c r="B109" s="452">
        <v>45210</v>
      </c>
      <c r="C109" s="448">
        <v>10.1165</v>
      </c>
      <c r="D109" s="448">
        <v>10.714399999999999</v>
      </c>
      <c r="E109" s="448">
        <v>6.0807000000000002</v>
      </c>
      <c r="F109" s="448">
        <v>23.65</v>
      </c>
      <c r="G109" s="448">
        <v>16.182700000000001</v>
      </c>
      <c r="H109" s="448">
        <v>11.9725</v>
      </c>
      <c r="I109" s="452">
        <v>45210</v>
      </c>
      <c r="J109" s="448">
        <v>15.756</v>
      </c>
      <c r="K109" s="448">
        <v>15.646699999999999</v>
      </c>
      <c r="L109" s="448">
        <v>11.594900000000001</v>
      </c>
      <c r="M109" s="448">
        <v>38.059399999999997</v>
      </c>
      <c r="N109" s="448">
        <v>33.861499999999999</v>
      </c>
      <c r="O109" s="448">
        <v>25.777200000000001</v>
      </c>
      <c r="P109" s="448"/>
      <c r="Q109" s="452">
        <v>45210</v>
      </c>
      <c r="R109" s="4">
        <v>251.47</v>
      </c>
      <c r="S109" s="4">
        <v>15289.74</v>
      </c>
      <c r="T109" s="4">
        <v>911.23</v>
      </c>
      <c r="U109" s="4">
        <v>1.7348740945153502</v>
      </c>
      <c r="V109" s="4">
        <v>1.356465500033269</v>
      </c>
      <c r="W109" s="4">
        <v>1.1227851844550136</v>
      </c>
      <c r="Y109" s="448">
        <v>251.47</v>
      </c>
      <c r="Z109" s="4">
        <v>155.30000000000001</v>
      </c>
      <c r="AA109" s="4">
        <v>39.034999999999997</v>
      </c>
      <c r="AB109" s="4">
        <v>212.88</v>
      </c>
      <c r="AC109" s="4">
        <v>79.22</v>
      </c>
      <c r="AD109" s="4">
        <v>193.76</v>
      </c>
      <c r="AF109" s="4">
        <v>1.7348740945153502</v>
      </c>
      <c r="AG109" s="4">
        <v>0.91898928930705959</v>
      </c>
      <c r="AH109" s="4">
        <v>1.0838539497431625</v>
      </c>
      <c r="AI109" s="4">
        <v>1.5510382513661203</v>
      </c>
      <c r="AJ109" s="4">
        <v>2.6482406348824301</v>
      </c>
      <c r="AK109" s="4">
        <v>1.142587569288831</v>
      </c>
      <c r="AM109" s="450">
        <v>45833</v>
      </c>
      <c r="AN109" s="451">
        <v>219.76</v>
      </c>
      <c r="AO109" s="451">
        <v>1917196</v>
      </c>
      <c r="AP109" s="451">
        <v>239.59891999999999</v>
      </c>
      <c r="AQ109" s="451">
        <v>52654.258659199993</v>
      </c>
      <c r="AR109" s="451">
        <v>0.60929999999999995</v>
      </c>
    </row>
    <row r="110" spans="2:44">
      <c r="B110" s="452">
        <v>45203</v>
      </c>
      <c r="C110" s="448">
        <v>10.238899999999999</v>
      </c>
      <c r="D110" s="448">
        <v>10.618600000000001</v>
      </c>
      <c r="E110" s="448">
        <v>5.9678000000000004</v>
      </c>
      <c r="F110" s="448">
        <v>22.391200000000001</v>
      </c>
      <c r="G110" s="448">
        <v>15.415800000000001</v>
      </c>
      <c r="H110" s="448">
        <v>11.6</v>
      </c>
      <c r="I110" s="452">
        <v>45203</v>
      </c>
      <c r="J110" s="448">
        <v>16.039100000000001</v>
      </c>
      <c r="K110" s="448">
        <v>15.4876</v>
      </c>
      <c r="L110" s="448">
        <v>11.297800000000001</v>
      </c>
      <c r="M110" s="448">
        <v>36.039099999999998</v>
      </c>
      <c r="N110" s="448">
        <v>31.758500000000002</v>
      </c>
      <c r="O110" s="448">
        <v>24.920400000000001</v>
      </c>
      <c r="P110" s="448"/>
      <c r="Q110" s="452">
        <v>45203</v>
      </c>
      <c r="R110" s="4">
        <v>256.62</v>
      </c>
      <c r="S110" s="4">
        <v>15508.24</v>
      </c>
      <c r="T110" s="4">
        <v>941.44</v>
      </c>
      <c r="U110" s="4">
        <v>1.7704035874439463</v>
      </c>
      <c r="V110" s="4">
        <v>1.3758502450817309</v>
      </c>
      <c r="W110" s="4">
        <v>1.1600088715838242</v>
      </c>
      <c r="Y110" s="448">
        <v>256.62</v>
      </c>
      <c r="Z110" s="4">
        <v>153.72</v>
      </c>
      <c r="AA110" s="4">
        <v>38.034999999999997</v>
      </c>
      <c r="AB110" s="4">
        <v>201.58</v>
      </c>
      <c r="AC110" s="4">
        <v>74.3</v>
      </c>
      <c r="AD110" s="4">
        <v>187.32</v>
      </c>
      <c r="AF110" s="4">
        <v>1.7704035874439463</v>
      </c>
      <c r="AG110" s="4">
        <v>0.90963962364636952</v>
      </c>
      <c r="AH110" s="4">
        <v>1.0560877412189364</v>
      </c>
      <c r="AI110" s="4">
        <v>1.4687067395264117</v>
      </c>
      <c r="AJ110" s="4">
        <v>2.4837702495804668</v>
      </c>
      <c r="AK110" s="4">
        <v>1.1046113928529306</v>
      </c>
      <c r="AM110" s="450">
        <v>45832</v>
      </c>
      <c r="AN110" s="451">
        <v>216.61</v>
      </c>
      <c r="AO110" s="451">
        <v>1496306</v>
      </c>
      <c r="AP110" s="451">
        <v>239.59891999999999</v>
      </c>
      <c r="AQ110" s="451">
        <v>51899.522061200005</v>
      </c>
      <c r="AR110" s="451">
        <v>0.60050000000000003</v>
      </c>
    </row>
    <row r="111" spans="2:44">
      <c r="B111" s="452">
        <v>45196</v>
      </c>
      <c r="C111" s="448">
        <v>10.309900000000001</v>
      </c>
      <c r="D111" s="448">
        <v>9.3649000000000004</v>
      </c>
      <c r="E111" s="448">
        <v>5.7146999999999997</v>
      </c>
      <c r="F111" s="448">
        <v>21.8918</v>
      </c>
      <c r="G111" s="448">
        <v>15.398099999999999</v>
      </c>
      <c r="H111" s="448">
        <v>10.776899999999999</v>
      </c>
      <c r="I111" s="452">
        <v>45196</v>
      </c>
      <c r="J111" s="448">
        <v>16.203099999999999</v>
      </c>
      <c r="K111" s="448">
        <v>13.4269</v>
      </c>
      <c r="L111" s="448">
        <v>10.2906</v>
      </c>
      <c r="M111" s="448">
        <v>34.893300000000004</v>
      </c>
      <c r="N111" s="448">
        <v>29.224499999999999</v>
      </c>
      <c r="O111" s="448">
        <v>22.554400000000001</v>
      </c>
      <c r="P111" s="448"/>
      <c r="Q111" s="452">
        <v>45196</v>
      </c>
      <c r="R111" s="4">
        <v>260.58</v>
      </c>
      <c r="S111" s="4">
        <v>15376.55</v>
      </c>
      <c r="T111" s="4">
        <v>975.46</v>
      </c>
      <c r="U111" s="4">
        <v>1.7977233528803036</v>
      </c>
      <c r="V111" s="4">
        <v>1.3641670548051543</v>
      </c>
      <c r="W111" s="4">
        <v>1.2019271051529117</v>
      </c>
      <c r="Y111" s="448">
        <v>260.58</v>
      </c>
      <c r="Z111" s="4">
        <v>152.41</v>
      </c>
      <c r="AA111" s="4">
        <v>38.04</v>
      </c>
      <c r="AB111" s="4">
        <v>199.94499999999999</v>
      </c>
      <c r="AC111" s="4">
        <v>70.069999999999993</v>
      </c>
      <c r="AD111" s="4">
        <v>185.59</v>
      </c>
      <c r="AF111" s="4">
        <v>1.7977233528803036</v>
      </c>
      <c r="AG111" s="4">
        <v>0.90188768566187338</v>
      </c>
      <c r="AH111" s="4">
        <v>1.0562265722615576</v>
      </c>
      <c r="AI111" s="4">
        <v>1.4567941712204007</v>
      </c>
      <c r="AJ111" s="4">
        <v>2.3423658329489001</v>
      </c>
      <c r="AK111" s="4">
        <v>1.0944097181271375</v>
      </c>
      <c r="AM111" s="450">
        <v>45831</v>
      </c>
      <c r="AN111" s="451">
        <v>216.61</v>
      </c>
      <c r="AO111" s="451">
        <v>1496306</v>
      </c>
      <c r="AP111" s="451">
        <v>239.59891999999999</v>
      </c>
      <c r="AQ111" s="451">
        <v>51899.522061200005</v>
      </c>
      <c r="AR111" s="451">
        <v>0.60050000000000003</v>
      </c>
    </row>
    <row r="112" spans="2:44">
      <c r="B112" s="452">
        <v>45189</v>
      </c>
      <c r="C112" s="448">
        <v>9.9847999999999999</v>
      </c>
      <c r="D112" s="448">
        <v>9.6486000000000001</v>
      </c>
      <c r="E112" s="448">
        <v>5.8577000000000004</v>
      </c>
      <c r="F112" s="448">
        <v>22.328900000000001</v>
      </c>
      <c r="G112" s="448">
        <v>15.225300000000001</v>
      </c>
      <c r="H112" s="448">
        <v>11.2201</v>
      </c>
      <c r="I112" s="452">
        <v>45189</v>
      </c>
      <c r="J112" s="448">
        <v>15.4513</v>
      </c>
      <c r="K112" s="448">
        <v>13.887600000000001</v>
      </c>
      <c r="L112" s="448">
        <v>10.6518</v>
      </c>
      <c r="M112" s="448">
        <v>35.590499999999999</v>
      </c>
      <c r="N112" s="448">
        <v>28.778199999999998</v>
      </c>
      <c r="O112" s="448">
        <v>23.537500000000001</v>
      </c>
      <c r="P112" s="448"/>
      <c r="Q112" s="452">
        <v>45189</v>
      </c>
      <c r="R112" s="4">
        <v>258.98</v>
      </c>
      <c r="S112" s="4">
        <v>14908.96</v>
      </c>
      <c r="T112" s="4">
        <v>955.01</v>
      </c>
      <c r="U112" s="4">
        <v>1.7866850638151088</v>
      </c>
      <c r="V112" s="4">
        <v>1.322683700401446</v>
      </c>
      <c r="W112" s="4">
        <v>1.1767293427634984</v>
      </c>
      <c r="Y112" s="448">
        <v>258.98</v>
      </c>
      <c r="Z112" s="4">
        <v>157.63999999999999</v>
      </c>
      <c r="AA112" s="4">
        <v>39.375</v>
      </c>
      <c r="AB112" s="4">
        <v>203.94</v>
      </c>
      <c r="AC112" s="4">
        <v>69</v>
      </c>
      <c r="AD112" s="4">
        <v>193.68</v>
      </c>
      <c r="AF112" s="4">
        <v>1.7866850638151088</v>
      </c>
      <c r="AG112" s="4">
        <v>0.93283626250073959</v>
      </c>
      <c r="AH112" s="4">
        <v>1.0932944606413995</v>
      </c>
      <c r="AI112" s="4">
        <v>1.4859016393442623</v>
      </c>
      <c r="AJ112" s="4">
        <v>2.3065968670397337</v>
      </c>
      <c r="AK112" s="4">
        <v>1.1421158155442859</v>
      </c>
      <c r="AM112" s="450">
        <v>45830</v>
      </c>
      <c r="AN112" s="451">
        <v>216.61</v>
      </c>
      <c r="AO112" s="451">
        <v>1496306</v>
      </c>
      <c r="AP112" s="451">
        <v>239.59891999999999</v>
      </c>
      <c r="AQ112" s="451">
        <v>51899.522061200005</v>
      </c>
      <c r="AR112" s="451">
        <v>0.60050000000000003</v>
      </c>
    </row>
    <row r="113" spans="2:44">
      <c r="B113" s="452">
        <v>45182</v>
      </c>
      <c r="C113" s="448">
        <v>10.031000000000001</v>
      </c>
      <c r="D113" s="448">
        <v>9.6594999999999995</v>
      </c>
      <c r="E113" s="448">
        <v>6.0023</v>
      </c>
      <c r="F113" s="448">
        <v>22.759</v>
      </c>
      <c r="G113" s="448">
        <v>15.587</v>
      </c>
      <c r="H113" s="448">
        <v>10.982900000000001</v>
      </c>
      <c r="I113" s="452">
        <v>45182</v>
      </c>
      <c r="J113" s="448">
        <v>15.5524</v>
      </c>
      <c r="K113" s="448">
        <v>13.9053</v>
      </c>
      <c r="L113" s="448">
        <v>11.016999999999999</v>
      </c>
      <c r="M113" s="448">
        <v>36.276400000000002</v>
      </c>
      <c r="N113" s="448">
        <v>29.712399999999999</v>
      </c>
      <c r="O113" s="448">
        <v>23.011299999999999</v>
      </c>
      <c r="P113" s="448"/>
      <c r="Q113" s="452">
        <v>45182</v>
      </c>
      <c r="R113" s="4">
        <v>265.55</v>
      </c>
      <c r="S113" s="4">
        <v>15037.65</v>
      </c>
      <c r="T113" s="4">
        <v>984.49</v>
      </c>
      <c r="U113" s="4">
        <v>1.8320110382890653</v>
      </c>
      <c r="V113" s="4">
        <v>1.334100738572094</v>
      </c>
      <c r="W113" s="4">
        <v>1.213053549865694</v>
      </c>
      <c r="Y113" s="448">
        <v>265.55</v>
      </c>
      <c r="Z113" s="4">
        <v>157.84</v>
      </c>
      <c r="AA113" s="4">
        <v>40.725000000000001</v>
      </c>
      <c r="AB113" s="4">
        <v>207.87</v>
      </c>
      <c r="AC113" s="4">
        <v>71.239999999999995</v>
      </c>
      <c r="AD113" s="4">
        <v>189.35</v>
      </c>
      <c r="AF113" s="4">
        <v>1.8320110382890653</v>
      </c>
      <c r="AG113" s="4">
        <v>0.93401976448310553</v>
      </c>
      <c r="AH113" s="4">
        <v>1.1307788421491045</v>
      </c>
      <c r="AI113" s="4">
        <v>1.5145355191256831</v>
      </c>
      <c r="AJ113" s="4">
        <v>2.3814776928682697</v>
      </c>
      <c r="AK113" s="4">
        <v>1.1165821441207688</v>
      </c>
      <c r="AM113" s="450">
        <v>45829</v>
      </c>
      <c r="AN113" s="451">
        <v>216.61</v>
      </c>
      <c r="AO113" s="451">
        <v>1496306</v>
      </c>
      <c r="AP113" s="451">
        <v>239.59891999999999</v>
      </c>
      <c r="AQ113" s="451">
        <v>51899.522061200005</v>
      </c>
      <c r="AR113" s="451">
        <v>0.60050000000000003</v>
      </c>
    </row>
    <row r="114" spans="2:44">
      <c r="B114" s="452">
        <v>45175</v>
      </c>
      <c r="C114" s="448">
        <v>10.172599999999999</v>
      </c>
      <c r="D114" s="448">
        <v>9.9019999999999992</v>
      </c>
      <c r="E114" s="448">
        <v>6.0419</v>
      </c>
      <c r="F114" s="448">
        <v>23.203299999999999</v>
      </c>
      <c r="G114" s="448">
        <v>15.819599999999999</v>
      </c>
      <c r="H114" s="448">
        <v>10.776300000000001</v>
      </c>
      <c r="I114" s="452">
        <v>45175</v>
      </c>
      <c r="J114" s="448">
        <v>15.88</v>
      </c>
      <c r="K114" s="448">
        <v>14.298999999999999</v>
      </c>
      <c r="L114" s="448">
        <v>11.117100000000001</v>
      </c>
      <c r="M114" s="448">
        <v>36.984900000000003</v>
      </c>
      <c r="N114" s="448">
        <v>30.312999999999999</v>
      </c>
      <c r="O114" s="448">
        <v>22.5532</v>
      </c>
      <c r="P114" s="448"/>
      <c r="Q114" s="452">
        <v>45175</v>
      </c>
      <c r="R114" s="4">
        <v>268.26</v>
      </c>
      <c r="S114" s="4">
        <v>15273.05</v>
      </c>
      <c r="T114" s="4">
        <v>1016.16</v>
      </c>
      <c r="U114" s="4">
        <v>1.8507071403932391</v>
      </c>
      <c r="V114" s="4">
        <v>1.3549848071506199</v>
      </c>
      <c r="W114" s="4">
        <v>1.2520761970477339</v>
      </c>
      <c r="Y114" s="448">
        <v>268.26</v>
      </c>
      <c r="Z114" s="4">
        <v>162.31</v>
      </c>
      <c r="AA114" s="4">
        <v>41.094999999999999</v>
      </c>
      <c r="AB114" s="4">
        <v>211.93</v>
      </c>
      <c r="AC114" s="4">
        <v>72.680000000000007</v>
      </c>
      <c r="AD114" s="4">
        <v>185.58</v>
      </c>
      <c r="AF114" s="4">
        <v>1.8507071403932391</v>
      </c>
      <c r="AG114" s="4">
        <v>0.96047103378898158</v>
      </c>
      <c r="AH114" s="4">
        <v>1.141052339303068</v>
      </c>
      <c r="AI114" s="4">
        <v>1.5441165755919855</v>
      </c>
      <c r="AJ114" s="4">
        <v>2.4296153666151863</v>
      </c>
      <c r="AK114" s="4">
        <v>1.0943507489090694</v>
      </c>
      <c r="AM114" s="450">
        <v>45828</v>
      </c>
      <c r="AN114" s="451">
        <v>218.81</v>
      </c>
      <c r="AO114" s="451">
        <v>1512854</v>
      </c>
      <c r="AP114" s="451">
        <v>239.59891999999999</v>
      </c>
      <c r="AQ114" s="451">
        <v>52426.639685199996</v>
      </c>
      <c r="AR114" s="451">
        <v>0.60660000000000003</v>
      </c>
    </row>
    <row r="115" spans="2:44">
      <c r="B115" s="452">
        <v>45168</v>
      </c>
      <c r="C115" s="448">
        <v>10.7666</v>
      </c>
      <c r="D115" s="448">
        <v>10.4283</v>
      </c>
      <c r="E115" s="448">
        <v>6.2470999999999997</v>
      </c>
      <c r="F115" s="448">
        <v>23.5562</v>
      </c>
      <c r="G115" s="448">
        <v>15.9521</v>
      </c>
      <c r="H115" s="448">
        <v>11.019</v>
      </c>
      <c r="I115" s="452">
        <v>45168</v>
      </c>
      <c r="J115" s="448">
        <v>17.465599999999998</v>
      </c>
      <c r="K115" s="448">
        <v>15.153600000000001</v>
      </c>
      <c r="L115" s="448">
        <v>11.6351</v>
      </c>
      <c r="M115" s="448">
        <v>37.547699999999999</v>
      </c>
      <c r="N115" s="448">
        <v>30.655000000000001</v>
      </c>
      <c r="O115" s="448">
        <v>23.0915</v>
      </c>
      <c r="P115" s="448"/>
      <c r="Q115" s="452">
        <v>45168</v>
      </c>
      <c r="R115" s="4">
        <v>268.16000000000003</v>
      </c>
      <c r="S115" s="4">
        <v>15718.01</v>
      </c>
      <c r="T115" s="4">
        <v>1037.51</v>
      </c>
      <c r="U115" s="4">
        <v>1.8500172473266647</v>
      </c>
      <c r="V115" s="4">
        <v>1.3944604875019406</v>
      </c>
      <c r="W115" s="4">
        <v>1.2783829074151654</v>
      </c>
      <c r="Y115" s="448">
        <v>268.16000000000003</v>
      </c>
      <c r="Z115" s="4">
        <v>172.01</v>
      </c>
      <c r="AA115" s="4">
        <v>43.01</v>
      </c>
      <c r="AB115" s="4">
        <v>215.155</v>
      </c>
      <c r="AC115" s="4">
        <v>73.5</v>
      </c>
      <c r="AD115" s="4">
        <v>190.01</v>
      </c>
      <c r="AF115" s="4">
        <v>1.8500172473266647</v>
      </c>
      <c r="AG115" s="4">
        <v>1.0178708799337237</v>
      </c>
      <c r="AH115" s="4">
        <v>1.1942246286269609</v>
      </c>
      <c r="AI115" s="4">
        <v>1.5676138433515483</v>
      </c>
      <c r="AJ115" s="4">
        <v>2.4570270974988464</v>
      </c>
      <c r="AK115" s="4">
        <v>1.120474112513268</v>
      </c>
      <c r="AM115" s="450">
        <v>45827</v>
      </c>
      <c r="AN115" s="451">
        <v>216.81</v>
      </c>
      <c r="AO115" s="451">
        <v>1684407</v>
      </c>
      <c r="AP115" s="451">
        <v>239.59891999999999</v>
      </c>
      <c r="AQ115" s="451">
        <v>51947.441845199995</v>
      </c>
      <c r="AR115" s="451">
        <v>0.60109999999999997</v>
      </c>
    </row>
    <row r="116" spans="2:44">
      <c r="B116" s="452">
        <v>45161</v>
      </c>
      <c r="C116" s="448">
        <v>10.6714</v>
      </c>
      <c r="D116" s="448">
        <v>10.2585</v>
      </c>
      <c r="E116" s="448">
        <v>6.2009999999999996</v>
      </c>
      <c r="F116" s="448">
        <v>22.5899</v>
      </c>
      <c r="G116" s="448">
        <v>15.4336</v>
      </c>
      <c r="H116" s="448">
        <v>11.0486</v>
      </c>
      <c r="I116" s="452">
        <v>45161</v>
      </c>
      <c r="J116" s="448">
        <v>17.2379</v>
      </c>
      <c r="K116" s="448">
        <v>14.877800000000001</v>
      </c>
      <c r="L116" s="448">
        <v>11.518800000000001</v>
      </c>
      <c r="M116" s="448">
        <v>36.006700000000002</v>
      </c>
      <c r="N116" s="448">
        <v>29.316199999999998</v>
      </c>
      <c r="O116" s="448">
        <v>23.1572</v>
      </c>
      <c r="P116" s="448"/>
      <c r="Q116" s="452">
        <v>45161</v>
      </c>
      <c r="R116" s="4">
        <v>259.66000000000003</v>
      </c>
      <c r="S116" s="4">
        <v>15561.42</v>
      </c>
      <c r="T116" s="4">
        <v>1025.06</v>
      </c>
      <c r="U116" s="4">
        <v>1.7913763366678168</v>
      </c>
      <c r="V116" s="4">
        <v>1.3805682347461574</v>
      </c>
      <c r="W116" s="4">
        <v>1.2630424603859138</v>
      </c>
      <c r="Y116" s="448">
        <v>259.66000000000003</v>
      </c>
      <c r="Z116" s="4">
        <v>168.88</v>
      </c>
      <c r="AA116" s="4">
        <v>42.58</v>
      </c>
      <c r="AB116" s="4">
        <v>206.32499999999999</v>
      </c>
      <c r="AC116" s="4">
        <v>70.290000000000006</v>
      </c>
      <c r="AD116" s="4">
        <v>190.55</v>
      </c>
      <c r="AF116" s="4">
        <v>1.7913763366678168</v>
      </c>
      <c r="AG116" s="4">
        <v>0.99934907390969874</v>
      </c>
      <c r="AH116" s="4">
        <v>1.1822851589615437</v>
      </c>
      <c r="AI116" s="4">
        <v>1.5032786885245901</v>
      </c>
      <c r="AJ116" s="4">
        <v>2.3497201997713462</v>
      </c>
      <c r="AK116" s="4">
        <v>1.1236584502889491</v>
      </c>
      <c r="AM116" s="450">
        <v>45826</v>
      </c>
      <c r="AN116" s="451">
        <v>221.14</v>
      </c>
      <c r="AO116" s="451">
        <v>2437826</v>
      </c>
      <c r="AP116" s="451">
        <v>239.59891999999999</v>
      </c>
      <c r="AQ116" s="451">
        <v>52984.905168799996</v>
      </c>
      <c r="AR116" s="451">
        <v>0.61309999999999998</v>
      </c>
    </row>
    <row r="117" spans="2:44">
      <c r="B117" s="452">
        <v>45154</v>
      </c>
      <c r="C117" s="448">
        <v>10.799300000000001</v>
      </c>
      <c r="D117" s="448">
        <v>10.359400000000001</v>
      </c>
      <c r="E117" s="448">
        <v>6.2775999999999996</v>
      </c>
      <c r="F117" s="448">
        <v>22.286300000000001</v>
      </c>
      <c r="G117" s="448">
        <v>15.738899999999999</v>
      </c>
      <c r="H117" s="448">
        <v>11.166399999999999</v>
      </c>
      <c r="I117" s="452">
        <v>45154</v>
      </c>
      <c r="J117" s="448">
        <v>17.543700000000001</v>
      </c>
      <c r="K117" s="448">
        <v>15.041700000000001</v>
      </c>
      <c r="L117" s="448">
        <v>11.712199999999999</v>
      </c>
      <c r="M117" s="448">
        <v>35.522500000000001</v>
      </c>
      <c r="N117" s="448">
        <v>30.104500000000002</v>
      </c>
      <c r="O117" s="448">
        <v>23.418399999999998</v>
      </c>
      <c r="P117" s="448"/>
      <c r="Q117" s="452">
        <v>45154</v>
      </c>
      <c r="R117" s="4">
        <v>261.97000000000003</v>
      </c>
      <c r="S117" s="4">
        <v>15841.35</v>
      </c>
      <c r="T117" s="4">
        <v>1024.3599999999999</v>
      </c>
      <c r="U117" s="4">
        <v>1.8073128665056919</v>
      </c>
      <c r="V117" s="4">
        <v>1.4054028877503493</v>
      </c>
      <c r="W117" s="4">
        <v>1.2621799452918996</v>
      </c>
      <c r="Y117" s="448">
        <v>261.97000000000003</v>
      </c>
      <c r="Z117" s="4">
        <v>170.74</v>
      </c>
      <c r="AA117" s="4">
        <v>43.295000000000002</v>
      </c>
      <c r="AB117" s="4">
        <v>203.55</v>
      </c>
      <c r="AC117" s="4">
        <v>72.180000000000007</v>
      </c>
      <c r="AD117" s="4">
        <v>192.7</v>
      </c>
      <c r="AF117" s="4">
        <v>1.8073128665056919</v>
      </c>
      <c r="AG117" s="4">
        <v>1.010355642345701</v>
      </c>
      <c r="AH117" s="4">
        <v>1.2021379980563653</v>
      </c>
      <c r="AI117" s="4">
        <v>1.4830601092896176</v>
      </c>
      <c r="AJ117" s="4">
        <v>2.4129008965641736</v>
      </c>
      <c r="AK117" s="4">
        <v>1.1363368321736051</v>
      </c>
      <c r="AM117" s="450">
        <v>45825</v>
      </c>
      <c r="AN117" s="451">
        <v>226.12</v>
      </c>
      <c r="AO117" s="451">
        <v>1852487</v>
      </c>
      <c r="AP117" s="451">
        <v>239.59891999999999</v>
      </c>
      <c r="AQ117" s="451">
        <v>54178.107790399998</v>
      </c>
      <c r="AR117" s="451">
        <v>0.62690000000000001</v>
      </c>
    </row>
    <row r="118" spans="2:44">
      <c r="B118" s="452">
        <v>45147</v>
      </c>
      <c r="C118" s="448">
        <v>10.8012</v>
      </c>
      <c r="D118" s="448">
        <v>10.8276</v>
      </c>
      <c r="E118" s="448">
        <v>6.3080999999999996</v>
      </c>
      <c r="F118" s="448">
        <v>21.976600000000001</v>
      </c>
      <c r="G118" s="448">
        <v>15.9908</v>
      </c>
      <c r="H118" s="448">
        <v>11.754300000000001</v>
      </c>
      <c r="I118" s="452">
        <v>45147</v>
      </c>
      <c r="J118" s="448">
        <v>17.570799999999998</v>
      </c>
      <c r="K118" s="448">
        <v>15.802</v>
      </c>
      <c r="L118" s="448">
        <v>11.789300000000001</v>
      </c>
      <c r="M118" s="448">
        <v>35.028599999999997</v>
      </c>
      <c r="N118" s="448">
        <v>30.755099999999999</v>
      </c>
      <c r="O118" s="448">
        <v>24.7224</v>
      </c>
      <c r="P118" s="448"/>
      <c r="Q118" s="452">
        <v>45147</v>
      </c>
      <c r="R118" s="4">
        <v>258.39999999999998</v>
      </c>
      <c r="S118" s="4">
        <v>15119.06</v>
      </c>
      <c r="T118" s="4">
        <v>1023.96</v>
      </c>
      <c r="U118" s="4">
        <v>1.7826836840289755</v>
      </c>
      <c r="V118" s="4">
        <v>1.341323219553308</v>
      </c>
      <c r="W118" s="4">
        <v>1.2616870795238917</v>
      </c>
      <c r="Y118" s="448">
        <v>258.39999999999998</v>
      </c>
      <c r="Z118" s="4">
        <v>179.37</v>
      </c>
      <c r="AA118" s="4">
        <v>43.58</v>
      </c>
      <c r="AB118" s="4">
        <v>200.72</v>
      </c>
      <c r="AC118" s="4">
        <v>73.739999999999995</v>
      </c>
      <c r="AD118" s="4">
        <v>203.43</v>
      </c>
      <c r="AF118" s="4">
        <v>1.7826836840289755</v>
      </c>
      <c r="AG118" s="4">
        <v>1.0614237528847861</v>
      </c>
      <c r="AH118" s="4">
        <v>1.2100513674857698</v>
      </c>
      <c r="AI118" s="4">
        <v>1.4624408014571948</v>
      </c>
      <c r="AJ118" s="4">
        <v>2.4650500431233326</v>
      </c>
      <c r="AK118" s="4">
        <v>1.19961080316075</v>
      </c>
      <c r="AM118" s="450">
        <v>45824</v>
      </c>
      <c r="AN118" s="451">
        <v>229.51</v>
      </c>
      <c r="AO118" s="451">
        <v>2271986</v>
      </c>
      <c r="AP118" s="451">
        <v>239.59891999999999</v>
      </c>
      <c r="AQ118" s="451">
        <v>54990.3481292</v>
      </c>
      <c r="AR118" s="451">
        <v>0.63629999999999998</v>
      </c>
    </row>
    <row r="119" spans="2:44">
      <c r="B119" s="452">
        <v>45140</v>
      </c>
      <c r="C119" s="448">
        <v>10.8004</v>
      </c>
      <c r="D119" s="448">
        <v>11.0952</v>
      </c>
      <c r="E119" s="448">
        <v>6.2850999999999999</v>
      </c>
      <c r="F119" s="448">
        <v>22.445699999999999</v>
      </c>
      <c r="G119" s="448">
        <v>15.100099999999999</v>
      </c>
      <c r="H119" s="448">
        <v>11.834199999999999</v>
      </c>
      <c r="I119" s="452">
        <v>45140</v>
      </c>
      <c r="J119" s="448">
        <v>17.5688</v>
      </c>
      <c r="K119" s="448">
        <v>16.1526</v>
      </c>
      <c r="L119" s="448">
        <v>11.7311</v>
      </c>
      <c r="M119" s="448">
        <v>35.651600000000002</v>
      </c>
      <c r="N119" s="448">
        <v>28.482099999999999</v>
      </c>
      <c r="O119" s="448">
        <v>24.899899999999999</v>
      </c>
      <c r="P119" s="448"/>
      <c r="Q119" s="452">
        <v>45140</v>
      </c>
      <c r="R119" s="4">
        <v>246.76</v>
      </c>
      <c r="S119" s="4">
        <v>14945.91</v>
      </c>
      <c r="T119" s="4">
        <v>971.49</v>
      </c>
      <c r="U119" s="4">
        <v>1.7023801310796827</v>
      </c>
      <c r="V119" s="4">
        <v>1.3259618071727992</v>
      </c>
      <c r="W119" s="4">
        <v>1.1970354124054314</v>
      </c>
      <c r="Y119" s="448">
        <v>246.76</v>
      </c>
      <c r="Z119" s="4">
        <v>183.35</v>
      </c>
      <c r="AA119" s="4">
        <v>43.365000000000002</v>
      </c>
      <c r="AB119" s="4">
        <v>204.29</v>
      </c>
      <c r="AC119" s="4">
        <v>68.290000000000006</v>
      </c>
      <c r="AD119" s="4">
        <v>204.89</v>
      </c>
      <c r="AF119" s="4">
        <v>1.7023801310796827</v>
      </c>
      <c r="AG119" s="4">
        <v>1.0849754423338658</v>
      </c>
      <c r="AH119" s="4">
        <v>1.2040816326530612</v>
      </c>
      <c r="AI119" s="4">
        <v>1.4884517304189435</v>
      </c>
      <c r="AJ119" s="4">
        <v>2.2828623195672959</v>
      </c>
      <c r="AK119" s="4">
        <v>1.2082203089987025</v>
      </c>
      <c r="AM119" s="450">
        <v>45823</v>
      </c>
      <c r="AN119" s="451">
        <v>229.51</v>
      </c>
      <c r="AO119" s="451">
        <v>2271986</v>
      </c>
      <c r="AP119" s="451">
        <v>239.59891999999999</v>
      </c>
      <c r="AQ119" s="451">
        <v>54990.3481292</v>
      </c>
      <c r="AR119" s="451">
        <v>0.63629999999999998</v>
      </c>
    </row>
    <row r="120" spans="2:44">
      <c r="B120" s="452">
        <v>45133</v>
      </c>
      <c r="C120" s="448">
        <v>10.8744</v>
      </c>
      <c r="D120" s="448">
        <v>11.151999999999999</v>
      </c>
      <c r="E120" s="448">
        <v>6.5153999999999996</v>
      </c>
      <c r="F120" s="448">
        <v>23.113900000000001</v>
      </c>
      <c r="G120" s="448">
        <v>15.642300000000001</v>
      </c>
      <c r="H120" s="448">
        <v>11.754</v>
      </c>
      <c r="I120" s="452">
        <v>45133</v>
      </c>
      <c r="J120" s="448">
        <v>17.746200000000002</v>
      </c>
      <c r="K120" s="448">
        <v>16.244199999999999</v>
      </c>
      <c r="L120" s="448">
        <v>12.312799999999999</v>
      </c>
      <c r="M120" s="448">
        <v>36.713500000000003</v>
      </c>
      <c r="N120" s="448">
        <v>29.883400000000002</v>
      </c>
      <c r="O120" s="448">
        <v>24.6495</v>
      </c>
      <c r="P120" s="448"/>
      <c r="Q120" s="452">
        <v>45133</v>
      </c>
      <c r="R120" s="4">
        <v>246.76</v>
      </c>
      <c r="S120" s="4">
        <v>14945.91</v>
      </c>
      <c r="T120" s="4">
        <v>971.49</v>
      </c>
      <c r="U120" s="4">
        <v>1.7023801310796827</v>
      </c>
      <c r="V120" s="4">
        <v>1.3259618071727992</v>
      </c>
      <c r="W120" s="4">
        <v>1.1970354124054314</v>
      </c>
      <c r="Y120" s="448">
        <v>246.76</v>
      </c>
      <c r="Z120" s="4">
        <v>184.39</v>
      </c>
      <c r="AA120" s="4">
        <v>45.515000000000001</v>
      </c>
      <c r="AB120" s="4">
        <v>210.375</v>
      </c>
      <c r="AC120" s="4">
        <v>71.650000000000006</v>
      </c>
      <c r="AD120" s="4">
        <v>202.83</v>
      </c>
      <c r="AF120" s="4">
        <v>1.7023801310796827</v>
      </c>
      <c r="AG120" s="4">
        <v>1.0911296526421681</v>
      </c>
      <c r="AH120" s="4">
        <v>1.2637789809801472</v>
      </c>
      <c r="AI120" s="4">
        <v>1.5327868852459017</v>
      </c>
      <c r="AJ120" s="4">
        <v>2.3951835583101002</v>
      </c>
      <c r="AK120" s="4">
        <v>1.1960726500766599</v>
      </c>
      <c r="AM120" s="450">
        <v>45822</v>
      </c>
      <c r="AN120" s="451">
        <v>229.51</v>
      </c>
      <c r="AO120" s="451">
        <v>2271986</v>
      </c>
      <c r="AP120" s="451">
        <v>239.59891999999999</v>
      </c>
      <c r="AQ120" s="451">
        <v>54990.3481292</v>
      </c>
      <c r="AR120" s="451">
        <v>0.63629999999999998</v>
      </c>
    </row>
    <row r="121" spans="2:44">
      <c r="B121" s="452">
        <v>45126</v>
      </c>
      <c r="C121" s="448">
        <v>10.6569</v>
      </c>
      <c r="D121" s="448">
        <v>11.2409</v>
      </c>
      <c r="E121" s="448">
        <v>6.5458999999999996</v>
      </c>
      <c r="F121" s="448">
        <v>21.711099999999998</v>
      </c>
      <c r="G121" s="448">
        <v>15.1243</v>
      </c>
      <c r="H121" s="448">
        <v>11.336399999999999</v>
      </c>
      <c r="I121" s="452">
        <v>45126</v>
      </c>
      <c r="J121" s="448">
        <v>17.225300000000001</v>
      </c>
      <c r="K121" s="448">
        <v>16.387799999999999</v>
      </c>
      <c r="L121" s="448">
        <v>12.389900000000001</v>
      </c>
      <c r="M121" s="448">
        <v>34.484099999999998</v>
      </c>
      <c r="N121" s="448">
        <v>28.544599999999999</v>
      </c>
      <c r="O121" s="448">
        <v>23.725899999999999</v>
      </c>
      <c r="P121" s="448"/>
      <c r="Q121" s="452">
        <v>45126</v>
      </c>
      <c r="R121" s="4">
        <v>231.65</v>
      </c>
      <c r="S121" s="4">
        <v>15070.15</v>
      </c>
      <c r="T121" s="4">
        <v>961.38</v>
      </c>
      <c r="U121" s="4">
        <v>1.5981372887202485</v>
      </c>
      <c r="V121" s="4">
        <v>1.3369840530529864</v>
      </c>
      <c r="W121" s="4">
        <v>1.1845782301190271</v>
      </c>
      <c r="Y121" s="448">
        <v>231.65</v>
      </c>
      <c r="Z121" s="4">
        <v>186.02</v>
      </c>
      <c r="AA121" s="4">
        <v>45.8</v>
      </c>
      <c r="AB121" s="4">
        <v>197.6</v>
      </c>
      <c r="AC121" s="4">
        <v>68.44</v>
      </c>
      <c r="AD121" s="4">
        <v>195.23</v>
      </c>
      <c r="AF121" s="4">
        <v>1.5981372887202485</v>
      </c>
      <c r="AG121" s="4">
        <v>1.1007751937984496</v>
      </c>
      <c r="AH121" s="4">
        <v>1.2716923504095514</v>
      </c>
      <c r="AI121" s="4">
        <v>1.4397085610200364</v>
      </c>
      <c r="AJ121" s="4">
        <v>2.2878766605825995</v>
      </c>
      <c r="AK121" s="4">
        <v>1.1512560443448518</v>
      </c>
      <c r="AM121" s="450">
        <v>45821</v>
      </c>
      <c r="AN121" s="451">
        <v>231.11</v>
      </c>
      <c r="AO121" s="451">
        <v>2624906</v>
      </c>
      <c r="AP121" s="451">
        <v>239.59891999999999</v>
      </c>
      <c r="AQ121" s="451">
        <v>55373.706401200005</v>
      </c>
      <c r="AR121" s="451">
        <v>0.64070000000000005</v>
      </c>
    </row>
    <row r="122" spans="2:44">
      <c r="B122" s="452">
        <v>45119</v>
      </c>
      <c r="C122" s="448">
        <v>10.699</v>
      </c>
      <c r="D122" s="448">
        <v>11.266500000000001</v>
      </c>
      <c r="E122" s="448">
        <v>6.4977</v>
      </c>
      <c r="F122" s="448">
        <v>20.643699999999999</v>
      </c>
      <c r="G122" s="448">
        <v>13.625299999999999</v>
      </c>
      <c r="H122" s="448">
        <v>10.757300000000001</v>
      </c>
      <c r="I122" s="452">
        <v>45119</v>
      </c>
      <c r="J122" s="448">
        <v>17.314699999999998</v>
      </c>
      <c r="K122" s="448">
        <v>16.429200000000002</v>
      </c>
      <c r="L122" s="448">
        <v>12.2681</v>
      </c>
      <c r="M122" s="448">
        <v>32.787799999999997</v>
      </c>
      <c r="N122" s="448">
        <v>24.67</v>
      </c>
      <c r="O122" s="448">
        <v>22.445</v>
      </c>
      <c r="P122" s="448"/>
      <c r="Q122" s="452">
        <v>45119</v>
      </c>
      <c r="R122" s="4">
        <v>228.87</v>
      </c>
      <c r="S122" s="4">
        <v>14900.85</v>
      </c>
      <c r="T122" s="4">
        <v>944.16</v>
      </c>
      <c r="U122" s="4">
        <v>1.5789582614694724</v>
      </c>
      <c r="V122" s="4">
        <v>1.3219642025417526</v>
      </c>
      <c r="W122" s="4">
        <v>1.1633603588062791</v>
      </c>
      <c r="Y122" s="448">
        <v>228.87</v>
      </c>
      <c r="Z122" s="4">
        <v>186.49</v>
      </c>
      <c r="AA122" s="4">
        <v>45.35</v>
      </c>
      <c r="AB122" s="4">
        <v>187.88</v>
      </c>
      <c r="AC122" s="4">
        <v>59.15</v>
      </c>
      <c r="AD122" s="4">
        <v>184.69</v>
      </c>
      <c r="AF122" s="4">
        <v>1.5789582614694724</v>
      </c>
      <c r="AG122" s="4">
        <v>1.1035564234570092</v>
      </c>
      <c r="AH122" s="4">
        <v>1.25919755657365</v>
      </c>
      <c r="AI122" s="4">
        <v>1.3688888888888888</v>
      </c>
      <c r="AJ122" s="4">
        <v>1.977321807034786</v>
      </c>
      <c r="AK122" s="4">
        <v>1.0891024885010023</v>
      </c>
      <c r="AM122" s="450">
        <v>45820</v>
      </c>
      <c r="AN122" s="451">
        <v>231.8</v>
      </c>
      <c r="AO122" s="451">
        <v>2238959</v>
      </c>
      <c r="AP122" s="451">
        <v>239.59891999999999</v>
      </c>
      <c r="AQ122" s="451">
        <v>55539.029655999999</v>
      </c>
      <c r="AR122" s="451">
        <v>0.64270000000000005</v>
      </c>
    </row>
    <row r="123" spans="2:44">
      <c r="B123" s="452">
        <v>45112</v>
      </c>
      <c r="C123" s="448">
        <v>10.3314</v>
      </c>
      <c r="D123" s="448">
        <v>10.9109</v>
      </c>
      <c r="E123" s="448">
        <v>6.4307999999999996</v>
      </c>
      <c r="F123" s="448">
        <v>20.2028</v>
      </c>
      <c r="G123" s="448">
        <v>13.5139</v>
      </c>
      <c r="H123" s="448">
        <v>10.471500000000001</v>
      </c>
      <c r="I123" s="452">
        <v>45112</v>
      </c>
      <c r="J123" s="448">
        <v>16.435099999999998</v>
      </c>
      <c r="K123" s="448">
        <v>15.854799999999999</v>
      </c>
      <c r="L123" s="448">
        <v>12.099</v>
      </c>
      <c r="M123" s="448">
        <v>32.0871</v>
      </c>
      <c r="N123" s="448">
        <v>24.382200000000001</v>
      </c>
      <c r="O123" s="448">
        <v>21.813099999999999</v>
      </c>
      <c r="P123" s="448"/>
      <c r="Q123" s="452">
        <v>45112</v>
      </c>
      <c r="R123" s="4">
        <v>219.5</v>
      </c>
      <c r="S123" s="4">
        <v>14558.09</v>
      </c>
      <c r="T123" s="4">
        <v>915.47</v>
      </c>
      <c r="U123" s="4">
        <v>1.5143152811314247</v>
      </c>
      <c r="V123" s="4">
        <v>1.2915554372657307</v>
      </c>
      <c r="W123" s="4">
        <v>1.1280095615958994</v>
      </c>
      <c r="Y123" s="448">
        <v>219.5</v>
      </c>
      <c r="Z123" s="4">
        <v>179.97</v>
      </c>
      <c r="AA123" s="4">
        <v>44.725000000000001</v>
      </c>
      <c r="AB123" s="4">
        <v>183.86500000000001</v>
      </c>
      <c r="AC123" s="4">
        <v>58.46</v>
      </c>
      <c r="AD123" s="4">
        <v>179.49</v>
      </c>
      <c r="AF123" s="4">
        <v>1.5143152811314247</v>
      </c>
      <c r="AG123" s="4">
        <v>1.0649742588318836</v>
      </c>
      <c r="AH123" s="4">
        <v>1.2418436762460086</v>
      </c>
      <c r="AI123" s="4">
        <v>1.3396357012750455</v>
      </c>
      <c r="AJ123" s="4">
        <v>1.9542558383643889</v>
      </c>
      <c r="AK123" s="4">
        <v>1.0584384951055548</v>
      </c>
      <c r="AM123" s="450">
        <v>45819</v>
      </c>
      <c r="AN123" s="451">
        <v>231.15</v>
      </c>
      <c r="AO123" s="451">
        <v>2250837</v>
      </c>
      <c r="AP123" s="451">
        <v>239.59891999999999</v>
      </c>
      <c r="AQ123" s="451">
        <v>55383.290357999998</v>
      </c>
      <c r="AR123" s="451">
        <v>0.64080000000000004</v>
      </c>
    </row>
    <row r="124" spans="2:44">
      <c r="B124" s="452">
        <v>45105</v>
      </c>
      <c r="C124" s="448">
        <v>10.3347</v>
      </c>
      <c r="D124" s="448">
        <v>10.2356</v>
      </c>
      <c r="E124" s="448">
        <v>5.8296000000000001</v>
      </c>
      <c r="F124" s="448">
        <v>19.246500000000001</v>
      </c>
      <c r="G124" s="448">
        <v>12.3338</v>
      </c>
      <c r="H124" s="448">
        <v>10.135199999999999</v>
      </c>
      <c r="I124" s="452">
        <v>45105</v>
      </c>
      <c r="J124" s="448">
        <v>16.443000000000001</v>
      </c>
      <c r="K124" s="448">
        <v>14.5252</v>
      </c>
      <c r="L124" s="448">
        <v>10.766500000000001</v>
      </c>
      <c r="M124" s="448">
        <v>30.553599999999999</v>
      </c>
      <c r="N124" s="448">
        <v>20.5442</v>
      </c>
      <c r="O124" s="448">
        <v>20.040600000000001</v>
      </c>
      <c r="P124" s="448"/>
      <c r="Q124" s="452">
        <v>45105</v>
      </c>
      <c r="R124" s="4">
        <v>226.14</v>
      </c>
      <c r="S124" s="4">
        <v>14354.99</v>
      </c>
      <c r="T124" s="4">
        <v>932.86</v>
      </c>
      <c r="U124" s="4">
        <v>1.5601241807519834</v>
      </c>
      <c r="V124" s="4">
        <v>1.2735369396943685</v>
      </c>
      <c r="W124" s="4">
        <v>1.1494369008600507</v>
      </c>
      <c r="Y124" s="448">
        <v>226.14</v>
      </c>
      <c r="Z124" s="4">
        <v>175.66</v>
      </c>
      <c r="AA124" s="4">
        <v>44.094999999999999</v>
      </c>
      <c r="AB124" s="4">
        <v>185.14500000000001</v>
      </c>
      <c r="AC124" s="4">
        <v>58.63</v>
      </c>
      <c r="AD124" s="4">
        <v>178.85</v>
      </c>
      <c r="AF124" s="4">
        <v>1.5601241807519834</v>
      </c>
      <c r="AG124" s="4">
        <v>1.0394697911119</v>
      </c>
      <c r="AH124" s="4">
        <v>1.2243509648757462</v>
      </c>
      <c r="AI124" s="4">
        <v>1.3489617486338799</v>
      </c>
      <c r="AJ124" s="4">
        <v>1.9599387581817331</v>
      </c>
      <c r="AK124" s="4">
        <v>1.0546644651491921</v>
      </c>
      <c r="AM124" s="450">
        <v>45818</v>
      </c>
      <c r="AN124" s="451">
        <v>232.95</v>
      </c>
      <c r="AO124" s="451">
        <v>3390920</v>
      </c>
      <c r="AP124" s="451">
        <v>239.59891999999999</v>
      </c>
      <c r="AQ124" s="451">
        <v>55814.568413999994</v>
      </c>
      <c r="AR124" s="451">
        <v>0.64580000000000004</v>
      </c>
    </row>
    <row r="125" spans="2:44">
      <c r="B125" s="452">
        <v>45098</v>
      </c>
      <c r="C125" s="448">
        <v>9.7096999999999998</v>
      </c>
      <c r="D125" s="448">
        <v>10.129300000000001</v>
      </c>
      <c r="E125" s="448">
        <v>5.6924999999999999</v>
      </c>
      <c r="F125" s="448">
        <v>16.970800000000001</v>
      </c>
      <c r="G125" s="448">
        <v>11.373200000000001</v>
      </c>
      <c r="H125" s="448">
        <v>10.002599999999999</v>
      </c>
      <c r="I125" s="452">
        <v>45098</v>
      </c>
      <c r="J125" s="448">
        <v>14.9473</v>
      </c>
      <c r="K125" s="448">
        <v>14.3573</v>
      </c>
      <c r="L125" s="448">
        <v>10.4381</v>
      </c>
      <c r="M125" s="448">
        <v>26.9527</v>
      </c>
      <c r="N125" s="448">
        <v>18.249099999999999</v>
      </c>
      <c r="O125" s="448">
        <v>19.761600000000001</v>
      </c>
      <c r="P125" s="448"/>
      <c r="Q125" s="452">
        <v>45098</v>
      </c>
      <c r="R125" s="4">
        <v>226.64</v>
      </c>
      <c r="S125" s="4">
        <v>13672.54</v>
      </c>
      <c r="T125" s="4">
        <v>935.17</v>
      </c>
      <c r="U125" s="4">
        <v>1.5635736460848568</v>
      </c>
      <c r="V125" s="4">
        <v>1.2129917714640583</v>
      </c>
      <c r="W125" s="4">
        <v>1.1522832006702974</v>
      </c>
      <c r="Y125" s="448">
        <v>226.64</v>
      </c>
      <c r="Z125" s="4">
        <v>173.63</v>
      </c>
      <c r="AA125" s="4">
        <v>42.75</v>
      </c>
      <c r="AB125" s="4">
        <v>163.32499999999999</v>
      </c>
      <c r="AC125" s="4">
        <v>52.08</v>
      </c>
      <c r="AD125" s="4">
        <v>176.36</v>
      </c>
      <c r="AF125" s="4">
        <v>1.5635736460848568</v>
      </c>
      <c r="AG125" s="4">
        <v>1.0274572459908871</v>
      </c>
      <c r="AH125" s="4">
        <v>1.1870054144106621</v>
      </c>
      <c r="AI125" s="4">
        <v>1.1899817850637522</v>
      </c>
      <c r="AJ125" s="4">
        <v>1.7409792005134683</v>
      </c>
      <c r="AK125" s="4">
        <v>1.0399811298502182</v>
      </c>
      <c r="AM125" s="450">
        <v>45817</v>
      </c>
      <c r="AN125" s="451">
        <v>217.83</v>
      </c>
      <c r="AO125" s="451">
        <v>1167908</v>
      </c>
      <c r="AP125" s="451">
        <v>239.59891999999999</v>
      </c>
      <c r="AQ125" s="451">
        <v>52191.832743600004</v>
      </c>
      <c r="AR125" s="451">
        <v>0.60389999999999999</v>
      </c>
    </row>
    <row r="126" spans="2:44">
      <c r="B126" s="452">
        <v>45091</v>
      </c>
      <c r="C126" s="448">
        <v>9.8155999999999999</v>
      </c>
      <c r="D126" s="448">
        <v>10.194699999999999</v>
      </c>
      <c r="E126" s="448">
        <v>5.7628000000000004</v>
      </c>
      <c r="F126" s="448">
        <v>16.6616</v>
      </c>
      <c r="G126" s="448">
        <v>11.2676</v>
      </c>
      <c r="H126" s="448">
        <v>9.8977000000000004</v>
      </c>
      <c r="I126" s="452">
        <v>45091</v>
      </c>
      <c r="J126" s="448">
        <v>15.200699999999999</v>
      </c>
      <c r="K126" s="448">
        <v>14.460699999999999</v>
      </c>
      <c r="L126" s="448">
        <v>10.6066</v>
      </c>
      <c r="M126" s="448">
        <v>26.4634</v>
      </c>
      <c r="N126" s="448">
        <v>17.9968</v>
      </c>
      <c r="O126" s="448">
        <v>19.540900000000001</v>
      </c>
      <c r="P126" s="448"/>
      <c r="Q126" s="452">
        <v>45091</v>
      </c>
      <c r="R126" s="4">
        <v>221.27</v>
      </c>
      <c r="S126" s="4">
        <v>13426.01</v>
      </c>
      <c r="T126" s="4">
        <v>914.84</v>
      </c>
      <c r="U126" s="4">
        <v>1.5265263884097966</v>
      </c>
      <c r="V126" s="4">
        <v>1.1911202785725377</v>
      </c>
      <c r="W126" s="4">
        <v>1.1272332980112867</v>
      </c>
      <c r="Y126" s="448">
        <v>221.27</v>
      </c>
      <c r="Z126" s="4">
        <v>174.88</v>
      </c>
      <c r="AA126" s="4">
        <v>43.44</v>
      </c>
      <c r="AB126" s="4">
        <v>160.36000000000001</v>
      </c>
      <c r="AC126" s="4">
        <v>51.36</v>
      </c>
      <c r="AD126" s="4">
        <v>174.39</v>
      </c>
      <c r="AF126" s="4">
        <v>1.5265263884097966</v>
      </c>
      <c r="AG126" s="4">
        <v>1.0348541333806733</v>
      </c>
      <c r="AH126" s="4">
        <v>1.206164098292378</v>
      </c>
      <c r="AI126" s="4">
        <v>1.1683788706739526</v>
      </c>
      <c r="AJ126" s="4">
        <v>1.7169103636400103</v>
      </c>
      <c r="AK126" s="4">
        <v>1.0283641938907888</v>
      </c>
      <c r="AM126" s="450">
        <v>45816</v>
      </c>
      <c r="AN126" s="451">
        <v>217.83</v>
      </c>
      <c r="AO126" s="451">
        <v>1167908</v>
      </c>
      <c r="AP126" s="451">
        <v>239.59891999999999</v>
      </c>
      <c r="AQ126" s="451">
        <v>52191.832743600004</v>
      </c>
      <c r="AR126" s="451">
        <v>0.60389999999999999</v>
      </c>
    </row>
    <row r="127" spans="2:44">
      <c r="B127" s="452">
        <v>45084</v>
      </c>
      <c r="C127" s="448">
        <v>9.6753999999999998</v>
      </c>
      <c r="D127" s="448">
        <v>10.0177</v>
      </c>
      <c r="E127" s="448">
        <v>5.6139999999999999</v>
      </c>
      <c r="F127" s="448">
        <v>16.4207</v>
      </c>
      <c r="G127" s="448">
        <v>10.9655</v>
      </c>
      <c r="H127" s="448">
        <v>9.9488000000000003</v>
      </c>
      <c r="I127" s="452">
        <v>45084</v>
      </c>
      <c r="J127" s="448">
        <v>14.8652</v>
      </c>
      <c r="K127" s="448">
        <v>14.1812</v>
      </c>
      <c r="L127" s="448">
        <v>10.2501</v>
      </c>
      <c r="M127" s="448">
        <v>26.0822</v>
      </c>
      <c r="N127" s="448">
        <v>17.274999999999999</v>
      </c>
      <c r="O127" s="448">
        <v>19.648399999999999</v>
      </c>
      <c r="P127" s="448"/>
      <c r="Q127" s="452">
        <v>45084</v>
      </c>
      <c r="R127" s="4">
        <v>228.63</v>
      </c>
      <c r="S127" s="4">
        <v>13201.11</v>
      </c>
      <c r="T127" s="4">
        <v>948.66</v>
      </c>
      <c r="U127" s="4">
        <v>1.5773025181096931</v>
      </c>
      <c r="V127" s="4">
        <v>1.1711677423647615</v>
      </c>
      <c r="W127" s="4">
        <v>1.16890509869637</v>
      </c>
      <c r="Y127" s="448">
        <v>228.63</v>
      </c>
      <c r="Z127" s="4">
        <v>171.5</v>
      </c>
      <c r="AA127" s="4">
        <v>41.98</v>
      </c>
      <c r="AB127" s="4">
        <v>158.05000000000001</v>
      </c>
      <c r="AC127" s="4">
        <v>49.3</v>
      </c>
      <c r="AD127" s="4">
        <v>175.35</v>
      </c>
      <c r="AF127" s="4">
        <v>1.5773025181096931</v>
      </c>
      <c r="AG127" s="4">
        <v>1.0148529498786909</v>
      </c>
      <c r="AH127" s="4">
        <v>1.165625433847008</v>
      </c>
      <c r="AI127" s="4">
        <v>1.1515482695810566</v>
      </c>
      <c r="AJ127" s="4">
        <v>1.6480467470298386</v>
      </c>
      <c r="AK127" s="4">
        <v>1.034025238825333</v>
      </c>
      <c r="AM127" s="450">
        <v>45815</v>
      </c>
      <c r="AN127" s="451">
        <v>217.83</v>
      </c>
      <c r="AO127" s="451">
        <v>1167908</v>
      </c>
      <c r="AP127" s="451">
        <v>239.59891999999999</v>
      </c>
      <c r="AQ127" s="451">
        <v>52191.832743600004</v>
      </c>
      <c r="AR127" s="451">
        <v>0.60389999999999999</v>
      </c>
    </row>
    <row r="128" spans="2:44">
      <c r="B128" s="452">
        <v>45077</v>
      </c>
      <c r="C128" s="448">
        <v>9.4923000000000002</v>
      </c>
      <c r="D128" s="448">
        <v>9.7820999999999998</v>
      </c>
      <c r="E128" s="448">
        <v>5.6466000000000003</v>
      </c>
      <c r="F128" s="448">
        <v>16.125499999999999</v>
      </c>
      <c r="G128" s="448">
        <v>10.617900000000001</v>
      </c>
      <c r="H128" s="448">
        <v>9.5024999999999995</v>
      </c>
      <c r="I128" s="452">
        <v>45077</v>
      </c>
      <c r="J128" s="448">
        <v>14.427</v>
      </c>
      <c r="K128" s="448">
        <v>13.809100000000001</v>
      </c>
      <c r="L128" s="448">
        <v>10.328200000000001</v>
      </c>
      <c r="M128" s="448">
        <v>25.615200000000002</v>
      </c>
      <c r="N128" s="448">
        <v>16.444500000000001</v>
      </c>
      <c r="O128" s="448">
        <v>18.709399999999999</v>
      </c>
      <c r="P128" s="448"/>
      <c r="Q128" s="452">
        <v>45077</v>
      </c>
      <c r="R128" s="4">
        <v>228.4</v>
      </c>
      <c r="S128" s="4">
        <v>13113.66</v>
      </c>
      <c r="T128" s="4">
        <v>964.22</v>
      </c>
      <c r="U128" s="4">
        <v>1.5757157640565713</v>
      </c>
      <c r="V128" s="4">
        <v>1.1634094084769446</v>
      </c>
      <c r="W128" s="4">
        <v>1.1880775770718845</v>
      </c>
      <c r="Y128" s="448">
        <v>228.4</v>
      </c>
      <c r="Z128" s="4">
        <v>167</v>
      </c>
      <c r="AA128" s="4">
        <v>42.3</v>
      </c>
      <c r="AB128" s="4">
        <v>155.22</v>
      </c>
      <c r="AC128" s="4">
        <v>46.93</v>
      </c>
      <c r="AD128" s="4">
        <v>166.97</v>
      </c>
      <c r="AF128" s="4">
        <v>1.5757157640565713</v>
      </c>
      <c r="AG128" s="4">
        <v>0.98822415527546004</v>
      </c>
      <c r="AH128" s="4">
        <v>1.1745106205747604</v>
      </c>
      <c r="AI128" s="4">
        <v>1.1309289617486338</v>
      </c>
      <c r="AJ128" s="4">
        <v>1.5688201589880391</v>
      </c>
      <c r="AK128" s="4">
        <v>0.98460903408420797</v>
      </c>
      <c r="AM128" s="450">
        <v>45814</v>
      </c>
      <c r="AN128" s="451">
        <v>219.21</v>
      </c>
      <c r="AO128" s="451">
        <v>1334400</v>
      </c>
      <c r="AP128" s="451">
        <v>239.59891999999999</v>
      </c>
      <c r="AQ128" s="451">
        <v>52522.479253199999</v>
      </c>
      <c r="AR128" s="451">
        <v>0.60770000000000002</v>
      </c>
    </row>
    <row r="129" spans="2:44">
      <c r="B129" s="452">
        <v>45070</v>
      </c>
      <c r="C129" s="448">
        <v>9.4059000000000008</v>
      </c>
      <c r="D129" s="448">
        <v>9.8198000000000008</v>
      </c>
      <c r="E129" s="448">
        <v>5.5145999999999997</v>
      </c>
      <c r="F129" s="448">
        <v>15.606199999999999</v>
      </c>
      <c r="G129" s="448">
        <v>10.5915</v>
      </c>
      <c r="H129" s="448">
        <v>9.5707000000000004</v>
      </c>
      <c r="I129" s="452">
        <v>45070</v>
      </c>
      <c r="J129" s="448">
        <v>13.1211</v>
      </c>
      <c r="K129" s="448">
        <v>13.868600000000001</v>
      </c>
      <c r="L129" s="448">
        <v>10.012</v>
      </c>
      <c r="M129" s="448">
        <v>24.793399999999998</v>
      </c>
      <c r="N129" s="448">
        <v>16.381399999999999</v>
      </c>
      <c r="O129" s="448">
        <v>18.852900000000002</v>
      </c>
      <c r="P129" s="448"/>
      <c r="Q129" s="452">
        <v>45070</v>
      </c>
      <c r="R129" s="4">
        <v>225.47</v>
      </c>
      <c r="S129" s="4">
        <v>12725.11</v>
      </c>
      <c r="T129" s="4">
        <v>948.9</v>
      </c>
      <c r="U129" s="4">
        <v>1.5555018972059331</v>
      </c>
      <c r="V129" s="4">
        <v>1.1289382748907668</v>
      </c>
      <c r="W129" s="4">
        <v>1.1692008181571749</v>
      </c>
      <c r="Y129" s="448">
        <v>225.47</v>
      </c>
      <c r="Z129" s="4">
        <v>167.72</v>
      </c>
      <c r="AA129" s="4">
        <v>41.005000000000003</v>
      </c>
      <c r="AB129" s="4">
        <v>150.24</v>
      </c>
      <c r="AC129" s="4">
        <v>46.75</v>
      </c>
      <c r="AD129" s="4">
        <v>168.25</v>
      </c>
      <c r="AF129" s="4">
        <v>1.5555018972059331</v>
      </c>
      <c r="AG129" s="4">
        <v>0.99248476241197703</v>
      </c>
      <c r="AH129" s="4">
        <v>1.1385533805358878</v>
      </c>
      <c r="AI129" s="4">
        <v>1.0946448087431695</v>
      </c>
      <c r="AJ129" s="4">
        <v>1.5628029497696745</v>
      </c>
      <c r="AK129" s="4">
        <v>0.99215709399693353</v>
      </c>
      <c r="AM129" s="450">
        <v>45813</v>
      </c>
      <c r="AN129" s="451">
        <v>215.56</v>
      </c>
      <c r="AO129" s="451">
        <v>1227876</v>
      </c>
      <c r="AP129" s="451">
        <v>239.59891999999999</v>
      </c>
      <c r="AQ129" s="451">
        <v>51647.943195200001</v>
      </c>
      <c r="AR129" s="451">
        <v>0.59760000000000002</v>
      </c>
    </row>
    <row r="130" spans="2:44">
      <c r="B130" s="452">
        <v>45063</v>
      </c>
      <c r="C130" s="448">
        <v>9.4680999999999997</v>
      </c>
      <c r="D130" s="448">
        <v>10.010400000000001</v>
      </c>
      <c r="E130" s="448">
        <v>5.5156000000000001</v>
      </c>
      <c r="F130" s="448">
        <v>15.777200000000001</v>
      </c>
      <c r="G130" s="448">
        <v>10.645799999999999</v>
      </c>
      <c r="H130" s="448">
        <v>9.7767999999999997</v>
      </c>
      <c r="I130" s="452">
        <v>45063</v>
      </c>
      <c r="J130" s="448">
        <v>13.2585</v>
      </c>
      <c r="K130" s="448">
        <v>14.169600000000001</v>
      </c>
      <c r="L130" s="448">
        <v>10.0145</v>
      </c>
      <c r="M130" s="448">
        <v>25.064</v>
      </c>
      <c r="N130" s="448">
        <v>16.511099999999999</v>
      </c>
      <c r="O130" s="448">
        <v>19.2865</v>
      </c>
      <c r="P130" s="448"/>
      <c r="Q130" s="452">
        <v>45063</v>
      </c>
      <c r="R130" s="4">
        <v>229.21</v>
      </c>
      <c r="S130" s="4">
        <v>13091.79</v>
      </c>
      <c r="T130" s="4">
        <v>1013.11</v>
      </c>
      <c r="U130" s="4">
        <v>1.5813038978958263</v>
      </c>
      <c r="V130" s="4">
        <v>1.1614691596247255</v>
      </c>
      <c r="W130" s="4">
        <v>1.2483180955666724</v>
      </c>
      <c r="Y130" s="448">
        <v>229.21</v>
      </c>
      <c r="Z130" s="4">
        <v>171.36</v>
      </c>
      <c r="AA130" s="4">
        <v>41.015000000000001</v>
      </c>
      <c r="AB130" s="4">
        <v>151.88</v>
      </c>
      <c r="AC130" s="4">
        <v>47.12</v>
      </c>
      <c r="AD130" s="4">
        <v>172.12</v>
      </c>
      <c r="AF130" s="4">
        <v>1.5813038978958263</v>
      </c>
      <c r="AG130" s="4">
        <v>1.0140244984910349</v>
      </c>
      <c r="AH130" s="4">
        <v>1.1388310426211301</v>
      </c>
      <c r="AI130" s="4">
        <v>1.1065938069216756</v>
      </c>
      <c r="AJ130" s="4">
        <v>1.5751716576074237</v>
      </c>
      <c r="AK130" s="4">
        <v>1.0149781813893148</v>
      </c>
      <c r="AM130" s="450">
        <v>45812</v>
      </c>
      <c r="AN130" s="451">
        <v>213.41</v>
      </c>
      <c r="AO130" s="451">
        <v>1104146</v>
      </c>
      <c r="AP130" s="451">
        <v>239.59891999999999</v>
      </c>
      <c r="AQ130" s="451">
        <v>51132.805517199995</v>
      </c>
      <c r="AR130" s="451">
        <v>0.5917</v>
      </c>
    </row>
    <row r="131" spans="2:44">
      <c r="B131" s="452">
        <v>45056</v>
      </c>
      <c r="C131" s="448">
        <v>9.4797999999999991</v>
      </c>
      <c r="D131" s="448">
        <v>10.0214</v>
      </c>
      <c r="E131" s="448">
        <v>5.5686</v>
      </c>
      <c r="F131" s="448">
        <v>16.332599999999999</v>
      </c>
      <c r="G131" s="448">
        <v>10.6751</v>
      </c>
      <c r="H131" s="448">
        <v>10.0159</v>
      </c>
      <c r="I131" s="452">
        <v>45056</v>
      </c>
      <c r="J131" s="448">
        <v>13.2843</v>
      </c>
      <c r="K131" s="448">
        <v>14.186999999999999</v>
      </c>
      <c r="L131" s="448">
        <v>10.141400000000001</v>
      </c>
      <c r="M131" s="448">
        <v>25.942799999999998</v>
      </c>
      <c r="N131" s="448">
        <v>16.581199999999999</v>
      </c>
      <c r="O131" s="448">
        <v>19.7896</v>
      </c>
      <c r="P131" s="448"/>
      <c r="Q131" s="452">
        <v>45056</v>
      </c>
      <c r="R131" s="4">
        <v>231.53</v>
      </c>
      <c r="S131" s="4">
        <v>12964.16</v>
      </c>
      <c r="T131" s="4">
        <v>1008.1</v>
      </c>
      <c r="U131" s="4">
        <v>1.5973094170403588</v>
      </c>
      <c r="V131" s="4">
        <v>1.150146161864839</v>
      </c>
      <c r="W131" s="4">
        <v>1.2421449518223711</v>
      </c>
      <c r="Y131" s="448">
        <v>231.53</v>
      </c>
      <c r="Z131" s="4">
        <v>171.57</v>
      </c>
      <c r="AA131" s="4">
        <v>41.534999999999997</v>
      </c>
      <c r="AB131" s="4">
        <v>157.20500000000001</v>
      </c>
      <c r="AC131" s="4">
        <v>47.32</v>
      </c>
      <c r="AD131" s="4">
        <v>176.61</v>
      </c>
      <c r="AF131" s="4">
        <v>1.5973094170403588</v>
      </c>
      <c r="AG131" s="4">
        <v>1.0152671755725189</v>
      </c>
      <c r="AH131" s="4">
        <v>1.1532694710537275</v>
      </c>
      <c r="AI131" s="4">
        <v>1.1453916211293262</v>
      </c>
      <c r="AJ131" s="4">
        <v>1.5818574456278289</v>
      </c>
      <c r="AK131" s="4">
        <v>1.0414553603019223</v>
      </c>
      <c r="AM131" s="450">
        <v>45811</v>
      </c>
      <c r="AN131" s="451">
        <v>216.99</v>
      </c>
      <c r="AO131" s="451">
        <v>1261715</v>
      </c>
      <c r="AP131" s="451">
        <v>239.59891999999999</v>
      </c>
      <c r="AQ131" s="451">
        <v>51990.569650800004</v>
      </c>
      <c r="AR131" s="451">
        <v>0.60160000000000002</v>
      </c>
    </row>
    <row r="132" spans="2:44">
      <c r="B132" s="452">
        <v>45049</v>
      </c>
      <c r="C132" s="448">
        <v>9.5381</v>
      </c>
      <c r="D132" s="448">
        <v>10.236800000000001</v>
      </c>
      <c r="E132" s="448">
        <v>5.8158000000000003</v>
      </c>
      <c r="F132" s="448">
        <v>16.716200000000001</v>
      </c>
      <c r="G132" s="448">
        <v>10.2409</v>
      </c>
      <c r="H132" s="448">
        <v>9.9269999999999996</v>
      </c>
      <c r="I132" s="452">
        <v>45049</v>
      </c>
      <c r="J132" s="448">
        <v>13.412800000000001</v>
      </c>
      <c r="K132" s="448">
        <v>14.539199999999999</v>
      </c>
      <c r="L132" s="448">
        <v>10.733499999999999</v>
      </c>
      <c r="M132" s="448">
        <v>26.459299999999999</v>
      </c>
      <c r="N132" s="448">
        <v>15.558</v>
      </c>
      <c r="O132" s="448">
        <v>19.602499999999999</v>
      </c>
      <c r="P132" s="448"/>
      <c r="Q132" s="452">
        <v>45049</v>
      </c>
      <c r="R132" s="4">
        <v>226.49</v>
      </c>
      <c r="S132" s="4">
        <v>13100.07</v>
      </c>
      <c r="T132" s="4">
        <v>994.31</v>
      </c>
      <c r="U132" s="4">
        <v>1.562538806484995</v>
      </c>
      <c r="V132" s="4">
        <v>1.1622037394370883</v>
      </c>
      <c r="W132" s="4">
        <v>1.2251534044702923</v>
      </c>
      <c r="Y132" s="448">
        <v>226.49</v>
      </c>
      <c r="Z132" s="4">
        <v>175.83</v>
      </c>
      <c r="AA132" s="4">
        <v>43.96</v>
      </c>
      <c r="AB132" s="4">
        <v>160.33500000000001</v>
      </c>
      <c r="AC132" s="4">
        <v>44.4</v>
      </c>
      <c r="AD132" s="4">
        <v>174.94</v>
      </c>
      <c r="AF132" s="4">
        <v>1.562538806484995</v>
      </c>
      <c r="AG132" s="4">
        <v>1.040475767796911</v>
      </c>
      <c r="AH132" s="4">
        <v>1.2206025267249756</v>
      </c>
      <c r="AI132" s="4">
        <v>1.1681967213114755</v>
      </c>
      <c r="AJ132" s="4">
        <v>1.4842449405299154</v>
      </c>
      <c r="AK132" s="4">
        <v>1.0316075008845382</v>
      </c>
      <c r="AM132" s="450">
        <v>45810</v>
      </c>
      <c r="AN132" s="451">
        <v>219.72</v>
      </c>
      <c r="AO132" s="451">
        <v>2180680</v>
      </c>
      <c r="AP132" s="451">
        <v>239.59891999999999</v>
      </c>
      <c r="AQ132" s="451">
        <v>52644.6747024</v>
      </c>
      <c r="AR132" s="451">
        <v>0.60919999999999996</v>
      </c>
    </row>
    <row r="133" spans="2:44">
      <c r="B133" s="452">
        <v>45042</v>
      </c>
      <c r="C133" s="448">
        <v>9.3851999999999993</v>
      </c>
      <c r="D133" s="448">
        <v>10.050700000000001</v>
      </c>
      <c r="E133" s="448">
        <v>5.5869</v>
      </c>
      <c r="F133" s="448">
        <v>15.923400000000001</v>
      </c>
      <c r="G133" s="448">
        <v>9.8468</v>
      </c>
      <c r="H133" s="448">
        <v>9.4411000000000005</v>
      </c>
      <c r="I133" s="452">
        <v>45042</v>
      </c>
      <c r="J133" s="448">
        <v>13.0754</v>
      </c>
      <c r="K133" s="448">
        <v>14.2697</v>
      </c>
      <c r="L133" s="448">
        <v>10.1854</v>
      </c>
      <c r="M133" s="448">
        <v>25.209199999999999</v>
      </c>
      <c r="N133" s="448">
        <v>14.615399999999999</v>
      </c>
      <c r="O133" s="448">
        <v>18.558199999999999</v>
      </c>
      <c r="P133" s="448"/>
      <c r="Q133" s="452">
        <v>45042</v>
      </c>
      <c r="R133" s="4">
        <v>220.44</v>
      </c>
      <c r="S133" s="4">
        <v>12610.57</v>
      </c>
      <c r="T133" s="4">
        <v>978.3</v>
      </c>
      <c r="U133" s="4">
        <v>1.5208002759572268</v>
      </c>
      <c r="V133" s="4">
        <v>1.1187765874864151</v>
      </c>
      <c r="W133" s="4">
        <v>1.2054264521057689</v>
      </c>
      <c r="Y133" s="448">
        <v>220.44</v>
      </c>
      <c r="Z133" s="4">
        <v>172.57</v>
      </c>
      <c r="AA133" s="4">
        <v>41.715000000000003</v>
      </c>
      <c r="AB133" s="4">
        <v>152.76</v>
      </c>
      <c r="AC133" s="4">
        <v>41.71</v>
      </c>
      <c r="AD133" s="4">
        <v>165.62</v>
      </c>
      <c r="AF133" s="4">
        <v>1.5208002759572268</v>
      </c>
      <c r="AG133" s="4">
        <v>1.021184685484348</v>
      </c>
      <c r="AH133" s="4">
        <v>1.1582673885880883</v>
      </c>
      <c r="AI133" s="4">
        <v>1.1130054644808742</v>
      </c>
      <c r="AJ133" s="4">
        <v>1.394321091655468</v>
      </c>
      <c r="AK133" s="4">
        <v>0.97664818964500522</v>
      </c>
      <c r="AM133" s="450">
        <v>45809</v>
      </c>
      <c r="AN133" s="451">
        <v>219.72</v>
      </c>
      <c r="AO133" s="451">
        <v>2180680</v>
      </c>
      <c r="AP133" s="451">
        <v>239.59891999999999</v>
      </c>
      <c r="AQ133" s="451">
        <v>52644.6747024</v>
      </c>
      <c r="AR133" s="451">
        <v>0.60919999999999996</v>
      </c>
    </row>
    <row r="134" spans="2:44">
      <c r="B134" s="452">
        <v>45035</v>
      </c>
      <c r="C134" s="448">
        <v>9.5639000000000003</v>
      </c>
      <c r="D134" s="448">
        <v>11.276</v>
      </c>
      <c r="E134" s="448">
        <v>5.7755000000000001</v>
      </c>
      <c r="F134" s="448">
        <v>18.042100000000001</v>
      </c>
      <c r="G134" s="448">
        <v>8.7912999999999997</v>
      </c>
      <c r="H134" s="448">
        <v>10.122999999999999</v>
      </c>
      <c r="I134" s="452">
        <v>45035</v>
      </c>
      <c r="J134" s="448">
        <v>13.469799999999999</v>
      </c>
      <c r="K134" s="448">
        <v>16.209599999999998</v>
      </c>
      <c r="L134" s="448">
        <v>10.6371</v>
      </c>
      <c r="M134" s="448">
        <v>28.5502</v>
      </c>
      <c r="N134" s="448">
        <v>12.117000000000001</v>
      </c>
      <c r="O134" s="448">
        <v>19.991299999999999</v>
      </c>
      <c r="P134" s="448"/>
      <c r="Q134" s="452">
        <v>45035</v>
      </c>
      <c r="R134" s="4">
        <v>219.83</v>
      </c>
      <c r="S134" s="4">
        <v>12741.44</v>
      </c>
      <c r="T134" s="4">
        <v>975.34</v>
      </c>
      <c r="U134" s="4">
        <v>1.5165919282511213</v>
      </c>
      <c r="V134" s="4">
        <v>1.1303870295207044</v>
      </c>
      <c r="W134" s="4">
        <v>1.2017792454225091</v>
      </c>
      <c r="Y134" s="448">
        <v>219.83</v>
      </c>
      <c r="Z134" s="4">
        <v>196.03</v>
      </c>
      <c r="AA134" s="4">
        <v>43.564999999999998</v>
      </c>
      <c r="AB134" s="4">
        <v>173.005</v>
      </c>
      <c r="AC134" s="4">
        <v>34.58</v>
      </c>
      <c r="AD134" s="4">
        <v>178.41</v>
      </c>
      <c r="AF134" s="4">
        <v>1.5165919282511213</v>
      </c>
      <c r="AG134" s="4">
        <v>1.1600094680158588</v>
      </c>
      <c r="AH134" s="4">
        <v>1.2096348743579064</v>
      </c>
      <c r="AI134" s="4">
        <v>1.2605100182149362</v>
      </c>
      <c r="AJ134" s="4">
        <v>1.1559727487280287</v>
      </c>
      <c r="AK134" s="4">
        <v>1.0520698195541927</v>
      </c>
      <c r="AM134" s="450">
        <v>45808</v>
      </c>
      <c r="AN134" s="451">
        <v>219.72</v>
      </c>
      <c r="AO134" s="451">
        <v>2180680</v>
      </c>
      <c r="AP134" s="451">
        <v>239.59891999999999</v>
      </c>
      <c r="AQ134" s="451">
        <v>52644.6747024</v>
      </c>
      <c r="AR134" s="451">
        <v>0.60919999999999996</v>
      </c>
    </row>
    <row r="135" spans="2:44">
      <c r="B135" s="452">
        <v>45028</v>
      </c>
      <c r="C135" s="448">
        <v>9.5632999999999999</v>
      </c>
      <c r="D135" s="448">
        <v>10.953200000000001</v>
      </c>
      <c r="E135" s="448">
        <v>5.6527000000000003</v>
      </c>
      <c r="F135" s="448">
        <v>17.730799999999999</v>
      </c>
      <c r="G135" s="448">
        <v>8.4959000000000007</v>
      </c>
      <c r="H135" s="448">
        <v>9.9662000000000006</v>
      </c>
      <c r="I135" s="452">
        <v>45028</v>
      </c>
      <c r="J135" s="448">
        <v>13.4686</v>
      </c>
      <c r="K135" s="448">
        <v>15.698600000000001</v>
      </c>
      <c r="L135" s="448">
        <v>10.3429</v>
      </c>
      <c r="M135" s="448">
        <v>28.059200000000001</v>
      </c>
      <c r="N135" s="448">
        <v>11.4092</v>
      </c>
      <c r="O135" s="448">
        <v>19.661899999999999</v>
      </c>
      <c r="P135" s="448"/>
      <c r="Q135" s="452">
        <v>45028</v>
      </c>
      <c r="R135" s="4">
        <v>197.89</v>
      </c>
      <c r="S135" s="4">
        <v>12199.79</v>
      </c>
      <c r="T135" s="4">
        <v>946.85</v>
      </c>
      <c r="U135" s="4">
        <v>1.3652293894446361</v>
      </c>
      <c r="V135" s="4">
        <v>1.0823332667953069</v>
      </c>
      <c r="W135" s="4">
        <v>1.1666748810961334</v>
      </c>
      <c r="Y135" s="448">
        <v>197.89</v>
      </c>
      <c r="Z135" s="4">
        <v>189.85</v>
      </c>
      <c r="AA135" s="4">
        <v>42.36</v>
      </c>
      <c r="AB135" s="4">
        <v>170.03</v>
      </c>
      <c r="AC135" s="4">
        <v>32.56</v>
      </c>
      <c r="AD135" s="4">
        <v>175.47</v>
      </c>
      <c r="AF135" s="4">
        <v>1.3652293894446361</v>
      </c>
      <c r="AG135" s="4">
        <v>1.123439256760755</v>
      </c>
      <c r="AH135" s="4">
        <v>1.176176593086214</v>
      </c>
      <c r="AI135" s="4">
        <v>1.2388342440801456</v>
      </c>
      <c r="AJ135" s="4">
        <v>1.088446289721938</v>
      </c>
      <c r="AK135" s="4">
        <v>1.0347328694421511</v>
      </c>
      <c r="AM135" s="450">
        <v>45807</v>
      </c>
      <c r="AN135" s="451">
        <v>210.06</v>
      </c>
      <c r="AO135" s="451">
        <v>1368533</v>
      </c>
      <c r="AP135" s="451">
        <v>239.59891999999999</v>
      </c>
      <c r="AQ135" s="451">
        <v>50330.149135200001</v>
      </c>
      <c r="AR135" s="451">
        <v>0.58240000000000003</v>
      </c>
    </row>
    <row r="136" spans="2:44">
      <c r="B136" s="452">
        <v>45021</v>
      </c>
      <c r="C136" s="448">
        <v>9.5755999999999997</v>
      </c>
      <c r="D136" s="448">
        <v>10.9297</v>
      </c>
      <c r="E136" s="448">
        <v>5.6425000000000001</v>
      </c>
      <c r="F136" s="448">
        <v>16.941199999999998</v>
      </c>
      <c r="G136" s="448">
        <v>8.0968</v>
      </c>
      <c r="H136" s="448">
        <v>9.6884999999999994</v>
      </c>
      <c r="I136" s="452">
        <v>45021</v>
      </c>
      <c r="J136" s="448">
        <v>13.4956</v>
      </c>
      <c r="K136" s="448">
        <v>15.661300000000001</v>
      </c>
      <c r="L136" s="448">
        <v>10.3185</v>
      </c>
      <c r="M136" s="448">
        <v>26.8141</v>
      </c>
      <c r="N136" s="448">
        <v>10.4526</v>
      </c>
      <c r="O136" s="448">
        <v>19.078099999999999</v>
      </c>
      <c r="P136" s="448"/>
      <c r="Q136" s="452">
        <v>45021</v>
      </c>
      <c r="R136" s="4">
        <v>206.32</v>
      </c>
      <c r="S136" s="4">
        <v>12152.17</v>
      </c>
      <c r="T136" s="4">
        <v>954.26</v>
      </c>
      <c r="U136" s="4">
        <v>1.4233873749568817</v>
      </c>
      <c r="V136" s="4">
        <v>1.0781085457005346</v>
      </c>
      <c r="W136" s="4">
        <v>1.1758052194484832</v>
      </c>
      <c r="Y136" s="448">
        <v>206.32</v>
      </c>
      <c r="Z136" s="4">
        <v>189.4</v>
      </c>
      <c r="AA136" s="4">
        <v>42.26</v>
      </c>
      <c r="AB136" s="4">
        <v>162.48500000000001</v>
      </c>
      <c r="AC136" s="4">
        <v>29.83</v>
      </c>
      <c r="AD136" s="4">
        <v>170.26</v>
      </c>
      <c r="AF136" s="4">
        <v>1.4233873749568817</v>
      </c>
      <c r="AG136" s="4">
        <v>1.120776377300432</v>
      </c>
      <c r="AH136" s="4">
        <v>1.1733999722337913</v>
      </c>
      <c r="AI136" s="4">
        <v>1.1838615664845173</v>
      </c>
      <c r="AJ136" s="4">
        <v>0.99718528324340938</v>
      </c>
      <c r="AK136" s="4">
        <v>1.0040099068286352</v>
      </c>
      <c r="AM136" s="450">
        <v>45806</v>
      </c>
      <c r="AN136" s="451">
        <v>210.33</v>
      </c>
      <c r="AO136" s="451">
        <v>1279254</v>
      </c>
      <c r="AP136" s="451">
        <v>239.59891999999999</v>
      </c>
      <c r="AQ136" s="451">
        <v>50394.840843600003</v>
      </c>
      <c r="AR136" s="451">
        <v>0.58309999999999995</v>
      </c>
    </row>
    <row r="137" spans="2:44">
      <c r="B137" s="452">
        <v>45014</v>
      </c>
      <c r="C137" s="448">
        <v>9.4085999999999999</v>
      </c>
      <c r="D137" s="448">
        <v>10.5755</v>
      </c>
      <c r="E137" s="448">
        <v>5.4839000000000002</v>
      </c>
      <c r="F137" s="448">
        <v>17.2074</v>
      </c>
      <c r="G137" s="448">
        <v>8.0752000000000006</v>
      </c>
      <c r="H137" s="448">
        <v>9.7517999999999994</v>
      </c>
      <c r="I137" s="452">
        <v>45014</v>
      </c>
      <c r="J137" s="448">
        <v>13.127000000000001</v>
      </c>
      <c r="K137" s="448">
        <v>14.791399999999999</v>
      </c>
      <c r="L137" s="448">
        <v>9.4598999999999993</v>
      </c>
      <c r="M137" s="448">
        <v>27.2469</v>
      </c>
      <c r="N137" s="448">
        <v>11.2308</v>
      </c>
      <c r="O137" s="448">
        <v>18.694500000000001</v>
      </c>
      <c r="P137" s="448"/>
      <c r="Q137" s="452">
        <v>45014</v>
      </c>
      <c r="R137" s="4">
        <v>203.22</v>
      </c>
      <c r="S137" s="4">
        <v>12042.12</v>
      </c>
      <c r="T137" s="4">
        <v>944.18</v>
      </c>
      <c r="U137" s="4">
        <v>1.4020006898930666</v>
      </c>
      <c r="V137" s="4">
        <v>1.0683451992813895</v>
      </c>
      <c r="W137" s="4">
        <v>1.1633850020946794</v>
      </c>
      <c r="Y137" s="448">
        <v>203.22</v>
      </c>
      <c r="Z137" s="4">
        <v>191.47</v>
      </c>
      <c r="AA137" s="4">
        <v>41.96</v>
      </c>
      <c r="AB137" s="4">
        <v>165.69</v>
      </c>
      <c r="AC137" s="4">
        <v>30.98</v>
      </c>
      <c r="AD137" s="4">
        <v>171.06</v>
      </c>
      <c r="AF137" s="4">
        <v>1.4020006898930666</v>
      </c>
      <c r="AG137" s="4">
        <v>1.1330256228179181</v>
      </c>
      <c r="AH137" s="4">
        <v>1.1650701096765237</v>
      </c>
      <c r="AI137" s="4">
        <v>1.2072131147540983</v>
      </c>
      <c r="AJ137" s="4">
        <v>1.0356285643607384</v>
      </c>
      <c r="AK137" s="4">
        <v>1.0087274442740888</v>
      </c>
      <c r="AM137" s="450">
        <v>45805</v>
      </c>
      <c r="AN137" s="451">
        <v>209.85</v>
      </c>
      <c r="AO137" s="451">
        <v>1647311</v>
      </c>
      <c r="AP137" s="451">
        <v>239.59891999999999</v>
      </c>
      <c r="AQ137" s="451">
        <v>50279.833361999998</v>
      </c>
      <c r="AR137" s="451">
        <v>0.58179999999999998</v>
      </c>
    </row>
    <row r="138" spans="2:44">
      <c r="B138" s="452">
        <v>45007</v>
      </c>
      <c r="C138" s="448">
        <v>9.2332999999999998</v>
      </c>
      <c r="D138" s="448">
        <v>10.276899999999999</v>
      </c>
      <c r="E138" s="448">
        <v>5.4672000000000001</v>
      </c>
      <c r="F138" s="448">
        <v>17.1783</v>
      </c>
      <c r="G138" s="448">
        <v>8.1821999999999999</v>
      </c>
      <c r="H138" s="448">
        <v>9.5386000000000006</v>
      </c>
      <c r="I138" s="452">
        <v>45007</v>
      </c>
      <c r="J138" s="448">
        <v>12.7402</v>
      </c>
      <c r="K138" s="448">
        <v>14.333299999999999</v>
      </c>
      <c r="L138" s="448">
        <v>9.4215999999999998</v>
      </c>
      <c r="M138" s="448">
        <v>27.200900000000001</v>
      </c>
      <c r="N138" s="448">
        <v>11.4955</v>
      </c>
      <c r="O138" s="448">
        <v>18.250800000000002</v>
      </c>
      <c r="P138" s="448"/>
      <c r="Q138" s="452">
        <v>45007</v>
      </c>
      <c r="R138" s="4">
        <v>205.65</v>
      </c>
      <c r="S138" s="4">
        <v>12060.3</v>
      </c>
      <c r="T138" s="4">
        <v>933.95</v>
      </c>
      <c r="U138" s="4">
        <v>1.4187650914108314</v>
      </c>
      <c r="V138" s="4">
        <v>1.0699580810433162</v>
      </c>
      <c r="W138" s="4">
        <v>1.1507799600778728</v>
      </c>
      <c r="Y138" s="448">
        <v>205.65</v>
      </c>
      <c r="Z138" s="4">
        <v>185.54</v>
      </c>
      <c r="AA138" s="4">
        <v>41.79</v>
      </c>
      <c r="AB138" s="4">
        <v>165.41</v>
      </c>
      <c r="AC138" s="4">
        <v>31.71</v>
      </c>
      <c r="AD138" s="4">
        <v>167</v>
      </c>
      <c r="AF138" s="4">
        <v>1.4187650914108314</v>
      </c>
      <c r="AG138" s="4">
        <v>1.0979347890407716</v>
      </c>
      <c r="AH138" s="4">
        <v>1.1603498542274051</v>
      </c>
      <c r="AI138" s="4">
        <v>1.2051730418943534</v>
      </c>
      <c r="AJ138" s="4">
        <v>1.0600316906352167</v>
      </c>
      <c r="AK138" s="4">
        <v>0.9847859417384125</v>
      </c>
      <c r="AM138" s="450">
        <v>45804</v>
      </c>
      <c r="AN138" s="451">
        <v>211.5</v>
      </c>
      <c r="AO138" s="451">
        <v>1360836</v>
      </c>
      <c r="AP138" s="451">
        <v>239.59891999999999</v>
      </c>
      <c r="AQ138" s="451">
        <v>50675.171580000002</v>
      </c>
      <c r="AR138" s="451">
        <v>0.58640000000000003</v>
      </c>
    </row>
    <row r="139" spans="2:44">
      <c r="B139" s="452">
        <v>45000</v>
      </c>
      <c r="C139" s="448">
        <v>8.6762999999999995</v>
      </c>
      <c r="D139" s="448">
        <v>10.239800000000001</v>
      </c>
      <c r="E139" s="448">
        <v>5.2968000000000002</v>
      </c>
      <c r="F139" s="448">
        <v>17.264099999999999</v>
      </c>
      <c r="G139" s="448">
        <v>8.3698999999999995</v>
      </c>
      <c r="H139" s="448">
        <v>9.6315000000000008</v>
      </c>
      <c r="I139" s="452">
        <v>45000</v>
      </c>
      <c r="J139" s="448">
        <v>11.462999999999999</v>
      </c>
      <c r="K139" s="448">
        <v>14.242100000000001</v>
      </c>
      <c r="L139" s="448">
        <v>9.0314999999999994</v>
      </c>
      <c r="M139" s="448">
        <v>27.336500000000001</v>
      </c>
      <c r="N139" s="448">
        <v>11.9595</v>
      </c>
      <c r="O139" s="448">
        <v>18.444299999999998</v>
      </c>
      <c r="P139" s="448"/>
      <c r="Q139" s="452">
        <v>45000</v>
      </c>
      <c r="R139" s="4">
        <v>212.67</v>
      </c>
      <c r="S139" s="4">
        <v>12590.89</v>
      </c>
      <c r="T139" s="4">
        <v>977.13</v>
      </c>
      <c r="U139" s="4">
        <v>1.4671955846843741</v>
      </c>
      <c r="V139" s="4">
        <v>1.117030629671524</v>
      </c>
      <c r="W139" s="4">
        <v>1.2039848197343452</v>
      </c>
      <c r="Y139" s="448">
        <v>212.67</v>
      </c>
      <c r="Z139" s="4">
        <v>184.36</v>
      </c>
      <c r="AA139" s="4">
        <v>40.06</v>
      </c>
      <c r="AB139" s="4">
        <v>166.23500000000001</v>
      </c>
      <c r="AC139" s="4">
        <v>32.99</v>
      </c>
      <c r="AD139" s="4">
        <v>168.77</v>
      </c>
      <c r="AF139" s="4">
        <v>1.4671955846843741</v>
      </c>
      <c r="AG139" s="4">
        <v>1.0909521273448133</v>
      </c>
      <c r="AH139" s="4">
        <v>1.1123143134804943</v>
      </c>
      <c r="AI139" s="4">
        <v>1.2111839708561021</v>
      </c>
      <c r="AJ139" s="4">
        <v>1.1028207339658089</v>
      </c>
      <c r="AK139" s="4">
        <v>0.9952234933364783</v>
      </c>
      <c r="AM139" s="450">
        <v>45803</v>
      </c>
      <c r="AN139" s="451">
        <v>211.56</v>
      </c>
      <c r="AO139" s="451">
        <v>1328911</v>
      </c>
      <c r="AP139" s="451">
        <v>239.59891999999999</v>
      </c>
      <c r="AQ139" s="451">
        <v>50689.5475152</v>
      </c>
      <c r="AR139" s="451">
        <v>0.58650000000000002</v>
      </c>
    </row>
    <row r="140" spans="2:44">
      <c r="B140" s="452">
        <v>44993</v>
      </c>
      <c r="C140" s="448">
        <v>9.0564999999999998</v>
      </c>
      <c r="D140" s="448">
        <v>10.236700000000001</v>
      </c>
      <c r="E140" s="448">
        <v>5.3756000000000004</v>
      </c>
      <c r="F140" s="448">
        <v>18.1982</v>
      </c>
      <c r="G140" s="448">
        <v>8.7083999999999993</v>
      </c>
      <c r="H140" s="448">
        <v>10.409800000000001</v>
      </c>
      <c r="I140" s="452">
        <v>44993</v>
      </c>
      <c r="J140" s="448">
        <v>12.2988</v>
      </c>
      <c r="K140" s="448">
        <v>14.237500000000001</v>
      </c>
      <c r="L140" s="448">
        <v>9.2119</v>
      </c>
      <c r="M140" s="448">
        <v>28.8141</v>
      </c>
      <c r="N140" s="448">
        <v>12.796900000000001</v>
      </c>
      <c r="O140" s="448">
        <v>20.0639</v>
      </c>
      <c r="P140" s="448"/>
      <c r="Q140" s="452">
        <v>44993</v>
      </c>
      <c r="R140" s="4">
        <v>209.91</v>
      </c>
      <c r="S140" s="4">
        <v>12728.27</v>
      </c>
      <c r="T140" s="4">
        <v>979.89</v>
      </c>
      <c r="U140" s="4">
        <v>1.4481545360469128</v>
      </c>
      <c r="V140" s="4">
        <v>1.1292186217756781</v>
      </c>
      <c r="W140" s="4">
        <v>1.2073855935336011</v>
      </c>
      <c r="Y140" s="448">
        <v>209.91</v>
      </c>
      <c r="Z140" s="4">
        <v>184.3</v>
      </c>
      <c r="AA140" s="4">
        <v>40.86</v>
      </c>
      <c r="AB140" s="4">
        <v>175.22</v>
      </c>
      <c r="AC140" s="4">
        <v>35.299999999999997</v>
      </c>
      <c r="AD140" s="4">
        <v>183.59</v>
      </c>
      <c r="AF140" s="4">
        <v>1.4481545360469128</v>
      </c>
      <c r="AG140" s="4">
        <v>1.0905970767501036</v>
      </c>
      <c r="AH140" s="4">
        <v>1.1345272802998749</v>
      </c>
      <c r="AI140" s="4">
        <v>1.2766484517304189</v>
      </c>
      <c r="AJ140" s="4">
        <v>1.1800415856014868</v>
      </c>
      <c r="AK140" s="4">
        <v>1.0826158745135039</v>
      </c>
      <c r="AM140" s="450">
        <v>45802</v>
      </c>
      <c r="AN140" s="451">
        <v>211.56</v>
      </c>
      <c r="AO140" s="451">
        <v>1328911</v>
      </c>
      <c r="AP140" s="451">
        <v>239.59891999999999</v>
      </c>
      <c r="AQ140" s="451">
        <v>50689.5475152</v>
      </c>
      <c r="AR140" s="451">
        <v>0.58650000000000002</v>
      </c>
    </row>
    <row r="141" spans="2:44">
      <c r="B141" s="452">
        <v>44986</v>
      </c>
      <c r="C141" s="448">
        <v>8.9174000000000007</v>
      </c>
      <c r="D141" s="448">
        <v>10.1752</v>
      </c>
      <c r="E141" s="448">
        <v>5.3288000000000002</v>
      </c>
      <c r="F141" s="448">
        <v>17.583300000000001</v>
      </c>
      <c r="G141" s="448">
        <v>8.5912000000000006</v>
      </c>
      <c r="H141" s="448">
        <v>10.334199999999999</v>
      </c>
      <c r="I141" s="452">
        <v>44986</v>
      </c>
      <c r="J141" s="448">
        <v>11.993</v>
      </c>
      <c r="K141" s="448">
        <v>14.1433</v>
      </c>
      <c r="L141" s="448">
        <v>9.1047999999999991</v>
      </c>
      <c r="M141" s="448">
        <v>27.8414</v>
      </c>
      <c r="N141" s="448">
        <v>12.5069</v>
      </c>
      <c r="O141" s="448">
        <v>19.906500000000001</v>
      </c>
      <c r="P141" s="448"/>
      <c r="Q141" s="452">
        <v>44986</v>
      </c>
      <c r="R141" s="4">
        <v>193.86</v>
      </c>
      <c r="S141" s="4">
        <v>12101.93</v>
      </c>
      <c r="T141" s="4">
        <v>945.78</v>
      </c>
      <c r="U141" s="4">
        <v>1.3374266988616765</v>
      </c>
      <c r="V141" s="4">
        <v>1.0736513850999179</v>
      </c>
      <c r="W141" s="4">
        <v>1.1653564651667117</v>
      </c>
      <c r="Y141" s="448">
        <v>193.86</v>
      </c>
      <c r="Z141" s="4">
        <v>183.08</v>
      </c>
      <c r="AA141" s="4">
        <v>40.384999999999998</v>
      </c>
      <c r="AB141" s="4">
        <v>169.30500000000001</v>
      </c>
      <c r="AC141" s="4">
        <v>34.5</v>
      </c>
      <c r="AD141" s="4">
        <v>182.15</v>
      </c>
      <c r="AF141" s="4">
        <v>1.3374266988616765</v>
      </c>
      <c r="AG141" s="4">
        <v>1.083377714657672</v>
      </c>
      <c r="AH141" s="4">
        <v>1.1213383312508676</v>
      </c>
      <c r="AI141" s="4">
        <v>1.2335519125683061</v>
      </c>
      <c r="AJ141" s="4">
        <v>1.1532984335198668</v>
      </c>
      <c r="AK141" s="4">
        <v>1.0741243071116877</v>
      </c>
      <c r="AM141" s="450">
        <v>45801</v>
      </c>
      <c r="AN141" s="451">
        <v>211.56</v>
      </c>
      <c r="AO141" s="451">
        <v>1328911</v>
      </c>
      <c r="AP141" s="451">
        <v>239.59891999999999</v>
      </c>
      <c r="AQ141" s="451">
        <v>50689.5475152</v>
      </c>
      <c r="AR141" s="451">
        <v>0.58650000000000002</v>
      </c>
    </row>
    <row r="142" spans="2:44">
      <c r="B142" s="452">
        <v>44979</v>
      </c>
      <c r="C142" s="448">
        <v>8.7280999999999995</v>
      </c>
      <c r="D142" s="448">
        <v>9.8486999999999991</v>
      </c>
      <c r="E142" s="448">
        <v>5.3333000000000004</v>
      </c>
      <c r="F142" s="448">
        <v>17.760000000000002</v>
      </c>
      <c r="G142" s="448">
        <v>8.6102000000000007</v>
      </c>
      <c r="H142" s="448">
        <v>10.3352</v>
      </c>
      <c r="I142" s="452">
        <v>44979</v>
      </c>
      <c r="J142" s="448">
        <v>11.1371</v>
      </c>
      <c r="K142" s="448">
        <v>13.6434</v>
      </c>
      <c r="L142" s="448">
        <v>9.1150000000000002</v>
      </c>
      <c r="M142" s="448">
        <v>28.120899999999999</v>
      </c>
      <c r="N142" s="448">
        <v>12.554</v>
      </c>
      <c r="O142" s="448">
        <v>19.953499999999998</v>
      </c>
      <c r="P142" s="448"/>
      <c r="Q142" s="452">
        <v>44979</v>
      </c>
      <c r="R142" s="4">
        <v>189.25</v>
      </c>
      <c r="S142" s="4">
        <v>11846.64</v>
      </c>
      <c r="T142" s="4">
        <v>923.22</v>
      </c>
      <c r="U142" s="4">
        <v>1.3056226284925838</v>
      </c>
      <c r="V142" s="4">
        <v>1.0510027280590857</v>
      </c>
      <c r="W142" s="4">
        <v>1.137558835851056</v>
      </c>
      <c r="Y142" s="448">
        <v>189.25</v>
      </c>
      <c r="Z142" s="4">
        <v>176.61</v>
      </c>
      <c r="AA142" s="4">
        <v>40.43</v>
      </c>
      <c r="AB142" s="4">
        <v>171.005</v>
      </c>
      <c r="AC142" s="4">
        <v>34.630000000000003</v>
      </c>
      <c r="AD142" s="4">
        <v>182.58</v>
      </c>
      <c r="AF142" s="4">
        <v>1.3056226284925838</v>
      </c>
      <c r="AG142" s="4">
        <v>1.0450914255281378</v>
      </c>
      <c r="AH142" s="4">
        <v>1.1225878106344578</v>
      </c>
      <c r="AI142" s="4">
        <v>1.2459380692167576</v>
      </c>
      <c r="AJ142" s="4">
        <v>1.15764419573313</v>
      </c>
      <c r="AK142" s="4">
        <v>1.076659983488619</v>
      </c>
      <c r="AM142" s="450">
        <v>45800</v>
      </c>
      <c r="AN142" s="451">
        <v>215.69</v>
      </c>
      <c r="AO142" s="451">
        <v>1132874</v>
      </c>
      <c r="AP142" s="451">
        <v>239.59891999999999</v>
      </c>
      <c r="AQ142" s="451">
        <v>51679.091054799996</v>
      </c>
      <c r="AR142" s="451">
        <v>0.59799999999999998</v>
      </c>
    </row>
    <row r="143" spans="2:44">
      <c r="B143" s="452">
        <v>44972</v>
      </c>
      <c r="C143" s="448">
        <v>8.9939999999999998</v>
      </c>
      <c r="D143" s="448">
        <v>10.432700000000001</v>
      </c>
      <c r="E143" s="448">
        <v>5.4076000000000004</v>
      </c>
      <c r="F143" s="448">
        <v>18.626899999999999</v>
      </c>
      <c r="G143" s="448">
        <v>9.0690000000000008</v>
      </c>
      <c r="H143" s="448">
        <v>10.8498</v>
      </c>
      <c r="I143" s="452">
        <v>44972</v>
      </c>
      <c r="J143" s="448">
        <v>11.697699999999999</v>
      </c>
      <c r="K143" s="448">
        <v>14.4337</v>
      </c>
      <c r="L143" s="448">
        <v>9.2851999999999997</v>
      </c>
      <c r="M143" s="448">
        <v>29.370699999999999</v>
      </c>
      <c r="N143" s="448">
        <v>13.688700000000001</v>
      </c>
      <c r="O143" s="448">
        <v>21.026700000000002</v>
      </c>
      <c r="P143" s="448"/>
      <c r="Q143" s="452">
        <v>44972</v>
      </c>
      <c r="R143" s="4">
        <v>188.13</v>
      </c>
      <c r="S143" s="4">
        <v>11557.19</v>
      </c>
      <c r="T143" s="4">
        <v>915.14</v>
      </c>
      <c r="U143" s="4">
        <v>1.2978958261469473</v>
      </c>
      <c r="V143" s="4">
        <v>1.0253234857054141</v>
      </c>
      <c r="W143" s="4">
        <v>1.1276029473372926</v>
      </c>
      <c r="Y143" s="448">
        <v>188.13</v>
      </c>
      <c r="Z143" s="4">
        <v>186.84</v>
      </c>
      <c r="AA143" s="4">
        <v>41.185000000000002</v>
      </c>
      <c r="AB143" s="4">
        <v>178.60499999999999</v>
      </c>
      <c r="AC143" s="4">
        <v>37.76</v>
      </c>
      <c r="AD143" s="4">
        <v>192.4</v>
      </c>
      <c r="AF143" s="4">
        <v>1.2978958261469473</v>
      </c>
      <c r="AG143" s="4">
        <v>1.1056275519261494</v>
      </c>
      <c r="AH143" s="4">
        <v>1.1435512980702485</v>
      </c>
      <c r="AI143" s="4">
        <v>1.301311475409836</v>
      </c>
      <c r="AJ143" s="4">
        <v>1.2622767782524686</v>
      </c>
      <c r="AK143" s="4">
        <v>1.1345677556315603</v>
      </c>
      <c r="AM143" s="450">
        <v>45799</v>
      </c>
      <c r="AN143" s="451">
        <v>211.04</v>
      </c>
      <c r="AO143" s="451">
        <v>1365766</v>
      </c>
      <c r="AP143" s="451">
        <v>239.59891999999999</v>
      </c>
      <c r="AQ143" s="451">
        <v>50564.956076799994</v>
      </c>
      <c r="AR143" s="451">
        <v>0.58509999999999995</v>
      </c>
    </row>
    <row r="144" spans="2:44">
      <c r="B144" s="452">
        <v>44965</v>
      </c>
      <c r="C144" s="448">
        <v>8.9013000000000009</v>
      </c>
      <c r="D144" s="448">
        <v>10.408300000000001</v>
      </c>
      <c r="E144" s="448">
        <v>5.4302999999999999</v>
      </c>
      <c r="F144" s="448">
        <v>19.080500000000001</v>
      </c>
      <c r="G144" s="448">
        <v>9.9617000000000004</v>
      </c>
      <c r="H144" s="448">
        <v>11.129</v>
      </c>
      <c r="I144" s="452">
        <v>44965</v>
      </c>
      <c r="J144" s="448">
        <v>11.5023</v>
      </c>
      <c r="K144" s="448">
        <v>14.396599999999999</v>
      </c>
      <c r="L144" s="448">
        <v>9.3369999999999997</v>
      </c>
      <c r="M144" s="448">
        <v>30.0852</v>
      </c>
      <c r="N144" s="448">
        <v>15.9436</v>
      </c>
      <c r="O144" s="448">
        <v>21.609200000000001</v>
      </c>
      <c r="P144" s="448"/>
      <c r="Q144" s="452">
        <v>44965</v>
      </c>
      <c r="R144" s="4">
        <v>188.74</v>
      </c>
      <c r="S144" s="4">
        <v>11205.78</v>
      </c>
      <c r="T144" s="4">
        <v>915.48</v>
      </c>
      <c r="U144" s="4">
        <v>1.302104173853053</v>
      </c>
      <c r="V144" s="4">
        <v>0.99414731519063149</v>
      </c>
      <c r="W144" s="4">
        <v>1.1280218832400994</v>
      </c>
      <c r="Y144" s="448">
        <v>188.74</v>
      </c>
      <c r="Z144" s="4">
        <v>186.36</v>
      </c>
      <c r="AA144" s="4">
        <v>41.414999999999999</v>
      </c>
      <c r="AB144" s="4">
        <v>182.95</v>
      </c>
      <c r="AC144" s="4">
        <v>43.98</v>
      </c>
      <c r="AD144" s="4">
        <v>197.73</v>
      </c>
      <c r="AF144" s="4">
        <v>1.302104173853053</v>
      </c>
      <c r="AG144" s="4">
        <v>1.1027871471684716</v>
      </c>
      <c r="AH144" s="4">
        <v>1.1499375260308204</v>
      </c>
      <c r="AI144" s="4">
        <v>1.3329690346083787</v>
      </c>
      <c r="AJ144" s="4">
        <v>1.4702047856870648</v>
      </c>
      <c r="AK144" s="4">
        <v>1.1659983488618939</v>
      </c>
      <c r="AM144" s="450">
        <v>45798</v>
      </c>
      <c r="AN144" s="451">
        <v>206.57</v>
      </c>
      <c r="AO144" s="451">
        <v>1369519</v>
      </c>
      <c r="AP144" s="451">
        <v>239.59891999999999</v>
      </c>
      <c r="AQ144" s="451">
        <v>49493.9489044</v>
      </c>
      <c r="AR144" s="451">
        <v>0.57269999999999999</v>
      </c>
    </row>
    <row r="145" spans="2:44">
      <c r="B145" s="452">
        <v>44958</v>
      </c>
      <c r="C145" s="448">
        <v>8.7093000000000007</v>
      </c>
      <c r="D145" s="448">
        <v>10.338200000000001</v>
      </c>
      <c r="E145" s="448">
        <v>5.3548999999999998</v>
      </c>
      <c r="F145" s="448">
        <v>19.170300000000001</v>
      </c>
      <c r="G145" s="448">
        <v>9.8419000000000008</v>
      </c>
      <c r="H145" s="448">
        <v>11.036300000000001</v>
      </c>
      <c r="I145" s="452">
        <v>44958</v>
      </c>
      <c r="J145" s="448">
        <v>11.0976</v>
      </c>
      <c r="K145" s="448">
        <v>14.29</v>
      </c>
      <c r="L145" s="448">
        <v>9.1645000000000003</v>
      </c>
      <c r="M145" s="448">
        <v>30.226700000000001</v>
      </c>
      <c r="N145" s="448">
        <v>15.6463</v>
      </c>
      <c r="O145" s="448">
        <v>21.415800000000001</v>
      </c>
      <c r="P145" s="448"/>
      <c r="Q145" s="452">
        <v>44958</v>
      </c>
      <c r="R145" s="4">
        <v>177.27</v>
      </c>
      <c r="S145" s="4">
        <v>10862.64</v>
      </c>
      <c r="T145" s="4">
        <v>887.83</v>
      </c>
      <c r="U145" s="4">
        <v>1.2229734391169371</v>
      </c>
      <c r="V145" s="4">
        <v>0.96370483731452516</v>
      </c>
      <c r="W145" s="4">
        <v>1.0939525370265408</v>
      </c>
      <c r="Y145" s="448">
        <v>177.27</v>
      </c>
      <c r="Z145" s="4">
        <v>184.98</v>
      </c>
      <c r="AA145" s="4">
        <v>40.65</v>
      </c>
      <c r="AB145" s="4">
        <v>183.81</v>
      </c>
      <c r="AC145" s="4">
        <v>43.16</v>
      </c>
      <c r="AD145" s="4">
        <v>195.96</v>
      </c>
      <c r="AF145" s="4">
        <v>1.2229734391169371</v>
      </c>
      <c r="AG145" s="4">
        <v>1.0946209834901472</v>
      </c>
      <c r="AH145" s="4">
        <v>1.1286963765097875</v>
      </c>
      <c r="AI145" s="4">
        <v>1.3392349726775956</v>
      </c>
      <c r="AJ145" s="4">
        <v>1.4427930548034043</v>
      </c>
      <c r="AK145" s="4">
        <v>1.1555607972638282</v>
      </c>
      <c r="AM145" s="450">
        <v>45797</v>
      </c>
      <c r="AN145" s="451">
        <v>205.12</v>
      </c>
      <c r="AO145" s="451">
        <v>1182198</v>
      </c>
      <c r="AP145" s="451">
        <v>239.59891999999999</v>
      </c>
      <c r="AQ145" s="451">
        <v>49146.530470400001</v>
      </c>
      <c r="AR145" s="451">
        <v>0.56869999999999998</v>
      </c>
    </row>
    <row r="146" spans="2:44">
      <c r="B146" s="452">
        <v>44951</v>
      </c>
      <c r="C146" s="448">
        <v>8.3369</v>
      </c>
      <c r="D146" s="448">
        <v>9.9559999999999995</v>
      </c>
      <c r="E146" s="448">
        <v>5.2614000000000001</v>
      </c>
      <c r="F146" s="448">
        <v>16.713999999999999</v>
      </c>
      <c r="G146" s="448">
        <v>9.0877999999999997</v>
      </c>
      <c r="H146" s="448">
        <v>10.651199999999999</v>
      </c>
      <c r="I146" s="452">
        <v>44951</v>
      </c>
      <c r="J146" s="448">
        <v>10.3124</v>
      </c>
      <c r="K146" s="448">
        <v>13.709099999999999</v>
      </c>
      <c r="L146" s="448">
        <v>8.9504000000000001</v>
      </c>
      <c r="M146" s="448">
        <v>26.357299999999999</v>
      </c>
      <c r="N146" s="448">
        <v>13.775700000000001</v>
      </c>
      <c r="O146" s="448">
        <v>20.612500000000001</v>
      </c>
      <c r="P146" s="448"/>
      <c r="Q146" s="452">
        <v>44951</v>
      </c>
      <c r="R146" s="4">
        <v>177.05</v>
      </c>
      <c r="S146" s="4">
        <v>10822.51</v>
      </c>
      <c r="T146" s="4">
        <v>895.55</v>
      </c>
      <c r="U146" s="4">
        <v>1.2214556743704728</v>
      </c>
      <c r="V146" s="4">
        <v>0.96014460931088785</v>
      </c>
      <c r="W146" s="4">
        <v>1.1034648463490968</v>
      </c>
      <c r="Y146" s="448">
        <v>177.05</v>
      </c>
      <c r="Z146" s="4">
        <v>177.46</v>
      </c>
      <c r="AA146" s="4">
        <v>39.700000000000003</v>
      </c>
      <c r="AB146" s="4">
        <v>160.28</v>
      </c>
      <c r="AC146" s="4">
        <v>38</v>
      </c>
      <c r="AD146" s="4">
        <v>188.61</v>
      </c>
      <c r="AF146" s="4">
        <v>1.2214556743704728</v>
      </c>
      <c r="AG146" s="4">
        <v>1.0501213089531924</v>
      </c>
      <c r="AH146" s="4">
        <v>1.102318478411773</v>
      </c>
      <c r="AI146" s="4">
        <v>1.1677959927140256</v>
      </c>
      <c r="AJ146" s="4">
        <v>1.2702997238769547</v>
      </c>
      <c r="AK146" s="4">
        <v>1.1122184219837246</v>
      </c>
      <c r="AM146" s="450">
        <v>45796</v>
      </c>
      <c r="AN146" s="451">
        <v>207.55</v>
      </c>
      <c r="AO146" s="451">
        <v>1107414</v>
      </c>
      <c r="AP146" s="451">
        <v>239.59891999999999</v>
      </c>
      <c r="AQ146" s="451">
        <v>49728.755846</v>
      </c>
      <c r="AR146" s="451">
        <v>0.57540000000000002</v>
      </c>
    </row>
    <row r="147" spans="2:44">
      <c r="B147" s="452">
        <v>44944</v>
      </c>
      <c r="C147" s="448">
        <v>8.3331999999999997</v>
      </c>
      <c r="D147" s="448">
        <v>9.9184000000000001</v>
      </c>
      <c r="E147" s="448">
        <v>5.3367000000000004</v>
      </c>
      <c r="F147" s="448">
        <v>16.458200000000001</v>
      </c>
      <c r="G147" s="448">
        <v>9.0146999999999995</v>
      </c>
      <c r="H147" s="448">
        <v>10.463100000000001</v>
      </c>
      <c r="I147" s="452">
        <v>44944</v>
      </c>
      <c r="J147" s="448">
        <v>10.3047</v>
      </c>
      <c r="K147" s="448">
        <v>13.651899999999999</v>
      </c>
      <c r="L147" s="448">
        <v>9.1227999999999998</v>
      </c>
      <c r="M147" s="448">
        <v>25.9544</v>
      </c>
      <c r="N147" s="448">
        <v>13.5944</v>
      </c>
      <c r="O147" s="448">
        <v>20.220199999999998</v>
      </c>
      <c r="P147" s="448"/>
      <c r="Q147" s="452">
        <v>44944</v>
      </c>
      <c r="R147" s="4">
        <v>164.35</v>
      </c>
      <c r="S147" s="4">
        <v>11072.42</v>
      </c>
      <c r="T147" s="4">
        <v>871.02</v>
      </c>
      <c r="U147" s="4">
        <v>1.1338392549154881</v>
      </c>
      <c r="V147" s="4">
        <v>0.98231596690842149</v>
      </c>
      <c r="W147" s="4">
        <v>1.073239853126001</v>
      </c>
      <c r="Y147" s="448">
        <v>164.35</v>
      </c>
      <c r="Z147" s="4">
        <v>176.72</v>
      </c>
      <c r="AA147" s="4">
        <v>40.465000000000003</v>
      </c>
      <c r="AB147" s="4">
        <v>157.83000000000001</v>
      </c>
      <c r="AC147" s="4">
        <v>37.5</v>
      </c>
      <c r="AD147" s="4">
        <v>185.02</v>
      </c>
      <c r="AF147" s="4">
        <v>1.1338392549154881</v>
      </c>
      <c r="AG147" s="4">
        <v>1.045742351618439</v>
      </c>
      <c r="AH147" s="4">
        <v>1.1235596279328059</v>
      </c>
      <c r="AI147" s="4">
        <v>1.1499453551912568</v>
      </c>
      <c r="AJ147" s="4">
        <v>1.2535852538259422</v>
      </c>
      <c r="AK147" s="4">
        <v>1.091048472697252</v>
      </c>
      <c r="AM147" s="450">
        <v>45795</v>
      </c>
      <c r="AN147" s="451">
        <v>207.55</v>
      </c>
      <c r="AO147" s="451">
        <v>1107414</v>
      </c>
      <c r="AP147" s="451">
        <v>239.59891999999999</v>
      </c>
      <c r="AQ147" s="451">
        <v>49728.755846</v>
      </c>
      <c r="AR147" s="451">
        <v>0.57540000000000002</v>
      </c>
    </row>
    <row r="148" spans="2:44">
      <c r="B148" s="452">
        <v>44937</v>
      </c>
      <c r="C148" s="448">
        <v>8.4512</v>
      </c>
      <c r="D148" s="448">
        <v>10.198399999999999</v>
      </c>
      <c r="E148" s="448">
        <v>5.0495999999999999</v>
      </c>
      <c r="F148" s="448">
        <v>16.323499999999999</v>
      </c>
      <c r="G148" s="448">
        <v>9.0497999999999994</v>
      </c>
      <c r="H148" s="448">
        <v>10.2357</v>
      </c>
      <c r="I148" s="452">
        <v>44937</v>
      </c>
      <c r="J148" s="448">
        <v>10.5534</v>
      </c>
      <c r="K148" s="448">
        <v>14.0776</v>
      </c>
      <c r="L148" s="448">
        <v>8.4657</v>
      </c>
      <c r="M148" s="448">
        <v>25.7422</v>
      </c>
      <c r="N148" s="448">
        <v>13.6814</v>
      </c>
      <c r="O148" s="448">
        <v>19.745899999999999</v>
      </c>
      <c r="P148" s="448"/>
      <c r="Q148" s="452">
        <v>44937</v>
      </c>
      <c r="R148" s="4">
        <v>176.88</v>
      </c>
      <c r="S148" s="4">
        <v>11834.21</v>
      </c>
      <c r="T148" s="4">
        <v>923.6</v>
      </c>
      <c r="U148" s="4">
        <v>1.2202828561572956</v>
      </c>
      <c r="V148" s="4">
        <v>1.0498999711668551</v>
      </c>
      <c r="W148" s="4">
        <v>1.1380270583306635</v>
      </c>
      <c r="Y148" s="448">
        <v>176.88</v>
      </c>
      <c r="Z148" s="4">
        <v>182.23</v>
      </c>
      <c r="AA148" s="4">
        <v>37.549999999999997</v>
      </c>
      <c r="AB148" s="4">
        <v>156.54</v>
      </c>
      <c r="AC148" s="4">
        <v>37.74</v>
      </c>
      <c r="AD148" s="4">
        <v>180.68</v>
      </c>
      <c r="AF148" s="4">
        <v>1.2202828561572956</v>
      </c>
      <c r="AG148" s="4">
        <v>1.0783478312326171</v>
      </c>
      <c r="AH148" s="4">
        <v>1.0426211300846868</v>
      </c>
      <c r="AI148" s="4">
        <v>1.1405464480874317</v>
      </c>
      <c r="AJ148" s="4">
        <v>1.2616081994504282</v>
      </c>
      <c r="AK148" s="4">
        <v>1.0654558320556669</v>
      </c>
      <c r="AM148" s="450">
        <v>45794</v>
      </c>
      <c r="AN148" s="451">
        <v>207.55</v>
      </c>
      <c r="AO148" s="451">
        <v>1107414</v>
      </c>
      <c r="AP148" s="451">
        <v>239.59891999999999</v>
      </c>
      <c r="AQ148" s="451">
        <v>49728.755846</v>
      </c>
      <c r="AR148" s="451">
        <v>0.57540000000000002</v>
      </c>
    </row>
    <row r="149" spans="2:44">
      <c r="B149" s="452">
        <v>44930</v>
      </c>
      <c r="C149" s="448">
        <v>8.1712000000000007</v>
      </c>
      <c r="D149" s="448">
        <v>9.9382000000000001</v>
      </c>
      <c r="E149" s="448">
        <v>4.9625000000000004</v>
      </c>
      <c r="F149" s="448">
        <v>15.0557</v>
      </c>
      <c r="G149" s="448">
        <v>8.4154999999999998</v>
      </c>
      <c r="H149" s="448">
        <v>9.9369999999999994</v>
      </c>
      <c r="I149" s="452">
        <v>44930</v>
      </c>
      <c r="J149" s="448">
        <v>9.9632000000000005</v>
      </c>
      <c r="K149" s="448">
        <v>13.6821</v>
      </c>
      <c r="L149" s="448">
        <v>8.2660999999999998</v>
      </c>
      <c r="M149" s="448">
        <v>23.745000000000001</v>
      </c>
      <c r="N149" s="448">
        <v>12.1081</v>
      </c>
      <c r="O149" s="448">
        <v>19.122900000000001</v>
      </c>
      <c r="P149" s="448"/>
      <c r="Q149" s="452">
        <v>44930</v>
      </c>
      <c r="R149" s="4">
        <v>173.05</v>
      </c>
      <c r="S149" s="4">
        <v>11549.69</v>
      </c>
      <c r="T149" s="4">
        <v>889.22</v>
      </c>
      <c r="U149" s="4">
        <v>1.1938599517074855</v>
      </c>
      <c r="V149" s="4">
        <v>1.0246581054405928</v>
      </c>
      <c r="W149" s="4">
        <v>1.0956652455703688</v>
      </c>
      <c r="Y149" s="448">
        <v>173.05</v>
      </c>
      <c r="Z149" s="4">
        <v>177.11</v>
      </c>
      <c r="AA149" s="4">
        <v>36.664999999999999</v>
      </c>
      <c r="AB149" s="4">
        <v>144.39500000000001</v>
      </c>
      <c r="AC149" s="4">
        <v>33.4</v>
      </c>
      <c r="AD149" s="4">
        <v>174.98</v>
      </c>
      <c r="AF149" s="4">
        <v>1.1938599517074855</v>
      </c>
      <c r="AG149" s="4">
        <v>1.0480501804840523</v>
      </c>
      <c r="AH149" s="4">
        <v>1.0180480355407469</v>
      </c>
      <c r="AI149" s="4">
        <v>1.0520582877959928</v>
      </c>
      <c r="AJ149" s="4">
        <v>1.116526599407639</v>
      </c>
      <c r="AK149" s="4">
        <v>1.0318433777568108</v>
      </c>
      <c r="AM149" s="450">
        <v>45793</v>
      </c>
      <c r="AN149" s="451">
        <v>207.55</v>
      </c>
      <c r="AO149" s="451">
        <v>1107414</v>
      </c>
      <c r="AP149" s="451">
        <v>239.59891999999999</v>
      </c>
      <c r="AQ149" s="451">
        <v>49728.755846</v>
      </c>
      <c r="AR149" s="451">
        <v>0.57540000000000002</v>
      </c>
    </row>
    <row r="150" spans="2:44">
      <c r="B150" s="452">
        <v>44923</v>
      </c>
      <c r="C150" s="448">
        <v>7.9524999999999997</v>
      </c>
      <c r="D150" s="448">
        <v>9.2522000000000002</v>
      </c>
      <c r="E150" s="448">
        <v>4.7770000000000001</v>
      </c>
      <c r="F150" s="448">
        <v>15.049899999999999</v>
      </c>
      <c r="G150" s="448">
        <v>9.0945999999999998</v>
      </c>
      <c r="H150" s="448">
        <v>9.6776999999999997</v>
      </c>
      <c r="I150" s="452">
        <v>44923</v>
      </c>
      <c r="J150" s="448">
        <v>9.5018999999999991</v>
      </c>
      <c r="K150" s="448">
        <v>13.442399999999999</v>
      </c>
      <c r="L150" s="448">
        <v>7.7538999999999998</v>
      </c>
      <c r="M150" s="448">
        <v>24.2285</v>
      </c>
      <c r="N150" s="448">
        <v>11.1851</v>
      </c>
      <c r="O150" s="448">
        <v>18.237400000000001</v>
      </c>
      <c r="P150" s="448"/>
      <c r="Q150" s="452">
        <v>44923</v>
      </c>
      <c r="R150" s="4">
        <v>177.82</v>
      </c>
      <c r="S150" s="4">
        <v>11503.45</v>
      </c>
      <c r="T150" s="4">
        <v>929.94</v>
      </c>
      <c r="U150" s="4">
        <v>1.2267678509830977</v>
      </c>
      <c r="V150" s="4">
        <v>1.0205558143145474</v>
      </c>
      <c r="W150" s="4">
        <v>1.1458389807535918</v>
      </c>
      <c r="Y150" s="448">
        <v>177.82</v>
      </c>
      <c r="Z150" s="4">
        <v>173.61</v>
      </c>
      <c r="AA150" s="4">
        <v>35.03</v>
      </c>
      <c r="AB150" s="4">
        <v>141.125</v>
      </c>
      <c r="AC150" s="4">
        <v>33.590000000000003</v>
      </c>
      <c r="AD150" s="4">
        <v>174.46</v>
      </c>
      <c r="AF150" s="4">
        <v>1.2267678509830977</v>
      </c>
      <c r="AG150" s="4">
        <v>1.0273388957926506</v>
      </c>
      <c r="AH150" s="4">
        <v>0.97265028460363734</v>
      </c>
      <c r="AI150" s="4">
        <v>1.0282331511839709</v>
      </c>
      <c r="AJ150" s="4">
        <v>1.1228780980270241</v>
      </c>
      <c r="AK150" s="4">
        <v>1.0287769784172662</v>
      </c>
      <c r="AM150" s="450">
        <v>45792</v>
      </c>
      <c r="AN150" s="451">
        <v>203.56</v>
      </c>
      <c r="AO150" s="451">
        <v>1272832</v>
      </c>
      <c r="AP150" s="451">
        <v>239.59891999999999</v>
      </c>
      <c r="AQ150" s="451">
        <v>48772.756155199997</v>
      </c>
      <c r="AR150" s="451">
        <v>0.56440000000000001</v>
      </c>
    </row>
    <row r="151" spans="2:44">
      <c r="B151" s="452">
        <v>44916</v>
      </c>
      <c r="C151" s="448">
        <v>7.8727999999999998</v>
      </c>
      <c r="D151" s="448">
        <v>9.4032</v>
      </c>
      <c r="E151" s="448">
        <v>4.8243</v>
      </c>
      <c r="F151" s="448">
        <v>15.322100000000001</v>
      </c>
      <c r="G151" s="448">
        <v>9.3218999999999994</v>
      </c>
      <c r="H151" s="448">
        <v>9.8606999999999996</v>
      </c>
      <c r="I151" s="452">
        <v>44916</v>
      </c>
      <c r="J151" s="448">
        <v>9.3338999999999999</v>
      </c>
      <c r="K151" s="448">
        <v>13.680099999999999</v>
      </c>
      <c r="L151" s="448">
        <v>7.8612000000000002</v>
      </c>
      <c r="M151" s="448">
        <v>24.6629</v>
      </c>
      <c r="N151" s="448">
        <v>11.694599999999999</v>
      </c>
      <c r="O151" s="448">
        <v>18.604299999999999</v>
      </c>
      <c r="P151" s="448"/>
      <c r="Q151" s="452">
        <v>44916</v>
      </c>
      <c r="R151" s="4">
        <v>175.67</v>
      </c>
      <c r="S151" s="4">
        <v>11724.84</v>
      </c>
      <c r="T151" s="4">
        <v>921.07</v>
      </c>
      <c r="U151" s="4">
        <v>1.2119351500517419</v>
      </c>
      <c r="V151" s="4">
        <v>1.0401969525583872</v>
      </c>
      <c r="W151" s="4">
        <v>1.1349096823480125</v>
      </c>
      <c r="Y151" s="448">
        <v>175.67</v>
      </c>
      <c r="Z151" s="4">
        <v>176.68</v>
      </c>
      <c r="AA151" s="4">
        <v>35.515000000000001</v>
      </c>
      <c r="AB151" s="4">
        <v>143.655</v>
      </c>
      <c r="AC151" s="4">
        <v>35.119999999999997</v>
      </c>
      <c r="AD151" s="4">
        <v>177.97</v>
      </c>
      <c r="AF151" s="4">
        <v>1.2119351500517419</v>
      </c>
      <c r="AG151" s="4">
        <v>1.0455056512219658</v>
      </c>
      <c r="AH151" s="4">
        <v>0.98611689573788697</v>
      </c>
      <c r="AI151" s="4">
        <v>1.0466666666666666</v>
      </c>
      <c r="AJ151" s="4">
        <v>1.1740243763831222</v>
      </c>
      <c r="AK151" s="4">
        <v>1.0494751739591932</v>
      </c>
      <c r="AM151" s="450">
        <v>45791</v>
      </c>
      <c r="AN151" s="451">
        <v>207.35</v>
      </c>
      <c r="AO151" s="451">
        <v>1081262</v>
      </c>
      <c r="AP151" s="451">
        <v>239.59891999999999</v>
      </c>
      <c r="AQ151" s="451">
        <v>49680.836061999995</v>
      </c>
      <c r="AR151" s="451">
        <v>0.57489999999999997</v>
      </c>
    </row>
    <row r="152" spans="2:44">
      <c r="B152" s="452">
        <v>44909</v>
      </c>
      <c r="C152" s="448">
        <v>8.2269000000000005</v>
      </c>
      <c r="D152" s="448">
        <v>9.7786000000000008</v>
      </c>
      <c r="E152" s="448">
        <v>5.1195000000000004</v>
      </c>
      <c r="F152" s="448">
        <v>16.510400000000001</v>
      </c>
      <c r="G152" s="448">
        <v>9.7246000000000006</v>
      </c>
      <c r="H152" s="448">
        <v>10.345499999999999</v>
      </c>
      <c r="I152" s="452">
        <v>44909</v>
      </c>
      <c r="J152" s="448">
        <v>9.7775999999999996</v>
      </c>
      <c r="K152" s="448">
        <v>14.270899999999999</v>
      </c>
      <c r="L152" s="448">
        <v>8.5307999999999993</v>
      </c>
      <c r="M152" s="448">
        <v>26.559100000000001</v>
      </c>
      <c r="N152" s="448">
        <v>12.597</v>
      </c>
      <c r="O152" s="448">
        <v>19.576499999999999</v>
      </c>
      <c r="P152" s="448"/>
      <c r="Q152" s="452">
        <v>44909</v>
      </c>
      <c r="R152" s="4">
        <v>176.26</v>
      </c>
      <c r="S152" s="4">
        <v>11871.15</v>
      </c>
      <c r="T152" s="4">
        <v>918.69</v>
      </c>
      <c r="U152" s="4">
        <v>1.2160055191445327</v>
      </c>
      <c r="V152" s="4">
        <v>1.053177190764522</v>
      </c>
      <c r="W152" s="4">
        <v>1.1319771310283644</v>
      </c>
      <c r="Y152" s="448">
        <v>176.26</v>
      </c>
      <c r="Z152" s="4">
        <v>184.31</v>
      </c>
      <c r="AA152" s="4">
        <v>38.54</v>
      </c>
      <c r="AB152" s="4">
        <v>154.69999999999999</v>
      </c>
      <c r="AC152" s="4">
        <v>37.83</v>
      </c>
      <c r="AD152" s="4">
        <v>187.27</v>
      </c>
      <c r="AF152" s="4">
        <v>1.2160055191445327</v>
      </c>
      <c r="AG152" s="4">
        <v>1.0906562518492218</v>
      </c>
      <c r="AH152" s="4">
        <v>1.0701096765236706</v>
      </c>
      <c r="AI152" s="4">
        <v>1.1271402550091074</v>
      </c>
      <c r="AJ152" s="4">
        <v>1.2646168040596104</v>
      </c>
      <c r="AK152" s="4">
        <v>1.1043165467625899</v>
      </c>
      <c r="AM152" s="450">
        <v>45790</v>
      </c>
      <c r="AN152" s="451">
        <v>210.45</v>
      </c>
      <c r="AO152" s="451">
        <v>1507307</v>
      </c>
      <c r="AP152" s="451">
        <v>239.59891999999999</v>
      </c>
      <c r="AQ152" s="451">
        <v>50423.592713999999</v>
      </c>
      <c r="AR152" s="451">
        <v>0.58350000000000002</v>
      </c>
    </row>
    <row r="153" spans="2:44">
      <c r="B153" s="452">
        <v>44902</v>
      </c>
      <c r="C153" s="448">
        <v>8.0715000000000003</v>
      </c>
      <c r="D153" s="448">
        <v>9.3043999999999993</v>
      </c>
      <c r="E153" s="448">
        <v>5.0960999999999999</v>
      </c>
      <c r="F153" s="448">
        <v>15.2866</v>
      </c>
      <c r="G153" s="448">
        <v>9.4110999999999994</v>
      </c>
      <c r="H153" s="448">
        <v>9.7736000000000001</v>
      </c>
      <c r="I153" s="452">
        <v>44902</v>
      </c>
      <c r="J153" s="448">
        <v>9.4596999999999998</v>
      </c>
      <c r="K153" s="448">
        <v>13.5245</v>
      </c>
      <c r="L153" s="448">
        <v>8.4777000000000005</v>
      </c>
      <c r="M153" s="448">
        <v>24.606200000000001</v>
      </c>
      <c r="N153" s="448">
        <v>11.894399999999999</v>
      </c>
      <c r="O153" s="448">
        <v>18.4297</v>
      </c>
      <c r="P153" s="448"/>
      <c r="Q153" s="452">
        <v>44902</v>
      </c>
      <c r="R153" s="4">
        <v>159.54</v>
      </c>
      <c r="S153" s="4">
        <v>11059.5</v>
      </c>
      <c r="T153" s="4">
        <v>848.39</v>
      </c>
      <c r="U153" s="4">
        <v>1.1006553984132459</v>
      </c>
      <c r="V153" s="4">
        <v>0.98116973850555589</v>
      </c>
      <c r="W153" s="4">
        <v>1.0453559723009438</v>
      </c>
      <c r="Y153" s="448">
        <v>159.54</v>
      </c>
      <c r="Z153" s="4">
        <v>174.67</v>
      </c>
      <c r="AA153" s="4">
        <v>38.299999999999997</v>
      </c>
      <c r="AB153" s="4">
        <v>143.32499999999999</v>
      </c>
      <c r="AC153" s="4">
        <v>35.72</v>
      </c>
      <c r="AD153" s="4">
        <v>176.3</v>
      </c>
      <c r="AF153" s="4">
        <v>1.1006553984132459</v>
      </c>
      <c r="AG153" s="4">
        <v>1.0336114562991892</v>
      </c>
      <c r="AH153" s="4">
        <v>1.0634457864778564</v>
      </c>
      <c r="AI153" s="4">
        <v>1.0442622950819671</v>
      </c>
      <c r="AJ153" s="4">
        <v>1.1940817404443373</v>
      </c>
      <c r="AK153" s="4">
        <v>1.0396273145418091</v>
      </c>
      <c r="AM153" s="450">
        <v>45789</v>
      </c>
      <c r="AN153" s="451">
        <v>207.77</v>
      </c>
      <c r="AO153" s="451">
        <v>2197960</v>
      </c>
      <c r="AP153" s="451">
        <v>239.59891999999999</v>
      </c>
      <c r="AQ153" s="451">
        <v>49781.467608400002</v>
      </c>
      <c r="AR153" s="451">
        <v>0.57599999999999996</v>
      </c>
    </row>
    <row r="154" spans="2:44">
      <c r="B154" s="452">
        <v>44895</v>
      </c>
      <c r="C154" s="448">
        <v>8.3384</v>
      </c>
      <c r="D154" s="448">
        <v>10.045199999999999</v>
      </c>
      <c r="E154" s="448">
        <v>5.0930999999999997</v>
      </c>
      <c r="F154" s="448">
        <v>16.145199999999999</v>
      </c>
      <c r="G154" s="448">
        <v>9.8420000000000005</v>
      </c>
      <c r="H154" s="448">
        <v>10.1693</v>
      </c>
      <c r="I154" s="452">
        <v>44895</v>
      </c>
      <c r="J154" s="448">
        <v>10.0054</v>
      </c>
      <c r="K154" s="448">
        <v>14.6906</v>
      </c>
      <c r="L154" s="448">
        <v>8.4710000000000001</v>
      </c>
      <c r="M154" s="448">
        <v>25.976199999999999</v>
      </c>
      <c r="N154" s="448">
        <v>12.860099999999999</v>
      </c>
      <c r="O154" s="448">
        <v>19.223099999999999</v>
      </c>
      <c r="P154" s="448"/>
      <c r="Q154" s="452">
        <v>44895</v>
      </c>
      <c r="R154" s="4">
        <v>158.19</v>
      </c>
      <c r="S154" s="4">
        <v>11288.95</v>
      </c>
      <c r="T154" s="4">
        <v>841.31</v>
      </c>
      <c r="U154" s="4">
        <v>1.0913418420144878</v>
      </c>
      <c r="V154" s="4">
        <v>1.001525938740657</v>
      </c>
      <c r="W154" s="4">
        <v>1.0366322482072006</v>
      </c>
      <c r="Y154" s="448">
        <v>158.19</v>
      </c>
      <c r="Z154" s="4">
        <v>189.73</v>
      </c>
      <c r="AA154" s="4">
        <v>38.270000000000003</v>
      </c>
      <c r="AB154" s="4">
        <v>151.30500000000001</v>
      </c>
      <c r="AC154" s="4">
        <v>38.619999999999997</v>
      </c>
      <c r="AD154" s="4">
        <v>183.89</v>
      </c>
      <c r="AF154" s="4">
        <v>1.0913418420144878</v>
      </c>
      <c r="AG154" s="4">
        <v>1.1227291555713355</v>
      </c>
      <c r="AH154" s="4">
        <v>1.0626128002221298</v>
      </c>
      <c r="AI154" s="4">
        <v>1.1024043715846994</v>
      </c>
      <c r="AJ154" s="4">
        <v>1.2910256667402102</v>
      </c>
      <c r="AK154" s="4">
        <v>1.0843849510555488</v>
      </c>
      <c r="AM154" s="450">
        <v>45788</v>
      </c>
      <c r="AN154" s="451">
        <v>207.77</v>
      </c>
      <c r="AO154" s="451">
        <v>2197960</v>
      </c>
      <c r="AP154" s="451">
        <v>239.59891999999999</v>
      </c>
      <c r="AQ154" s="451">
        <v>49781.467608400002</v>
      </c>
      <c r="AR154" s="451">
        <v>0.57599999999999996</v>
      </c>
    </row>
    <row r="155" spans="2:44">
      <c r="B155" s="452">
        <v>44888</v>
      </c>
      <c r="C155" s="448">
        <v>7.6222000000000003</v>
      </c>
      <c r="D155" s="448">
        <v>9.7063000000000006</v>
      </c>
      <c r="E155" s="448">
        <v>5.0579999999999998</v>
      </c>
      <c r="F155" s="448">
        <v>15.845000000000001</v>
      </c>
      <c r="G155" s="448">
        <v>9.6905000000000001</v>
      </c>
      <c r="H155" s="448">
        <v>9.9853000000000005</v>
      </c>
      <c r="I155" s="452">
        <v>44888</v>
      </c>
      <c r="J155" s="448">
        <v>8.9265000000000008</v>
      </c>
      <c r="K155" s="448">
        <v>14.1571</v>
      </c>
      <c r="L155" s="448">
        <v>8.3912999999999993</v>
      </c>
      <c r="M155" s="448">
        <v>25.497199999999999</v>
      </c>
      <c r="N155" s="448">
        <v>12.5204</v>
      </c>
      <c r="O155" s="448">
        <v>18.854099999999999</v>
      </c>
      <c r="P155" s="448"/>
      <c r="Q155" s="452">
        <v>44888</v>
      </c>
      <c r="R155" s="4">
        <v>155.80000000000001</v>
      </c>
      <c r="S155" s="4">
        <v>11669.99</v>
      </c>
      <c r="T155" s="4">
        <v>833.72</v>
      </c>
      <c r="U155" s="4">
        <v>1.074853397723353</v>
      </c>
      <c r="V155" s="4">
        <v>1.035330804888327</v>
      </c>
      <c r="W155" s="4">
        <v>1.0272801202592474</v>
      </c>
      <c r="Y155" s="448">
        <v>155.80000000000001</v>
      </c>
      <c r="Z155" s="4">
        <v>182.84</v>
      </c>
      <c r="AA155" s="4">
        <v>37.909999999999997</v>
      </c>
      <c r="AB155" s="4">
        <v>148.51499999999999</v>
      </c>
      <c r="AC155" s="4">
        <v>37.6</v>
      </c>
      <c r="AD155" s="4">
        <v>180.36</v>
      </c>
      <c r="AF155" s="4">
        <v>1.074853397723353</v>
      </c>
      <c r="AG155" s="4">
        <v>1.081957512278833</v>
      </c>
      <c r="AH155" s="4">
        <v>1.0526169651534083</v>
      </c>
      <c r="AI155" s="4">
        <v>1.0820765027322403</v>
      </c>
      <c r="AJ155" s="4">
        <v>1.2569281478361447</v>
      </c>
      <c r="AK155" s="4">
        <v>1.0635688170774855</v>
      </c>
      <c r="AM155" s="450">
        <v>45787</v>
      </c>
      <c r="AN155" s="451">
        <v>207.77</v>
      </c>
      <c r="AO155" s="451">
        <v>2197960</v>
      </c>
      <c r="AP155" s="451">
        <v>239.59891999999999</v>
      </c>
      <c r="AQ155" s="451">
        <v>49781.467608400002</v>
      </c>
      <c r="AR155" s="451">
        <v>0.57599999999999996</v>
      </c>
    </row>
    <row r="156" spans="2:44">
      <c r="B156" s="452">
        <v>44881</v>
      </c>
      <c r="C156" s="448">
        <v>7.4776999999999996</v>
      </c>
      <c r="D156" s="448">
        <v>9.4219000000000008</v>
      </c>
      <c r="E156" s="448">
        <v>5.0975000000000001</v>
      </c>
      <c r="F156" s="448">
        <v>16.390499999999999</v>
      </c>
      <c r="G156" s="448">
        <v>9.7112999999999996</v>
      </c>
      <c r="H156" s="448">
        <v>9.9878999999999998</v>
      </c>
      <c r="I156" s="452">
        <v>44881</v>
      </c>
      <c r="J156" s="448">
        <v>8.6434999999999995</v>
      </c>
      <c r="K156" s="448">
        <v>13.7095</v>
      </c>
      <c r="L156" s="448">
        <v>8.4809999999999999</v>
      </c>
      <c r="M156" s="448">
        <v>26.367699999999999</v>
      </c>
      <c r="N156" s="448">
        <v>12.5671</v>
      </c>
      <c r="O156" s="448">
        <v>18.859300000000001</v>
      </c>
      <c r="P156" s="448"/>
      <c r="Q156" s="452">
        <v>44881</v>
      </c>
      <c r="R156" s="4">
        <v>156.30000000000001</v>
      </c>
      <c r="S156" s="4">
        <v>11147.74</v>
      </c>
      <c r="T156" s="4">
        <v>832.61</v>
      </c>
      <c r="U156" s="4">
        <v>1.0783028630562264</v>
      </c>
      <c r="V156" s="4">
        <v>0.98899815911460065</v>
      </c>
      <c r="W156" s="4">
        <v>1.025912417753025</v>
      </c>
      <c r="Y156" s="448">
        <v>156.30000000000001</v>
      </c>
      <c r="Z156" s="4">
        <v>177.06</v>
      </c>
      <c r="AA156" s="4">
        <v>38.314999999999998</v>
      </c>
      <c r="AB156" s="4">
        <v>153.58500000000001</v>
      </c>
      <c r="AC156" s="4">
        <v>37.74</v>
      </c>
      <c r="AD156" s="4">
        <v>180.41</v>
      </c>
      <c r="AF156" s="4">
        <v>1.0783028630562264</v>
      </c>
      <c r="AG156" s="4">
        <v>1.0477543049884608</v>
      </c>
      <c r="AH156" s="4">
        <v>1.0638622796057198</v>
      </c>
      <c r="AI156" s="4">
        <v>1.1190163934426229</v>
      </c>
      <c r="AJ156" s="4">
        <v>1.2616081994504282</v>
      </c>
      <c r="AK156" s="4">
        <v>1.0638636631678262</v>
      </c>
      <c r="AM156" s="450">
        <v>45786</v>
      </c>
      <c r="AN156" s="451">
        <v>206.4</v>
      </c>
      <c r="AO156" s="451">
        <v>2807496</v>
      </c>
      <c r="AP156" s="451">
        <v>239.59891999999999</v>
      </c>
      <c r="AQ156" s="451">
        <v>49453.217087999998</v>
      </c>
      <c r="AR156" s="451">
        <v>0.57220000000000004</v>
      </c>
    </row>
    <row r="157" spans="2:44">
      <c r="B157" s="452">
        <v>44874</v>
      </c>
      <c r="C157" s="448">
        <v>7.1483999999999996</v>
      </c>
      <c r="D157" s="448">
        <v>8.7799999999999994</v>
      </c>
      <c r="E157" s="448">
        <v>4.8253000000000004</v>
      </c>
      <c r="F157" s="448">
        <v>15.0289</v>
      </c>
      <c r="G157" s="448">
        <v>9.2119999999999997</v>
      </c>
      <c r="H157" s="448">
        <v>9.4791000000000007</v>
      </c>
      <c r="I157" s="452">
        <v>44874</v>
      </c>
      <c r="J157" s="448">
        <v>7.9992000000000001</v>
      </c>
      <c r="K157" s="448">
        <v>12.6991</v>
      </c>
      <c r="L157" s="448">
        <v>7.8634000000000004</v>
      </c>
      <c r="M157" s="448">
        <v>24.195</v>
      </c>
      <c r="N157" s="448">
        <v>11.4482</v>
      </c>
      <c r="O157" s="448">
        <v>17.839099999999998</v>
      </c>
      <c r="P157" s="448"/>
      <c r="Q157" s="452">
        <v>44874</v>
      </c>
      <c r="R157" s="4">
        <v>152.08000000000001</v>
      </c>
      <c r="S157" s="4">
        <v>10791.35</v>
      </c>
      <c r="T157" s="4">
        <v>799.47</v>
      </c>
      <c r="U157" s="4">
        <v>1.0491893756467749</v>
      </c>
      <c r="V157" s="4">
        <v>0.95738017610397674</v>
      </c>
      <c r="W157" s="4">
        <v>0.98507848887355531</v>
      </c>
      <c r="Y157" s="448">
        <v>152.08000000000001</v>
      </c>
      <c r="Z157" s="4">
        <v>164.01</v>
      </c>
      <c r="AA157" s="4">
        <v>35.524999999999999</v>
      </c>
      <c r="AB157" s="4">
        <v>140.93</v>
      </c>
      <c r="AC157" s="4">
        <v>34.380000000000003</v>
      </c>
      <c r="AD157" s="4">
        <v>170.65</v>
      </c>
      <c r="AF157" s="4">
        <v>1.0491893756467749</v>
      </c>
      <c r="AG157" s="4">
        <v>0.97053080063909092</v>
      </c>
      <c r="AH157" s="4">
        <v>0.98639455782312924</v>
      </c>
      <c r="AI157" s="4">
        <v>1.0268123861566485</v>
      </c>
      <c r="AJ157" s="4">
        <v>1.1492869607076239</v>
      </c>
      <c r="AK157" s="4">
        <v>1.006309706333294</v>
      </c>
      <c r="AM157" s="450">
        <v>45785</v>
      </c>
      <c r="AN157" s="451">
        <v>217.94</v>
      </c>
      <c r="AO157" s="451">
        <v>3529111</v>
      </c>
      <c r="AP157" s="451">
        <v>239.59891999999999</v>
      </c>
      <c r="AQ157" s="451">
        <v>52218.188624800001</v>
      </c>
      <c r="AR157" s="451">
        <v>0.60419999999999996</v>
      </c>
    </row>
    <row r="158" spans="2:44">
      <c r="B158" s="452">
        <v>44867</v>
      </c>
      <c r="C158" s="448">
        <v>7.0583999999999998</v>
      </c>
      <c r="D158" s="448">
        <v>8.8240999999999996</v>
      </c>
      <c r="E158" s="448">
        <v>4.7789999999999999</v>
      </c>
      <c r="F158" s="448">
        <v>14.037699999999999</v>
      </c>
      <c r="G158" s="448">
        <v>8.8435000000000006</v>
      </c>
      <c r="H158" s="448">
        <v>9.3444000000000003</v>
      </c>
      <c r="I158" s="452">
        <v>44867</v>
      </c>
      <c r="J158" s="448">
        <v>7.8230000000000004</v>
      </c>
      <c r="K158" s="448">
        <v>12.7432</v>
      </c>
      <c r="L158" s="448">
        <v>7.7583000000000002</v>
      </c>
      <c r="M158" s="448">
        <v>22.352</v>
      </c>
      <c r="N158" s="448">
        <v>10.622400000000001</v>
      </c>
      <c r="O158" s="448">
        <v>17.522300000000001</v>
      </c>
      <c r="P158" s="448"/>
      <c r="Q158" s="452">
        <v>44867</v>
      </c>
      <c r="R158" s="4">
        <v>159.12</v>
      </c>
      <c r="S158" s="4">
        <v>11582.54</v>
      </c>
      <c r="T158" s="4">
        <v>843.23</v>
      </c>
      <c r="U158" s="4">
        <v>1.0977578475336325</v>
      </c>
      <c r="V158" s="4">
        <v>1.0275724710005103</v>
      </c>
      <c r="W158" s="4">
        <v>1.0389980038936395</v>
      </c>
      <c r="Y158" s="448">
        <v>159.12</v>
      </c>
      <c r="Z158" s="4">
        <v>164.58</v>
      </c>
      <c r="AA158" s="4">
        <v>35.049999999999997</v>
      </c>
      <c r="AB158" s="4">
        <v>130.19499999999999</v>
      </c>
      <c r="AC158" s="4">
        <v>31.9</v>
      </c>
      <c r="AD158" s="4">
        <v>167.62</v>
      </c>
      <c r="AF158" s="4">
        <v>1.0977578475336325</v>
      </c>
      <c r="AG158" s="4">
        <v>0.9739037812888337</v>
      </c>
      <c r="AH158" s="4">
        <v>0.97320560877412177</v>
      </c>
      <c r="AI158" s="4">
        <v>0.94859744990892525</v>
      </c>
      <c r="AJ158" s="4">
        <v>1.0663831892546014</v>
      </c>
      <c r="AK158" s="4">
        <v>0.988442033258639</v>
      </c>
      <c r="AM158" s="450">
        <v>45784</v>
      </c>
      <c r="AN158" s="451">
        <v>198.07</v>
      </c>
      <c r="AO158" s="451">
        <v>2407582</v>
      </c>
      <c r="AP158" s="451">
        <v>239.59891999999999</v>
      </c>
      <c r="AQ158" s="451">
        <v>47457.358084399995</v>
      </c>
      <c r="AR158" s="451">
        <v>0.54910000000000003</v>
      </c>
    </row>
    <row r="159" spans="2:44">
      <c r="B159" s="452">
        <v>44860</v>
      </c>
      <c r="C159" s="448">
        <v>7.1463000000000001</v>
      </c>
      <c r="D159" s="448">
        <v>9.0609999999999999</v>
      </c>
      <c r="E159" s="448">
        <v>4.8731</v>
      </c>
      <c r="F159" s="448">
        <v>14.8057</v>
      </c>
      <c r="G159" s="448">
        <v>11.581899999999999</v>
      </c>
      <c r="H159" s="448">
        <v>9.4468999999999994</v>
      </c>
      <c r="I159" s="452">
        <v>44860</v>
      </c>
      <c r="J159" s="448">
        <v>7.9950999999999999</v>
      </c>
      <c r="K159" s="448">
        <v>13.0847</v>
      </c>
      <c r="L159" s="448">
        <v>7.9718999999999998</v>
      </c>
      <c r="M159" s="448">
        <v>23.563300000000002</v>
      </c>
      <c r="N159" s="448">
        <v>9.9611000000000001</v>
      </c>
      <c r="O159" s="448">
        <v>17.7272</v>
      </c>
      <c r="P159" s="448"/>
      <c r="Q159" s="452">
        <v>44860</v>
      </c>
      <c r="R159" s="4">
        <v>144.94999999999999</v>
      </c>
      <c r="S159" s="4">
        <v>11271.75</v>
      </c>
      <c r="T159" s="4">
        <v>811.58</v>
      </c>
      <c r="U159" s="4">
        <v>1</v>
      </c>
      <c r="V159" s="4">
        <v>1</v>
      </c>
      <c r="W159" s="4">
        <v>1</v>
      </c>
      <c r="Y159" s="448">
        <v>144.94999999999999</v>
      </c>
      <c r="Z159" s="4">
        <v>168.99</v>
      </c>
      <c r="AA159" s="4">
        <v>36.015000000000001</v>
      </c>
      <c r="AB159" s="4">
        <v>137.25</v>
      </c>
      <c r="AC159" s="4">
        <v>29.914200000000001</v>
      </c>
      <c r="AD159" s="4">
        <v>169.58</v>
      </c>
      <c r="AF159" s="4">
        <v>1</v>
      </c>
      <c r="AG159" s="4">
        <v>1</v>
      </c>
      <c r="AH159" s="4">
        <v>1</v>
      </c>
      <c r="AI159" s="4">
        <v>1</v>
      </c>
      <c r="AJ159" s="4">
        <v>1</v>
      </c>
      <c r="AK159" s="4">
        <v>1</v>
      </c>
      <c r="AM159" s="450">
        <v>45783</v>
      </c>
      <c r="AN159" s="451">
        <v>205.23</v>
      </c>
      <c r="AO159" s="451">
        <v>3023810</v>
      </c>
      <c r="AP159" s="451">
        <v>239.59891999999999</v>
      </c>
      <c r="AQ159" s="451">
        <v>49172.886351599998</v>
      </c>
      <c r="AR159" s="451">
        <v>0.56899999999999995</v>
      </c>
    </row>
    <row r="160" spans="2:44">
      <c r="B160" s="452">
        <v>44853</v>
      </c>
      <c r="I160" s="452">
        <v>44853</v>
      </c>
      <c r="Q160" s="452">
        <v>44853</v>
      </c>
      <c r="R160" s="4">
        <v>157.4</v>
      </c>
      <c r="S160" s="4">
        <v>11851.54</v>
      </c>
      <c r="T160" s="4">
        <v>863.62</v>
      </c>
      <c r="AM160" s="450">
        <v>45782</v>
      </c>
      <c r="AN160" s="451">
        <v>210.12</v>
      </c>
      <c r="AO160" s="451">
        <v>3618718</v>
      </c>
      <c r="AP160" s="451">
        <v>239.59891999999999</v>
      </c>
      <c r="AQ160" s="451">
        <v>50344.525070399999</v>
      </c>
      <c r="AR160" s="451">
        <v>0.58250000000000002</v>
      </c>
    </row>
    <row r="161" spans="2:44">
      <c r="B161" s="452">
        <v>44846</v>
      </c>
      <c r="I161" s="452">
        <v>44846</v>
      </c>
      <c r="Q161" s="452">
        <v>44846</v>
      </c>
      <c r="R161" s="4">
        <v>205.34</v>
      </c>
      <c r="S161" s="4">
        <v>12033.62</v>
      </c>
      <c r="T161" s="4">
        <v>981.33</v>
      </c>
      <c r="Y161" s="448"/>
      <c r="AM161" s="450">
        <v>45781</v>
      </c>
      <c r="AN161" s="451">
        <v>210.12</v>
      </c>
      <c r="AO161" s="451">
        <v>3618718</v>
      </c>
      <c r="AP161" s="451">
        <v>239.59891999999999</v>
      </c>
      <c r="AQ161" s="451">
        <v>50344.525070399999</v>
      </c>
      <c r="AR161" s="451">
        <v>0.58250000000000002</v>
      </c>
    </row>
    <row r="162" spans="2:44">
      <c r="B162" s="452">
        <v>44839</v>
      </c>
      <c r="I162" s="452">
        <v>44839</v>
      </c>
      <c r="Q162" s="452">
        <v>44839</v>
      </c>
      <c r="R162" s="4">
        <v>204.17</v>
      </c>
      <c r="S162" s="4">
        <v>12011.31</v>
      </c>
      <c r="T162" s="4">
        <v>992.88</v>
      </c>
      <c r="AM162" s="450">
        <v>45780</v>
      </c>
      <c r="AN162" s="451">
        <v>210.12</v>
      </c>
      <c r="AO162" s="451">
        <v>3618718</v>
      </c>
      <c r="AP162" s="451">
        <v>239.59891999999999</v>
      </c>
      <c r="AQ162" s="451">
        <v>50344.525070399999</v>
      </c>
      <c r="AR162" s="451">
        <v>0.58250000000000002</v>
      </c>
    </row>
    <row r="163" spans="2:44">
      <c r="AM163" s="450">
        <v>45779</v>
      </c>
      <c r="AN163" s="451">
        <v>215.86</v>
      </c>
      <c r="AO163" s="451">
        <v>5066456</v>
      </c>
      <c r="AP163" s="451">
        <v>239.59891999999999</v>
      </c>
      <c r="AQ163" s="451">
        <v>51719.822871199998</v>
      </c>
      <c r="AR163" s="451">
        <v>0.59850000000000003</v>
      </c>
    </row>
    <row r="164" spans="2:44" ht="15">
      <c r="B164" s="659" t="s">
        <v>21</v>
      </c>
      <c r="C164" s="660"/>
      <c r="D164" s="661"/>
      <c r="E164" s="4">
        <v>0.96032261848449707</v>
      </c>
      <c r="F164" s="4" t="s">
        <v>812</v>
      </c>
      <c r="AM164" s="450">
        <v>45778</v>
      </c>
      <c r="AN164" s="451">
        <v>245.17</v>
      </c>
      <c r="AO164" s="451">
        <v>990882</v>
      </c>
      <c r="AP164" s="451">
        <v>239.59891999999999</v>
      </c>
      <c r="AQ164" s="451">
        <v>58742.467216399993</v>
      </c>
      <c r="AR164" s="451">
        <v>0.67969999999999997</v>
      </c>
    </row>
    <row r="165" spans="2:44" ht="15">
      <c r="B165" s="659" t="s">
        <v>22</v>
      </c>
      <c r="C165" s="661"/>
      <c r="D165" s="661"/>
      <c r="E165" s="4">
        <v>0.42049285888671872</v>
      </c>
      <c r="F165" s="4" t="s">
        <v>813</v>
      </c>
      <c r="AM165" s="450">
        <v>45777</v>
      </c>
      <c r="AN165" s="451">
        <v>241.98</v>
      </c>
      <c r="AO165" s="451">
        <v>1369845</v>
      </c>
      <c r="AP165" s="451">
        <v>239.59891999999999</v>
      </c>
      <c r="AQ165" s="451">
        <v>57978.146661599996</v>
      </c>
      <c r="AR165" s="451">
        <v>0.67090000000000005</v>
      </c>
    </row>
    <row r="166" spans="2:44" ht="15">
      <c r="B166" s="659" t="s">
        <v>23</v>
      </c>
      <c r="C166" s="661"/>
      <c r="D166" s="661"/>
      <c r="E166" s="4">
        <v>228.79580688476563</v>
      </c>
      <c r="F166" s="4" t="s">
        <v>814</v>
      </c>
      <c r="AM166" s="450">
        <v>45776</v>
      </c>
      <c r="AN166" s="451">
        <v>243.78</v>
      </c>
      <c r="AO166" s="451">
        <v>2080727</v>
      </c>
      <c r="AP166" s="451">
        <v>239.59891999999999</v>
      </c>
      <c r="AQ166" s="451">
        <v>58409.424717599999</v>
      </c>
      <c r="AR166" s="451">
        <v>0.67589999999999995</v>
      </c>
    </row>
    <row r="167" spans="2:44" ht="15">
      <c r="B167" s="659"/>
      <c r="C167" s="661"/>
      <c r="D167" s="661"/>
      <c r="AM167" s="450">
        <v>45775</v>
      </c>
      <c r="AN167" s="451">
        <v>241.71</v>
      </c>
      <c r="AO167" s="451">
        <v>1679844</v>
      </c>
      <c r="AP167" s="451">
        <v>239.59891999999999</v>
      </c>
      <c r="AQ167" s="451">
        <v>57913.454953200002</v>
      </c>
      <c r="AR167" s="451">
        <v>0.67010000000000003</v>
      </c>
    </row>
    <row r="168" spans="2:44" ht="15">
      <c r="B168" s="659" t="s">
        <v>25</v>
      </c>
      <c r="C168" s="661"/>
      <c r="D168" s="661"/>
      <c r="E168" s="4">
        <v>2225232.25</v>
      </c>
      <c r="F168" s="4" t="s">
        <v>815</v>
      </c>
      <c r="AM168" s="450">
        <v>45774</v>
      </c>
      <c r="AN168" s="451">
        <v>241.71</v>
      </c>
      <c r="AO168" s="451">
        <v>1679844</v>
      </c>
      <c r="AP168" s="451">
        <v>239.59891999999999</v>
      </c>
      <c r="AQ168" s="451">
        <v>57913.454953200002</v>
      </c>
      <c r="AR168" s="451">
        <v>0.67010000000000003</v>
      </c>
    </row>
    <row r="169" spans="2:44" ht="15">
      <c r="B169" s="659" t="s">
        <v>598</v>
      </c>
      <c r="C169" s="661"/>
      <c r="D169" s="661"/>
      <c r="E169" s="4">
        <v>235.9555</v>
      </c>
      <c r="F169" s="4" t="s">
        <v>816</v>
      </c>
      <c r="AM169" s="450">
        <v>45773</v>
      </c>
      <c r="AN169" s="451">
        <v>241.71</v>
      </c>
      <c r="AO169" s="451">
        <v>1679844</v>
      </c>
      <c r="AP169" s="451">
        <v>239.59891999999999</v>
      </c>
      <c r="AQ169" s="451">
        <v>57913.454953200002</v>
      </c>
      <c r="AR169" s="451">
        <v>0.67010000000000003</v>
      </c>
    </row>
    <row r="170" spans="2:44" ht="15">
      <c r="B170" s="659" t="s">
        <v>28</v>
      </c>
      <c r="C170" s="661"/>
      <c r="D170" s="661"/>
      <c r="E170" s="472">
        <v>0.91444500000000006</v>
      </c>
      <c r="F170" s="4" t="s">
        <v>817</v>
      </c>
      <c r="AM170" s="450">
        <v>45772</v>
      </c>
      <c r="AN170" s="451">
        <v>243.92</v>
      </c>
      <c r="AO170" s="451">
        <v>1674358</v>
      </c>
      <c r="AP170" s="451">
        <v>239.59891999999999</v>
      </c>
      <c r="AQ170" s="451">
        <v>58442.968566399992</v>
      </c>
      <c r="AR170" s="451">
        <v>0.67630000000000001</v>
      </c>
    </row>
    <row r="171" spans="2:44" ht="15">
      <c r="B171" s="659" t="s">
        <v>30</v>
      </c>
      <c r="C171" s="661"/>
      <c r="D171" s="661"/>
      <c r="E171" s="472">
        <v>2.028042E-2</v>
      </c>
      <c r="F171" s="4" t="s">
        <v>818</v>
      </c>
      <c r="AM171" s="450">
        <v>45771</v>
      </c>
      <c r="AN171" s="451">
        <v>243.67</v>
      </c>
      <c r="AO171" s="451">
        <v>2191544</v>
      </c>
      <c r="AP171" s="451">
        <v>239.59891999999999</v>
      </c>
      <c r="AQ171" s="451">
        <v>58383.068836399994</v>
      </c>
      <c r="AR171" s="451">
        <v>0.67559999999999998</v>
      </c>
    </row>
    <row r="172" spans="2:44" ht="15">
      <c r="B172" s="659"/>
      <c r="C172" s="661"/>
      <c r="D172" s="661"/>
      <c r="AM172" s="450">
        <v>45770</v>
      </c>
      <c r="AN172" s="451">
        <v>241.07</v>
      </c>
      <c r="AO172" s="451">
        <v>2668977</v>
      </c>
      <c r="AP172" s="451">
        <v>239.59891999999999</v>
      </c>
      <c r="AQ172" s="451">
        <v>57760.1116444</v>
      </c>
      <c r="AR172" s="451">
        <v>0.66839999999999999</v>
      </c>
    </row>
    <row r="173" spans="2:44" ht="15">
      <c r="B173" s="659" t="s">
        <v>819</v>
      </c>
      <c r="C173" s="661"/>
      <c r="D173" s="661"/>
      <c r="E173" s="472">
        <v>8.55175319074995E-2</v>
      </c>
      <c r="F173" s="4" t="s">
        <v>820</v>
      </c>
      <c r="AM173" s="450">
        <v>45769</v>
      </c>
      <c r="AN173" s="451">
        <v>242.32</v>
      </c>
      <c r="AO173" s="451">
        <v>3999047</v>
      </c>
      <c r="AP173" s="451">
        <v>239.59891999999999</v>
      </c>
      <c r="AQ173" s="451">
        <v>58059.610294399994</v>
      </c>
      <c r="AR173" s="451">
        <v>0.67179999999999995</v>
      </c>
    </row>
    <row r="174" spans="2:44" ht="15">
      <c r="B174" s="659" t="s">
        <v>34</v>
      </c>
      <c r="C174" s="661"/>
      <c r="D174" s="661"/>
      <c r="E174" s="472">
        <v>0.88700040312144124</v>
      </c>
      <c r="F174" s="4" t="s">
        <v>821</v>
      </c>
      <c r="AM174" s="450">
        <v>45768</v>
      </c>
      <c r="AN174" s="451">
        <v>230.33</v>
      </c>
      <c r="AO174" s="451">
        <v>9418186</v>
      </c>
      <c r="AP174" s="451">
        <v>239.59891999999999</v>
      </c>
      <c r="AQ174" s="451">
        <v>55186.819243600003</v>
      </c>
      <c r="AR174" s="451">
        <v>0.63859999999999995</v>
      </c>
    </row>
    <row r="175" spans="2:44">
      <c r="AM175" s="450">
        <v>45767</v>
      </c>
      <c r="AN175" s="451">
        <v>230.33</v>
      </c>
      <c r="AO175" s="451">
        <v>9418186</v>
      </c>
      <c r="AP175" s="451">
        <v>239.59891999999999</v>
      </c>
      <c r="AQ175" s="451">
        <v>55186.819243600003</v>
      </c>
      <c r="AR175" s="451">
        <v>0.63859999999999995</v>
      </c>
    </row>
    <row r="176" spans="2:44" ht="15">
      <c r="B176" s="659"/>
      <c r="C176" s="661"/>
      <c r="D176" s="661"/>
      <c r="AM176" s="450">
        <v>45766</v>
      </c>
      <c r="AN176" s="451">
        <v>230.33</v>
      </c>
      <c r="AO176" s="451">
        <v>9418186</v>
      </c>
      <c r="AP176" s="451">
        <v>239.59891999999999</v>
      </c>
      <c r="AQ176" s="451">
        <v>55186.819243600003</v>
      </c>
      <c r="AR176" s="451">
        <v>0.63859999999999995</v>
      </c>
    </row>
    <row r="177" spans="2:44" ht="15">
      <c r="B177" s="659"/>
      <c r="C177" s="661"/>
      <c r="D177" s="661"/>
      <c r="E177" s="472"/>
      <c r="AM177" s="450">
        <v>45765</v>
      </c>
      <c r="AN177" s="451">
        <v>246.21</v>
      </c>
      <c r="AO177" s="451">
        <v>3180148</v>
      </c>
      <c r="AP177" s="451">
        <v>239.59891999999999</v>
      </c>
      <c r="AQ177" s="451">
        <v>58991.650093199998</v>
      </c>
      <c r="AR177" s="451">
        <v>0.68259999999999998</v>
      </c>
    </row>
    <row r="178" spans="2:44" ht="15">
      <c r="B178" s="659"/>
      <c r="C178" s="661"/>
      <c r="D178" s="661"/>
      <c r="E178" s="472"/>
      <c r="AM178" s="450">
        <v>45764</v>
      </c>
      <c r="AN178" s="451">
        <v>247.12</v>
      </c>
      <c r="AO178" s="451">
        <v>1491355</v>
      </c>
      <c r="AP178" s="451">
        <v>240.85059999999999</v>
      </c>
      <c r="AQ178" s="451">
        <v>59519.000271999997</v>
      </c>
      <c r="AR178" s="451">
        <v>0.68510000000000004</v>
      </c>
    </row>
    <row r="179" spans="2:44" ht="15">
      <c r="B179" s="659"/>
      <c r="C179" s="661"/>
      <c r="D179" s="661"/>
      <c r="E179" s="472"/>
      <c r="AM179" s="450">
        <v>45763</v>
      </c>
      <c r="AN179" s="451">
        <v>245.8</v>
      </c>
      <c r="AO179" s="451">
        <v>1587681</v>
      </c>
      <c r="AP179" s="451">
        <v>240.85059999999999</v>
      </c>
      <c r="AQ179" s="451">
        <v>59201.07748</v>
      </c>
      <c r="AR179" s="451">
        <v>0.68149999999999999</v>
      </c>
    </row>
    <row r="180" spans="2:44">
      <c r="AM180" s="450">
        <v>45762</v>
      </c>
      <c r="AN180" s="451">
        <v>245.3</v>
      </c>
      <c r="AO180" s="451">
        <v>1270068</v>
      </c>
      <c r="AP180" s="451">
        <v>240.85059999999999</v>
      </c>
      <c r="AQ180" s="451">
        <v>59080.652179999997</v>
      </c>
      <c r="AR180" s="451">
        <v>0.68010000000000004</v>
      </c>
    </row>
    <row r="181" spans="2:44">
      <c r="AM181" s="450">
        <v>45761</v>
      </c>
      <c r="AN181" s="451">
        <v>242.2</v>
      </c>
      <c r="AO181" s="451">
        <v>1431766</v>
      </c>
      <c r="AP181" s="451">
        <v>240.85059999999999</v>
      </c>
      <c r="AQ181" s="451">
        <v>58334.015319999991</v>
      </c>
      <c r="AR181" s="451">
        <v>0.67149999999999999</v>
      </c>
    </row>
    <row r="182" spans="2:44">
      <c r="AM182" s="450">
        <v>45760</v>
      </c>
      <c r="AN182" s="451">
        <v>242.2</v>
      </c>
      <c r="AO182" s="451">
        <v>1431766</v>
      </c>
      <c r="AP182" s="451">
        <v>240.85059999999999</v>
      </c>
      <c r="AQ182" s="451">
        <v>58334.015319999991</v>
      </c>
      <c r="AR182" s="451">
        <v>0.67149999999999999</v>
      </c>
    </row>
    <row r="183" spans="2:44">
      <c r="AM183" s="450">
        <v>45759</v>
      </c>
      <c r="AN183" s="451">
        <v>242.2</v>
      </c>
      <c r="AO183" s="451">
        <v>1431766</v>
      </c>
      <c r="AP183" s="451">
        <v>240.85059999999999</v>
      </c>
      <c r="AQ183" s="451">
        <v>58334.015319999991</v>
      </c>
      <c r="AR183" s="451">
        <v>0.67149999999999999</v>
      </c>
    </row>
    <row r="184" spans="2:44">
      <c r="AM184" s="450">
        <v>45758</v>
      </c>
      <c r="AN184" s="451">
        <v>240.98</v>
      </c>
      <c r="AO184" s="451">
        <v>1565459</v>
      </c>
      <c r="AP184" s="451">
        <v>240.85059999999999</v>
      </c>
      <c r="AQ184" s="451">
        <v>58040.177587999991</v>
      </c>
      <c r="AR184" s="451">
        <v>0.66810000000000003</v>
      </c>
    </row>
    <row r="185" spans="2:44">
      <c r="AM185" s="450">
        <v>45757</v>
      </c>
      <c r="AN185" s="451">
        <v>243.51</v>
      </c>
      <c r="AO185" s="451">
        <v>1703233</v>
      </c>
      <c r="AP185" s="451">
        <v>240.85059999999999</v>
      </c>
      <c r="AQ185" s="451">
        <v>58649.529605999996</v>
      </c>
      <c r="AR185" s="451">
        <v>0.67510000000000003</v>
      </c>
    </row>
    <row r="186" spans="2:44">
      <c r="AM186" s="450">
        <v>45756</v>
      </c>
      <c r="AN186" s="451">
        <v>242.96</v>
      </c>
      <c r="AO186" s="451">
        <v>1966073</v>
      </c>
      <c r="AP186" s="451">
        <v>240.85059999999999</v>
      </c>
      <c r="AQ186" s="451">
        <v>58517.061775999995</v>
      </c>
      <c r="AR186" s="451">
        <v>0.67359999999999998</v>
      </c>
    </row>
    <row r="187" spans="2:44">
      <c r="AM187" s="450">
        <v>45755</v>
      </c>
      <c r="AN187" s="451">
        <v>246.51</v>
      </c>
      <c r="AO187" s="451">
        <v>1658004</v>
      </c>
      <c r="AP187" s="451">
        <v>240.85059999999999</v>
      </c>
      <c r="AQ187" s="451">
        <v>59372.081405999998</v>
      </c>
      <c r="AR187" s="451">
        <v>0.68340000000000001</v>
      </c>
    </row>
    <row r="188" spans="2:44">
      <c r="AM188" s="450">
        <v>45754</v>
      </c>
      <c r="AN188" s="451">
        <v>253.92</v>
      </c>
      <c r="AO188" s="451">
        <v>1569475</v>
      </c>
      <c r="AP188" s="451">
        <v>240.85059999999999</v>
      </c>
      <c r="AQ188" s="451">
        <v>61156.784351999995</v>
      </c>
      <c r="AR188" s="451">
        <v>0.70399999999999996</v>
      </c>
    </row>
    <row r="189" spans="2:44">
      <c r="AM189" s="450">
        <v>45753</v>
      </c>
      <c r="AN189" s="451">
        <v>253.92</v>
      </c>
      <c r="AO189" s="451">
        <v>1569475</v>
      </c>
      <c r="AP189" s="451">
        <v>240.85059999999999</v>
      </c>
      <c r="AQ189" s="451">
        <v>61156.784351999995</v>
      </c>
      <c r="AR189" s="451">
        <v>0.70399999999999996</v>
      </c>
    </row>
    <row r="190" spans="2:44">
      <c r="AM190" s="450">
        <v>45752</v>
      </c>
      <c r="AN190" s="451">
        <v>253.92</v>
      </c>
      <c r="AO190" s="451">
        <v>1569475</v>
      </c>
      <c r="AP190" s="451">
        <v>240.85059999999999</v>
      </c>
      <c r="AQ190" s="451">
        <v>61156.784351999995</v>
      </c>
      <c r="AR190" s="451">
        <v>0.70399999999999996</v>
      </c>
    </row>
    <row r="191" spans="2:44">
      <c r="AM191" s="450">
        <v>45751</v>
      </c>
      <c r="AN191" s="451">
        <v>249.79</v>
      </c>
      <c r="AO191" s="451">
        <v>1902720</v>
      </c>
      <c r="AP191" s="451">
        <v>240.85059999999999</v>
      </c>
      <c r="AQ191" s="451">
        <v>60162.071373999992</v>
      </c>
      <c r="AR191" s="451">
        <v>0.6925</v>
      </c>
    </row>
    <row r="192" spans="2:44">
      <c r="AM192" s="450">
        <v>45750</v>
      </c>
      <c r="AN192" s="451">
        <v>250.41</v>
      </c>
      <c r="AO192" s="451">
        <v>1370556</v>
      </c>
      <c r="AP192" s="451">
        <v>240.85059999999999</v>
      </c>
      <c r="AQ192" s="451">
        <v>60311.398745999999</v>
      </c>
      <c r="AR192" s="451">
        <v>0.69420000000000004</v>
      </c>
    </row>
    <row r="193" spans="39:44">
      <c r="AM193" s="450">
        <v>45749</v>
      </c>
      <c r="AN193" s="451">
        <v>247.74</v>
      </c>
      <c r="AO193" s="451">
        <v>2334524</v>
      </c>
      <c r="AP193" s="451">
        <v>240.85059999999999</v>
      </c>
      <c r="AQ193" s="451">
        <v>59668.327643999997</v>
      </c>
      <c r="AR193" s="451">
        <v>0.68679999999999997</v>
      </c>
    </row>
    <row r="194" spans="39:44">
      <c r="AM194" s="450">
        <v>45748</v>
      </c>
      <c r="AN194" s="451">
        <v>258.77</v>
      </c>
      <c r="AO194" s="451">
        <v>1225714</v>
      </c>
      <c r="AP194" s="451">
        <v>240.85059999999999</v>
      </c>
      <c r="AQ194" s="451">
        <v>62324.909761999988</v>
      </c>
      <c r="AR194" s="451">
        <v>0.71740000000000004</v>
      </c>
    </row>
    <row r="195" spans="39:44">
      <c r="AM195" s="450">
        <v>45747</v>
      </c>
      <c r="AN195" s="451">
        <v>262.89999999999998</v>
      </c>
      <c r="AO195" s="451">
        <v>1963352</v>
      </c>
      <c r="AP195" s="451">
        <v>240.85059999999999</v>
      </c>
      <c r="AQ195" s="451">
        <v>63319.622739999992</v>
      </c>
      <c r="AR195" s="451">
        <v>0.72889999999999999</v>
      </c>
    </row>
    <row r="196" spans="39:44">
      <c r="AM196" s="450">
        <v>45746</v>
      </c>
      <c r="AN196" s="451">
        <v>262.89999999999998</v>
      </c>
      <c r="AO196" s="451">
        <v>1963352</v>
      </c>
      <c r="AP196" s="451">
        <v>240.85059999999999</v>
      </c>
      <c r="AQ196" s="451">
        <v>63319.622739999992</v>
      </c>
      <c r="AR196" s="451">
        <v>0.72889999999999999</v>
      </c>
    </row>
    <row r="197" spans="39:44">
      <c r="AM197" s="450">
        <v>45745</v>
      </c>
      <c r="AN197" s="451">
        <v>262.89999999999998</v>
      </c>
      <c r="AO197" s="451">
        <v>1963352</v>
      </c>
      <c r="AP197" s="451">
        <v>240.85059999999999</v>
      </c>
      <c r="AQ197" s="451">
        <v>63319.622739999992</v>
      </c>
      <c r="AR197" s="451">
        <v>0.72889999999999999</v>
      </c>
    </row>
    <row r="198" spans="39:44">
      <c r="AM198" s="450">
        <v>45744</v>
      </c>
      <c r="AN198" s="451">
        <v>258.54000000000002</v>
      </c>
      <c r="AO198" s="451">
        <v>1174743</v>
      </c>
      <c r="AP198" s="451">
        <v>240.85059999999999</v>
      </c>
      <c r="AQ198" s="451">
        <v>62269.514124000001</v>
      </c>
      <c r="AR198" s="451">
        <v>0.72550000000000003</v>
      </c>
    </row>
    <row r="199" spans="39:44">
      <c r="AM199" s="450">
        <v>45743</v>
      </c>
      <c r="AN199" s="451">
        <v>256.12</v>
      </c>
      <c r="AO199" s="451">
        <v>1096600</v>
      </c>
      <c r="AP199" s="451">
        <v>240.85059999999999</v>
      </c>
      <c r="AQ199" s="451">
        <v>61686.655672000001</v>
      </c>
      <c r="AR199" s="451">
        <v>0.71870000000000001</v>
      </c>
    </row>
    <row r="200" spans="39:44">
      <c r="AM200" s="450">
        <v>45742</v>
      </c>
      <c r="AN200" s="451">
        <v>256.48</v>
      </c>
      <c r="AO200" s="451">
        <v>1330390</v>
      </c>
      <c r="AP200" s="451">
        <v>240.85059999999999</v>
      </c>
      <c r="AQ200" s="451">
        <v>61773.361887999999</v>
      </c>
      <c r="AR200" s="451">
        <v>0.71970000000000001</v>
      </c>
    </row>
    <row r="201" spans="39:44">
      <c r="AM201" s="450">
        <v>45741</v>
      </c>
      <c r="AN201" s="451">
        <v>253.54</v>
      </c>
      <c r="AO201" s="451">
        <v>1451615</v>
      </c>
      <c r="AP201" s="451">
        <v>240.85059999999999</v>
      </c>
      <c r="AQ201" s="451">
        <v>61065.261123999997</v>
      </c>
      <c r="AR201" s="451">
        <v>0.71150000000000002</v>
      </c>
    </row>
    <row r="202" spans="39:44">
      <c r="AM202" s="450">
        <v>45740</v>
      </c>
      <c r="AN202" s="451">
        <v>254.19</v>
      </c>
      <c r="AO202" s="451">
        <v>4331309</v>
      </c>
      <c r="AP202" s="451">
        <v>240.85059999999999</v>
      </c>
      <c r="AQ202" s="451">
        <v>61221.814013999996</v>
      </c>
      <c r="AR202" s="451">
        <v>0.71330000000000005</v>
      </c>
    </row>
    <row r="203" spans="39:44">
      <c r="AM203" s="450">
        <v>45739</v>
      </c>
      <c r="AN203" s="451">
        <v>254.19</v>
      </c>
      <c r="AO203" s="451">
        <v>4331309</v>
      </c>
      <c r="AP203" s="451">
        <v>240.85059999999999</v>
      </c>
      <c r="AQ203" s="451">
        <v>61221.814013999996</v>
      </c>
      <c r="AR203" s="451">
        <v>0.71330000000000005</v>
      </c>
    </row>
    <row r="204" spans="39:44">
      <c r="AM204" s="450">
        <v>45738</v>
      </c>
      <c r="AN204" s="451">
        <v>254.19</v>
      </c>
      <c r="AO204" s="451">
        <v>4331309</v>
      </c>
      <c r="AP204" s="451">
        <v>240.85059999999999</v>
      </c>
      <c r="AQ204" s="451">
        <v>61221.814013999996</v>
      </c>
      <c r="AR204" s="451">
        <v>0.71330000000000005</v>
      </c>
    </row>
    <row r="205" spans="39:44">
      <c r="AM205" s="450">
        <v>45737</v>
      </c>
      <c r="AN205" s="451">
        <v>268.45999999999998</v>
      </c>
      <c r="AO205" s="451">
        <v>707123</v>
      </c>
      <c r="AP205" s="451">
        <v>240.85059999999999</v>
      </c>
      <c r="AQ205" s="451">
        <v>64658.75207599999</v>
      </c>
      <c r="AR205" s="451">
        <v>0.75329999999999997</v>
      </c>
    </row>
    <row r="206" spans="39:44">
      <c r="AM206" s="450">
        <v>45736</v>
      </c>
      <c r="AN206" s="451">
        <v>266.87</v>
      </c>
      <c r="AO206" s="451">
        <v>957199</v>
      </c>
      <c r="AP206" s="451">
        <v>240.85059999999999</v>
      </c>
      <c r="AQ206" s="451">
        <v>64275.799621999999</v>
      </c>
      <c r="AR206" s="451">
        <v>0.74890000000000001</v>
      </c>
    </row>
    <row r="207" spans="39:44">
      <c r="AM207" s="450">
        <v>45735</v>
      </c>
      <c r="AN207" s="451">
        <v>267.45</v>
      </c>
      <c r="AO207" s="451">
        <v>927785</v>
      </c>
      <c r="AP207" s="451">
        <v>240.85059999999999</v>
      </c>
      <c r="AQ207" s="451">
        <v>64415.492969999992</v>
      </c>
      <c r="AR207" s="451">
        <v>0.75049999999999994</v>
      </c>
    </row>
    <row r="208" spans="39:44">
      <c r="AM208" s="450">
        <v>45734</v>
      </c>
      <c r="AN208" s="451">
        <v>267.77</v>
      </c>
      <c r="AO208" s="451">
        <v>1265262</v>
      </c>
      <c r="AP208" s="451">
        <v>240.85059999999999</v>
      </c>
      <c r="AQ208" s="451">
        <v>64492.565161999992</v>
      </c>
      <c r="AR208" s="451">
        <v>0.75139999999999996</v>
      </c>
    </row>
    <row r="209" spans="39:44">
      <c r="AM209" s="450">
        <v>45733</v>
      </c>
      <c r="AN209" s="451">
        <v>267.77</v>
      </c>
      <c r="AO209" s="451">
        <v>1265262</v>
      </c>
      <c r="AP209" s="451">
        <v>240.85059999999999</v>
      </c>
      <c r="AQ209" s="451">
        <v>64492.565161999992</v>
      </c>
      <c r="AR209" s="451">
        <v>0.75139999999999996</v>
      </c>
    </row>
    <row r="210" spans="39:44">
      <c r="AM210" s="450">
        <v>45732</v>
      </c>
      <c r="AN210" s="451">
        <v>267.77</v>
      </c>
      <c r="AO210" s="451">
        <v>1265262</v>
      </c>
      <c r="AP210" s="451">
        <v>240.85059999999999</v>
      </c>
      <c r="AQ210" s="451">
        <v>64492.565161999992</v>
      </c>
      <c r="AR210" s="451">
        <v>0.75139999999999996</v>
      </c>
    </row>
    <row r="211" spans="39:44">
      <c r="AM211" s="450">
        <v>45731</v>
      </c>
      <c r="AN211" s="451">
        <v>267.77</v>
      </c>
      <c r="AO211" s="451">
        <v>1265262</v>
      </c>
      <c r="AP211" s="451">
        <v>240.85059999999999</v>
      </c>
      <c r="AQ211" s="451">
        <v>64492.565161999992</v>
      </c>
      <c r="AR211" s="451">
        <v>0.75139999999999996</v>
      </c>
    </row>
    <row r="212" spans="39:44">
      <c r="AM212" s="450">
        <v>45730</v>
      </c>
      <c r="AN212" s="451">
        <v>263.12</v>
      </c>
      <c r="AO212" s="451">
        <v>1303508</v>
      </c>
      <c r="AP212" s="451">
        <v>240.85059999999999</v>
      </c>
      <c r="AQ212" s="451">
        <v>63372.609872000001</v>
      </c>
      <c r="AR212" s="451">
        <v>0.73829999999999996</v>
      </c>
    </row>
    <row r="213" spans="39:44">
      <c r="AM213" s="450">
        <v>45729</v>
      </c>
      <c r="AN213" s="451">
        <v>262.64999999999998</v>
      </c>
      <c r="AO213" s="451">
        <v>1952800</v>
      </c>
      <c r="AP213" s="451">
        <v>240.85059999999999</v>
      </c>
      <c r="AQ213" s="451">
        <v>63259.41008999999</v>
      </c>
      <c r="AR213" s="451">
        <v>0.73699999999999999</v>
      </c>
    </row>
    <row r="214" spans="39:44">
      <c r="AM214" s="450">
        <v>45728</v>
      </c>
      <c r="AN214" s="451">
        <v>261.26</v>
      </c>
      <c r="AO214" s="451">
        <v>1415065</v>
      </c>
      <c r="AP214" s="451">
        <v>240.85059999999999</v>
      </c>
      <c r="AQ214" s="451">
        <v>62924.627755999994</v>
      </c>
      <c r="AR214" s="451">
        <v>0.73309999999999997</v>
      </c>
    </row>
    <row r="215" spans="39:44">
      <c r="AM215" s="450">
        <v>45727</v>
      </c>
      <c r="AN215" s="451">
        <v>258.23</v>
      </c>
      <c r="AO215" s="451">
        <v>1216439</v>
      </c>
      <c r="AP215" s="451">
        <v>240.85059999999999</v>
      </c>
      <c r="AQ215" s="451">
        <v>62194.850438000001</v>
      </c>
      <c r="AR215" s="451">
        <v>0.72460000000000002</v>
      </c>
    </row>
    <row r="216" spans="39:44">
      <c r="AM216" s="450">
        <v>45726</v>
      </c>
      <c r="AN216" s="451">
        <v>256.08</v>
      </c>
      <c r="AO216" s="451">
        <v>1392936</v>
      </c>
      <c r="AP216" s="451">
        <v>240.85059999999999</v>
      </c>
      <c r="AQ216" s="451">
        <v>61677.021647999994</v>
      </c>
      <c r="AR216" s="451">
        <v>0.71860000000000002</v>
      </c>
    </row>
    <row r="217" spans="39:44">
      <c r="AM217" s="450">
        <v>45725</v>
      </c>
      <c r="AN217" s="451">
        <v>256.08</v>
      </c>
      <c r="AO217" s="451">
        <v>1392936</v>
      </c>
      <c r="AP217" s="451">
        <v>240.85059999999999</v>
      </c>
      <c r="AQ217" s="451">
        <v>61677.021647999994</v>
      </c>
      <c r="AR217" s="451">
        <v>0.71860000000000002</v>
      </c>
    </row>
    <row r="218" spans="39:44">
      <c r="AM218" s="450">
        <v>45724</v>
      </c>
      <c r="AN218" s="451">
        <v>256.08</v>
      </c>
      <c r="AO218" s="451">
        <v>1392936</v>
      </c>
      <c r="AP218" s="451">
        <v>240.85059999999999</v>
      </c>
      <c r="AQ218" s="451">
        <v>61677.021647999994</v>
      </c>
      <c r="AR218" s="451">
        <v>0.71860000000000002</v>
      </c>
    </row>
    <row r="219" spans="39:44">
      <c r="AM219" s="450">
        <v>45723</v>
      </c>
      <c r="AN219" s="451">
        <v>258.77</v>
      </c>
      <c r="AO219" s="451">
        <v>2539796</v>
      </c>
      <c r="AP219" s="451">
        <v>240.85059999999999</v>
      </c>
      <c r="AQ219" s="451">
        <v>62324.909761999988</v>
      </c>
      <c r="AR219" s="451">
        <v>0.72609999999999997</v>
      </c>
    </row>
    <row r="220" spans="39:44">
      <c r="AM220" s="450">
        <v>45722</v>
      </c>
      <c r="AN220" s="451">
        <v>252.41</v>
      </c>
      <c r="AO220" s="451">
        <v>1535366</v>
      </c>
      <c r="AP220" s="451">
        <v>240.85059999999999</v>
      </c>
      <c r="AQ220" s="451">
        <v>60793.099945999995</v>
      </c>
      <c r="AR220" s="451">
        <v>0.70830000000000004</v>
      </c>
    </row>
    <row r="221" spans="39:44">
      <c r="AM221" s="450">
        <v>45721</v>
      </c>
      <c r="AN221" s="451">
        <v>250.95</v>
      </c>
      <c r="AO221" s="451">
        <v>2185720</v>
      </c>
      <c r="AP221" s="451">
        <v>240.85059999999999</v>
      </c>
      <c r="AQ221" s="451">
        <v>60441.458069999993</v>
      </c>
      <c r="AR221" s="451">
        <v>0.70420000000000005</v>
      </c>
    </row>
    <row r="222" spans="39:44">
      <c r="AM222" s="450">
        <v>45720</v>
      </c>
      <c r="AN222" s="451">
        <v>247.34</v>
      </c>
      <c r="AO222" s="451">
        <v>3774703</v>
      </c>
      <c r="AP222" s="451">
        <v>240.85059999999999</v>
      </c>
      <c r="AQ222" s="451">
        <v>59571.987404</v>
      </c>
      <c r="AR222" s="451">
        <v>0.69410000000000005</v>
      </c>
    </row>
    <row r="223" spans="39:44">
      <c r="AM223" s="450">
        <v>45719</v>
      </c>
      <c r="AN223" s="451">
        <v>264.87</v>
      </c>
      <c r="AO223" s="451">
        <v>2341601</v>
      </c>
      <c r="AP223" s="451">
        <v>240.85059999999999</v>
      </c>
      <c r="AQ223" s="451">
        <v>63794.098421999995</v>
      </c>
      <c r="AR223" s="451">
        <v>0.74319999999999997</v>
      </c>
    </row>
    <row r="224" spans="39:44">
      <c r="AM224" s="450">
        <v>45718</v>
      </c>
      <c r="AN224" s="451">
        <v>264.87</v>
      </c>
      <c r="AO224" s="451">
        <v>2341601</v>
      </c>
      <c r="AP224" s="451">
        <v>240.85059999999999</v>
      </c>
      <c r="AQ224" s="451">
        <v>63794.098421999995</v>
      </c>
      <c r="AR224" s="451">
        <v>0.74319999999999997</v>
      </c>
    </row>
    <row r="225" spans="39:44">
      <c r="AM225" s="450">
        <v>45717</v>
      </c>
      <c r="AN225" s="451">
        <v>264.87</v>
      </c>
      <c r="AO225" s="451">
        <v>2341601</v>
      </c>
      <c r="AP225" s="451">
        <v>240.85059999999999</v>
      </c>
      <c r="AQ225" s="451">
        <v>63794.098421999995</v>
      </c>
      <c r="AR225" s="451">
        <v>0.74319999999999997</v>
      </c>
    </row>
    <row r="226" spans="39:44">
      <c r="AM226" s="450">
        <v>45716</v>
      </c>
      <c r="AN226" s="451">
        <v>269.24</v>
      </c>
      <c r="AO226" s="451">
        <v>2827618</v>
      </c>
      <c r="AP226" s="451">
        <v>240.85059999999999</v>
      </c>
      <c r="AQ226" s="451">
        <v>64846.615544</v>
      </c>
      <c r="AR226" s="451">
        <v>0.75549999999999995</v>
      </c>
    </row>
    <row r="227" spans="39:44">
      <c r="AM227" s="450">
        <v>45715</v>
      </c>
      <c r="AN227" s="451">
        <v>275.06</v>
      </c>
      <c r="AO227" s="451">
        <v>1078367</v>
      </c>
      <c r="AP227" s="451">
        <v>240.85059999999999</v>
      </c>
      <c r="AQ227" s="451">
        <v>66248.366035999992</v>
      </c>
      <c r="AR227" s="451">
        <v>0.77180000000000004</v>
      </c>
    </row>
    <row r="228" spans="39:44">
      <c r="AM228" s="450">
        <v>45714</v>
      </c>
      <c r="AN228" s="451">
        <v>278.64999999999998</v>
      </c>
      <c r="AO228" s="451">
        <v>1043326</v>
      </c>
      <c r="AP228" s="451">
        <v>240.85059999999999</v>
      </c>
      <c r="AQ228" s="451">
        <v>67113.019689999986</v>
      </c>
      <c r="AR228" s="451">
        <v>0.78190000000000004</v>
      </c>
    </row>
    <row r="229" spans="39:44">
      <c r="AM229" s="450">
        <v>45713</v>
      </c>
      <c r="AN229" s="451">
        <v>281.52999999999997</v>
      </c>
      <c r="AO229" s="451">
        <v>1553087</v>
      </c>
      <c r="AP229" s="451">
        <v>240.85059999999999</v>
      </c>
      <c r="AQ229" s="451">
        <v>67806.66941799999</v>
      </c>
      <c r="AR229" s="451">
        <v>0.79</v>
      </c>
    </row>
    <row r="230" spans="39:44">
      <c r="AM230" s="450">
        <v>45712</v>
      </c>
      <c r="AN230" s="451">
        <v>273.29000000000002</v>
      </c>
      <c r="AO230" s="451">
        <v>1544752</v>
      </c>
      <c r="AP230" s="451">
        <v>240.85059999999999</v>
      </c>
      <c r="AQ230" s="451">
        <v>65822.060473999998</v>
      </c>
      <c r="AR230" s="451">
        <v>0.76690000000000003</v>
      </c>
    </row>
    <row r="231" spans="39:44">
      <c r="AM231" s="450">
        <v>45711</v>
      </c>
      <c r="AN231" s="451">
        <v>273.29000000000002</v>
      </c>
      <c r="AO231" s="451">
        <v>1544752</v>
      </c>
      <c r="AP231" s="451">
        <v>240.85059999999999</v>
      </c>
      <c r="AQ231" s="451">
        <v>65822.060473999998</v>
      </c>
      <c r="AR231" s="451">
        <v>0.76690000000000003</v>
      </c>
    </row>
    <row r="232" spans="39:44">
      <c r="AM232" s="450">
        <v>45710</v>
      </c>
      <c r="AN232" s="451">
        <v>273.29000000000002</v>
      </c>
      <c r="AO232" s="451">
        <v>1544752</v>
      </c>
      <c r="AP232" s="451">
        <v>240.85059999999999</v>
      </c>
      <c r="AQ232" s="451">
        <v>65822.060473999998</v>
      </c>
      <c r="AR232" s="451">
        <v>0.76690000000000003</v>
      </c>
    </row>
    <row r="233" spans="39:44">
      <c r="AM233" s="450">
        <v>45709</v>
      </c>
      <c r="AN233" s="451">
        <v>270.02999999999997</v>
      </c>
      <c r="AO233" s="451">
        <v>1758793</v>
      </c>
      <c r="AP233" s="451">
        <v>240.85059999999999</v>
      </c>
      <c r="AQ233" s="451">
        <v>65036.887517999989</v>
      </c>
      <c r="AR233" s="451">
        <v>0.75770000000000004</v>
      </c>
    </row>
    <row r="234" spans="39:44">
      <c r="AM234" s="450">
        <v>45708</v>
      </c>
      <c r="AN234" s="451">
        <v>270.43</v>
      </c>
      <c r="AO234" s="451">
        <v>1958616</v>
      </c>
      <c r="AP234" s="451">
        <v>240.85059999999999</v>
      </c>
      <c r="AQ234" s="451">
        <v>65133.227758000001</v>
      </c>
      <c r="AR234" s="451">
        <v>0.75880000000000003</v>
      </c>
    </row>
    <row r="235" spans="39:44">
      <c r="AM235" s="450">
        <v>45707</v>
      </c>
      <c r="AN235" s="451">
        <v>275.57</v>
      </c>
      <c r="AO235" s="451">
        <v>1465556</v>
      </c>
      <c r="AP235" s="451">
        <v>240.85059999999999</v>
      </c>
      <c r="AQ235" s="451">
        <v>66371.199841999987</v>
      </c>
      <c r="AR235" s="451">
        <v>0.77329999999999999</v>
      </c>
    </row>
    <row r="236" spans="39:44">
      <c r="AM236" s="450">
        <v>45706</v>
      </c>
      <c r="AN236" s="451">
        <v>275.10000000000002</v>
      </c>
      <c r="AO236" s="451">
        <v>1581845</v>
      </c>
      <c r="AP236" s="451">
        <v>240.85059999999999</v>
      </c>
      <c r="AQ236" s="451">
        <v>66258.000060000006</v>
      </c>
      <c r="AR236" s="451">
        <v>0.77200000000000002</v>
      </c>
    </row>
    <row r="237" spans="39:44">
      <c r="AM237" s="450">
        <v>45705</v>
      </c>
      <c r="AN237" s="451">
        <v>275.10000000000002</v>
      </c>
      <c r="AO237" s="451">
        <v>1581845</v>
      </c>
      <c r="AP237" s="451">
        <v>240.85059999999999</v>
      </c>
      <c r="AQ237" s="451">
        <v>66258.000060000006</v>
      </c>
      <c r="AR237" s="451">
        <v>0.77200000000000002</v>
      </c>
    </row>
    <row r="238" spans="39:44">
      <c r="AM238" s="450">
        <v>45704</v>
      </c>
      <c r="AN238" s="451">
        <v>275.10000000000002</v>
      </c>
      <c r="AO238" s="451">
        <v>1581845</v>
      </c>
      <c r="AP238" s="451">
        <v>240.85059999999999</v>
      </c>
      <c r="AQ238" s="451">
        <v>66258.000060000006</v>
      </c>
      <c r="AR238" s="451">
        <v>0.77200000000000002</v>
      </c>
    </row>
    <row r="239" spans="39:44">
      <c r="AM239" s="450">
        <v>45703</v>
      </c>
      <c r="AN239" s="451">
        <v>275.10000000000002</v>
      </c>
      <c r="AO239" s="451">
        <v>1581845</v>
      </c>
      <c r="AP239" s="451">
        <v>240.85059999999999</v>
      </c>
      <c r="AQ239" s="451">
        <v>66258.000060000006</v>
      </c>
      <c r="AR239" s="451">
        <v>0.77200000000000002</v>
      </c>
    </row>
    <row r="240" spans="39:44">
      <c r="AM240" s="450">
        <v>45702</v>
      </c>
      <c r="AN240" s="451">
        <v>277.37</v>
      </c>
      <c r="AO240" s="451">
        <v>1417615</v>
      </c>
      <c r="AP240" s="451">
        <v>240.85059999999999</v>
      </c>
      <c r="AQ240" s="451">
        <v>66804.730922000002</v>
      </c>
      <c r="AR240" s="451">
        <v>0.77829999999999999</v>
      </c>
    </row>
    <row r="241" spans="39:44">
      <c r="AM241" s="450">
        <v>45701</v>
      </c>
      <c r="AN241" s="451">
        <v>276.58999999999997</v>
      </c>
      <c r="AO241" s="451">
        <v>1848405</v>
      </c>
      <c r="AP241" s="451">
        <v>240.85059999999999</v>
      </c>
      <c r="AQ241" s="451">
        <v>66616.867453999992</v>
      </c>
      <c r="AR241" s="451">
        <v>0.77610000000000001</v>
      </c>
    </row>
    <row r="242" spans="39:44">
      <c r="AM242" s="450">
        <v>45700</v>
      </c>
      <c r="AN242" s="451">
        <v>277.62</v>
      </c>
      <c r="AO242" s="451">
        <v>1360895</v>
      </c>
      <c r="AP242" s="451">
        <v>240.85059999999999</v>
      </c>
      <c r="AQ242" s="451">
        <v>66864.943572000004</v>
      </c>
      <c r="AR242" s="451">
        <v>0.77900000000000003</v>
      </c>
    </row>
    <row r="243" spans="39:44">
      <c r="AM243" s="450">
        <v>45699</v>
      </c>
      <c r="AN243" s="451">
        <v>274.58999999999997</v>
      </c>
      <c r="AO243" s="451">
        <v>1367765</v>
      </c>
      <c r="AP243" s="451">
        <v>240.85059999999999</v>
      </c>
      <c r="AQ243" s="451">
        <v>66135.166253999996</v>
      </c>
      <c r="AR243" s="451">
        <v>0.77049999999999996</v>
      </c>
    </row>
    <row r="244" spans="39:44">
      <c r="AM244" s="450">
        <v>45698</v>
      </c>
      <c r="AN244" s="451">
        <v>270.73</v>
      </c>
      <c r="AO244" s="451">
        <v>1475602</v>
      </c>
      <c r="AP244" s="451">
        <v>240.85059999999999</v>
      </c>
      <c r="AQ244" s="451">
        <v>65205.482938000001</v>
      </c>
      <c r="AR244" s="451">
        <v>0.75970000000000004</v>
      </c>
    </row>
    <row r="245" spans="39:44">
      <c r="AM245" s="450">
        <v>45697</v>
      </c>
      <c r="AN245" s="451">
        <v>270.73</v>
      </c>
      <c r="AO245" s="451">
        <v>1475602</v>
      </c>
      <c r="AP245" s="451">
        <v>240.85059999999999</v>
      </c>
      <c r="AQ245" s="451">
        <v>65205.482938000001</v>
      </c>
      <c r="AR245" s="451">
        <v>0.75970000000000004</v>
      </c>
    </row>
    <row r="246" spans="39:44">
      <c r="AM246" s="450">
        <v>45696</v>
      </c>
      <c r="AN246" s="451">
        <v>270.73</v>
      </c>
      <c r="AO246" s="451">
        <v>1475602</v>
      </c>
      <c r="AP246" s="451">
        <v>240.85059999999999</v>
      </c>
      <c r="AQ246" s="451">
        <v>65205.482938000001</v>
      </c>
      <c r="AR246" s="451">
        <v>0.75970000000000004</v>
      </c>
    </row>
    <row r="247" spans="39:44">
      <c r="AM247" s="450">
        <v>45695</v>
      </c>
      <c r="AN247" s="451">
        <v>274.89999999999998</v>
      </c>
      <c r="AO247" s="451">
        <v>1965565</v>
      </c>
      <c r="AP247" s="451">
        <v>240.85059999999999</v>
      </c>
      <c r="AQ247" s="451">
        <v>66209.829939999996</v>
      </c>
      <c r="AR247" s="451">
        <v>0.77139999999999997</v>
      </c>
    </row>
    <row r="248" spans="39:44">
      <c r="AM248" s="450">
        <v>45694</v>
      </c>
      <c r="AN248" s="451">
        <v>274.89999999999998</v>
      </c>
      <c r="AO248" s="451">
        <v>1965565</v>
      </c>
      <c r="AP248" s="451">
        <v>240.85059999999999</v>
      </c>
      <c r="AQ248" s="451">
        <v>66209.829939999996</v>
      </c>
      <c r="AR248" s="451">
        <v>0.77139999999999997</v>
      </c>
    </row>
    <row r="249" spans="39:44">
      <c r="AM249" s="450">
        <v>45693</v>
      </c>
      <c r="AN249" s="451">
        <v>275</v>
      </c>
      <c r="AO249" s="451">
        <v>1518015</v>
      </c>
      <c r="AP249" s="451">
        <v>240.85059999999999</v>
      </c>
      <c r="AQ249" s="451">
        <v>66233.914999999994</v>
      </c>
      <c r="AR249" s="451">
        <v>0.77170000000000005</v>
      </c>
    </row>
    <row r="250" spans="39:44">
      <c r="AM250" s="450">
        <v>45692</v>
      </c>
      <c r="AN250" s="451">
        <v>273.97000000000003</v>
      </c>
      <c r="AO250" s="451">
        <v>1651375</v>
      </c>
      <c r="AP250" s="451">
        <v>240.85059999999999</v>
      </c>
      <c r="AQ250" s="451">
        <v>65985.838881999996</v>
      </c>
      <c r="AR250" s="451">
        <v>0.76880000000000004</v>
      </c>
    </row>
    <row r="251" spans="39:44">
      <c r="AM251" s="450">
        <v>45691</v>
      </c>
      <c r="AN251" s="451">
        <v>274.41000000000003</v>
      </c>
      <c r="AO251" s="451">
        <v>1181532</v>
      </c>
      <c r="AP251" s="451">
        <v>240.85059999999999</v>
      </c>
      <c r="AQ251" s="451">
        <v>66091.813146</v>
      </c>
      <c r="AR251" s="451">
        <v>0.77</v>
      </c>
    </row>
    <row r="252" spans="39:44">
      <c r="AM252" s="450">
        <v>45690</v>
      </c>
      <c r="AN252" s="451">
        <v>274.41000000000003</v>
      </c>
      <c r="AO252" s="451">
        <v>1181532</v>
      </c>
      <c r="AP252" s="451">
        <v>240.85059999999999</v>
      </c>
      <c r="AQ252" s="451">
        <v>66091.813146</v>
      </c>
      <c r="AR252" s="451">
        <v>0.77</v>
      </c>
    </row>
    <row r="253" spans="39:44">
      <c r="AM253" s="450">
        <v>45689</v>
      </c>
      <c r="AN253" s="451">
        <v>274.41000000000003</v>
      </c>
      <c r="AO253" s="451">
        <v>1181532</v>
      </c>
      <c r="AP253" s="451">
        <v>240.85059999999999</v>
      </c>
      <c r="AQ253" s="451">
        <v>66091.813146</v>
      </c>
      <c r="AR253" s="451">
        <v>0.77</v>
      </c>
    </row>
    <row r="254" spans="39:44">
      <c r="AM254" s="450">
        <v>45688</v>
      </c>
      <c r="AN254" s="451">
        <v>274.27999999999997</v>
      </c>
      <c r="AO254" s="451">
        <v>1279337</v>
      </c>
      <c r="AP254" s="451">
        <v>240.85059999999999</v>
      </c>
      <c r="AQ254" s="451">
        <v>66060.502567999996</v>
      </c>
      <c r="AR254" s="451">
        <v>0.76970000000000005</v>
      </c>
    </row>
    <row r="255" spans="39:44">
      <c r="AM255" s="450">
        <v>45687</v>
      </c>
      <c r="AN255" s="451">
        <v>281.33</v>
      </c>
      <c r="AO255" s="451">
        <v>1296955</v>
      </c>
      <c r="AP255" s="451">
        <v>240.85059999999999</v>
      </c>
      <c r="AQ255" s="451">
        <v>67758.499297999995</v>
      </c>
      <c r="AR255" s="451">
        <v>0.78939999999999999</v>
      </c>
    </row>
    <row r="256" spans="39:44">
      <c r="AM256" s="450">
        <v>45686</v>
      </c>
      <c r="AN256" s="451">
        <v>281.33</v>
      </c>
      <c r="AO256" s="451">
        <v>1296955</v>
      </c>
      <c r="AP256" s="451">
        <v>240.85059999999999</v>
      </c>
      <c r="AQ256" s="451">
        <v>67758.499297999995</v>
      </c>
      <c r="AR256" s="451">
        <v>0.78939999999999999</v>
      </c>
    </row>
    <row r="257" spans="39:44">
      <c r="AM257" s="450">
        <v>45685</v>
      </c>
      <c r="AN257" s="451">
        <v>280.55</v>
      </c>
      <c r="AO257" s="451">
        <v>1587522</v>
      </c>
      <c r="AP257" s="451">
        <v>240.85059999999999</v>
      </c>
      <c r="AQ257" s="451">
        <v>67570.635829999999</v>
      </c>
      <c r="AR257" s="451">
        <v>0.78720000000000001</v>
      </c>
    </row>
    <row r="258" spans="39:44">
      <c r="AM258" s="450">
        <v>45684</v>
      </c>
      <c r="AN258" s="451">
        <v>280.36</v>
      </c>
      <c r="AO258" s="451">
        <v>1553177</v>
      </c>
      <c r="AP258" s="451">
        <v>240.85059999999999</v>
      </c>
      <c r="AQ258" s="451">
        <v>67524.874215999997</v>
      </c>
      <c r="AR258" s="451">
        <v>0.78669999999999995</v>
      </c>
    </row>
    <row r="259" spans="39:44">
      <c r="AM259" s="450">
        <v>45683</v>
      </c>
      <c r="AN259" s="451">
        <v>280.36</v>
      </c>
      <c r="AO259" s="451">
        <v>1553177</v>
      </c>
      <c r="AP259" s="451">
        <v>240.85059999999999</v>
      </c>
      <c r="AQ259" s="451">
        <v>67524.874215999997</v>
      </c>
      <c r="AR259" s="451">
        <v>0.78669999999999995</v>
      </c>
    </row>
    <row r="260" spans="39:44">
      <c r="AM260" s="450">
        <v>45682</v>
      </c>
      <c r="AN260" s="451">
        <v>280.36</v>
      </c>
      <c r="AO260" s="451">
        <v>1553177</v>
      </c>
      <c r="AP260" s="451">
        <v>240.85059999999999</v>
      </c>
      <c r="AQ260" s="451">
        <v>67524.874215999997</v>
      </c>
      <c r="AR260" s="451">
        <v>0.78669999999999995</v>
      </c>
    </row>
    <row r="261" spans="39:44">
      <c r="AM261" s="450">
        <v>45681</v>
      </c>
      <c r="AN261" s="451">
        <v>278.66000000000003</v>
      </c>
      <c r="AO261" s="451">
        <v>1777485</v>
      </c>
      <c r="AP261" s="451">
        <v>240.85059999999999</v>
      </c>
      <c r="AQ261" s="451">
        <v>67115.428196000008</v>
      </c>
      <c r="AR261" s="451">
        <v>0.78190000000000004</v>
      </c>
    </row>
    <row r="262" spans="39:44">
      <c r="AM262" s="450">
        <v>45680</v>
      </c>
      <c r="AN262" s="451">
        <v>271.83999999999997</v>
      </c>
      <c r="AO262" s="451">
        <v>1013074</v>
      </c>
      <c r="AP262" s="451">
        <v>240.85059999999999</v>
      </c>
      <c r="AQ262" s="451">
        <v>65472.827103999989</v>
      </c>
      <c r="AR262" s="451">
        <v>0.76280000000000003</v>
      </c>
    </row>
    <row r="263" spans="39:44">
      <c r="AM263" s="450">
        <v>45679</v>
      </c>
      <c r="AN263" s="451">
        <v>271.83999999999997</v>
      </c>
      <c r="AO263" s="451">
        <v>1013074</v>
      </c>
      <c r="AP263" s="451">
        <v>240.85059999999999</v>
      </c>
      <c r="AQ263" s="451">
        <v>65472.827103999989</v>
      </c>
      <c r="AR263" s="451">
        <v>0.76280000000000003</v>
      </c>
    </row>
    <row r="264" spans="39:44">
      <c r="AM264" s="450">
        <v>45678</v>
      </c>
      <c r="AN264" s="451">
        <v>269.01</v>
      </c>
      <c r="AO264" s="451">
        <v>3500725</v>
      </c>
      <c r="AP264" s="451">
        <v>240.85059999999999</v>
      </c>
      <c r="AQ264" s="451">
        <v>64791.219905999991</v>
      </c>
      <c r="AR264" s="451">
        <v>0.75490000000000002</v>
      </c>
    </row>
    <row r="265" spans="39:44">
      <c r="AM265" s="450">
        <v>45677</v>
      </c>
      <c r="AN265" s="451">
        <v>275.73</v>
      </c>
      <c r="AO265" s="451">
        <v>8126797</v>
      </c>
      <c r="AP265" s="451">
        <v>240.85059999999999</v>
      </c>
      <c r="AQ265" s="451">
        <v>66409.735937999998</v>
      </c>
      <c r="AR265" s="451">
        <v>0.77370000000000005</v>
      </c>
    </row>
    <row r="266" spans="39:44">
      <c r="AM266" s="450">
        <v>45676</v>
      </c>
      <c r="AN266" s="451">
        <v>275.73</v>
      </c>
      <c r="AO266" s="451">
        <v>8126797</v>
      </c>
      <c r="AP266" s="451">
        <v>240.85059999999999</v>
      </c>
      <c r="AQ266" s="451">
        <v>66409.735937999998</v>
      </c>
      <c r="AR266" s="451">
        <v>0.77370000000000005</v>
      </c>
    </row>
    <row r="267" spans="39:44">
      <c r="AM267" s="450">
        <v>45675</v>
      </c>
      <c r="AN267" s="451">
        <v>275.73</v>
      </c>
      <c r="AO267" s="451">
        <v>8126797</v>
      </c>
      <c r="AP267" s="451">
        <v>240.85059999999999</v>
      </c>
      <c r="AQ267" s="451">
        <v>66409.735937999998</v>
      </c>
      <c r="AR267" s="451">
        <v>0.77370000000000005</v>
      </c>
    </row>
    <row r="268" spans="39:44">
      <c r="AM268" s="450">
        <v>45674</v>
      </c>
      <c r="AN268" s="451">
        <v>275.88</v>
      </c>
      <c r="AO268" s="451">
        <v>4203477</v>
      </c>
      <c r="AP268" s="451">
        <v>240.85059999999999</v>
      </c>
      <c r="AQ268" s="451">
        <v>66445.863528000002</v>
      </c>
      <c r="AR268" s="451">
        <v>0.77410000000000001</v>
      </c>
    </row>
    <row r="269" spans="39:44">
      <c r="AM269" s="450">
        <v>45673</v>
      </c>
      <c r="AN269" s="451">
        <v>273.16000000000003</v>
      </c>
      <c r="AO269" s="451">
        <v>1907526</v>
      </c>
      <c r="AP269" s="451">
        <v>244.32346000000001</v>
      </c>
      <c r="AQ269" s="451">
        <v>66739.396333600016</v>
      </c>
      <c r="AR269" s="451">
        <v>0.76649999999999996</v>
      </c>
    </row>
    <row r="270" spans="39:44">
      <c r="AM270" s="450">
        <v>45672</v>
      </c>
      <c r="AN270" s="451">
        <v>277.43</v>
      </c>
      <c r="AO270" s="451">
        <v>2426691</v>
      </c>
      <c r="AP270" s="451">
        <v>244.32346000000001</v>
      </c>
      <c r="AQ270" s="451">
        <v>67782.657507800002</v>
      </c>
      <c r="AR270" s="451">
        <v>0.77849999999999997</v>
      </c>
    </row>
    <row r="271" spans="39:44">
      <c r="AM271" s="450">
        <v>45671</v>
      </c>
      <c r="AN271" s="451">
        <v>283.44</v>
      </c>
      <c r="AO271" s="451">
        <v>1587310</v>
      </c>
      <c r="AP271" s="451">
        <v>244.32346000000001</v>
      </c>
      <c r="AQ271" s="451">
        <v>69251.041502399996</v>
      </c>
      <c r="AR271" s="451">
        <v>0.7954</v>
      </c>
    </row>
    <row r="272" spans="39:44">
      <c r="AM272" s="450">
        <v>45670</v>
      </c>
      <c r="AN272" s="451">
        <v>283.42</v>
      </c>
      <c r="AO272" s="451">
        <v>964658</v>
      </c>
      <c r="AP272" s="451">
        <v>244.32346000000001</v>
      </c>
      <c r="AQ272" s="451">
        <v>69246.155033200004</v>
      </c>
      <c r="AR272" s="451">
        <v>0.79530000000000001</v>
      </c>
    </row>
    <row r="273" spans="39:44">
      <c r="AM273" s="450">
        <v>45669</v>
      </c>
      <c r="AN273" s="451">
        <v>283.42</v>
      </c>
      <c r="AO273" s="451">
        <v>964658</v>
      </c>
      <c r="AP273" s="451">
        <v>244.32346000000001</v>
      </c>
      <c r="AQ273" s="451">
        <v>69246.155033200004</v>
      </c>
      <c r="AR273" s="451">
        <v>0.79530000000000001</v>
      </c>
    </row>
    <row r="274" spans="39:44">
      <c r="AM274" s="450">
        <v>45668</v>
      </c>
      <c r="AN274" s="451">
        <v>283.42</v>
      </c>
      <c r="AO274" s="451">
        <v>964658</v>
      </c>
      <c r="AP274" s="451">
        <v>244.32346000000001</v>
      </c>
      <c r="AQ274" s="451">
        <v>69246.155033200004</v>
      </c>
      <c r="AR274" s="451">
        <v>0.79530000000000001</v>
      </c>
    </row>
    <row r="275" spans="39:44">
      <c r="AM275" s="450">
        <v>45667</v>
      </c>
      <c r="AN275" s="451">
        <v>283.69</v>
      </c>
      <c r="AO275" s="451">
        <v>1084894</v>
      </c>
      <c r="AP275" s="451">
        <v>244.32346000000001</v>
      </c>
      <c r="AQ275" s="451">
        <v>69312.122367400007</v>
      </c>
      <c r="AR275" s="451">
        <v>0.79610000000000003</v>
      </c>
    </row>
    <row r="276" spans="39:44">
      <c r="AM276" s="450">
        <v>45666</v>
      </c>
      <c r="AN276" s="451">
        <v>281.16000000000003</v>
      </c>
      <c r="AO276" s="451">
        <v>1207003</v>
      </c>
      <c r="AP276" s="451">
        <v>244.32346000000001</v>
      </c>
      <c r="AQ276" s="451">
        <v>68693.984013600013</v>
      </c>
      <c r="AR276" s="451">
        <v>0.78900000000000003</v>
      </c>
    </row>
    <row r="277" spans="39:44">
      <c r="AM277" s="450">
        <v>45665</v>
      </c>
      <c r="AN277" s="451">
        <v>279.32</v>
      </c>
      <c r="AO277" s="451">
        <v>902869</v>
      </c>
      <c r="AP277" s="451">
        <v>244.32346000000001</v>
      </c>
      <c r="AQ277" s="451">
        <v>68244.428847200004</v>
      </c>
      <c r="AR277" s="451">
        <v>0.78380000000000005</v>
      </c>
    </row>
    <row r="278" spans="39:44">
      <c r="AM278" s="450">
        <v>45664</v>
      </c>
      <c r="AN278" s="451">
        <v>279.52999999999997</v>
      </c>
      <c r="AO278" s="451">
        <v>1365829</v>
      </c>
      <c r="AP278" s="451">
        <v>244.32346000000001</v>
      </c>
      <c r="AQ278" s="451">
        <v>68295.736773800003</v>
      </c>
      <c r="AR278" s="451">
        <v>0.78439999999999999</v>
      </c>
    </row>
    <row r="279" spans="39:44">
      <c r="AM279" s="450">
        <v>45663</v>
      </c>
      <c r="AN279" s="451">
        <v>280.68</v>
      </c>
      <c r="AO279" s="451">
        <v>2079315</v>
      </c>
      <c r="AP279" s="451">
        <v>244.32346000000001</v>
      </c>
      <c r="AQ279" s="451">
        <v>68576.708752800012</v>
      </c>
      <c r="AR279" s="451">
        <v>0.78759999999999997</v>
      </c>
    </row>
    <row r="280" spans="39:44">
      <c r="AM280" s="450">
        <v>45662</v>
      </c>
      <c r="AN280" s="451">
        <v>280.68</v>
      </c>
      <c r="AO280" s="451">
        <v>2079315</v>
      </c>
      <c r="AP280" s="451">
        <v>244.32346000000001</v>
      </c>
      <c r="AQ280" s="451">
        <v>68576.708752800012</v>
      </c>
      <c r="AR280" s="451">
        <v>0.78759999999999997</v>
      </c>
    </row>
    <row r="281" spans="39:44">
      <c r="AM281" s="450">
        <v>45661</v>
      </c>
      <c r="AN281" s="451">
        <v>280.68</v>
      </c>
      <c r="AO281" s="451">
        <v>2079315</v>
      </c>
      <c r="AP281" s="451">
        <v>244.32346000000001</v>
      </c>
      <c r="AQ281" s="451">
        <v>68576.708752800012</v>
      </c>
      <c r="AR281" s="451">
        <v>0.78759999999999997</v>
      </c>
    </row>
    <row r="282" spans="39:44">
      <c r="AM282" s="450">
        <v>45660</v>
      </c>
      <c r="AN282" s="451">
        <v>279.42</v>
      </c>
      <c r="AO282" s="451">
        <v>1512440</v>
      </c>
      <c r="AP282" s="451">
        <v>244.32346000000001</v>
      </c>
      <c r="AQ282" s="451">
        <v>68268.861193200006</v>
      </c>
      <c r="AR282" s="451">
        <v>0.78410000000000002</v>
      </c>
    </row>
    <row r="283" spans="39:44">
      <c r="AM283" s="450">
        <v>45659</v>
      </c>
      <c r="AN283" s="451">
        <v>283.43</v>
      </c>
      <c r="AO283" s="451">
        <v>1840131</v>
      </c>
      <c r="AP283" s="451">
        <v>244.32346000000001</v>
      </c>
      <c r="AQ283" s="451">
        <v>69248.5982678</v>
      </c>
      <c r="AR283" s="451">
        <v>0.79530000000000001</v>
      </c>
    </row>
    <row r="284" spans="39:44">
      <c r="AM284" s="450">
        <v>45658</v>
      </c>
      <c r="AN284" s="451">
        <v>282.85000000000002</v>
      </c>
      <c r="AO284" s="451">
        <v>2629007</v>
      </c>
      <c r="AP284" s="451">
        <v>244.32346000000001</v>
      </c>
      <c r="AQ284" s="451">
        <v>69106.890661000012</v>
      </c>
      <c r="AR284" s="451">
        <v>0.79369999999999996</v>
      </c>
    </row>
    <row r="285" spans="39:44">
      <c r="AM285" s="450">
        <v>45657</v>
      </c>
      <c r="AN285" s="451">
        <v>296.69</v>
      </c>
      <c r="AO285" s="451">
        <v>1578745</v>
      </c>
      <c r="AP285" s="451">
        <v>244.32346000000001</v>
      </c>
      <c r="AQ285" s="451">
        <v>72488.327347400002</v>
      </c>
      <c r="AR285" s="451">
        <v>0.83250000000000002</v>
      </c>
    </row>
    <row r="286" spans="39:44">
      <c r="AM286" s="450">
        <v>45656</v>
      </c>
      <c r="AN286" s="451">
        <v>302.67</v>
      </c>
      <c r="AO286" s="451">
        <v>665504</v>
      </c>
      <c r="AP286" s="451">
        <v>244.32346000000001</v>
      </c>
      <c r="AQ286" s="451">
        <v>73949.381638200008</v>
      </c>
      <c r="AR286" s="451">
        <v>0.85440000000000005</v>
      </c>
    </row>
    <row r="287" spans="39:44">
      <c r="AM287" s="450">
        <v>45655</v>
      </c>
      <c r="AN287" s="451">
        <v>302.67</v>
      </c>
      <c r="AO287" s="451">
        <v>665504</v>
      </c>
      <c r="AP287" s="451">
        <v>244.32346000000001</v>
      </c>
      <c r="AQ287" s="451">
        <v>73949.381638200008</v>
      </c>
      <c r="AR287" s="451">
        <v>0.85440000000000005</v>
      </c>
    </row>
    <row r="288" spans="39:44">
      <c r="AM288" s="450">
        <v>45654</v>
      </c>
      <c r="AN288" s="451">
        <v>302.67</v>
      </c>
      <c r="AO288" s="451">
        <v>665504</v>
      </c>
      <c r="AP288" s="451">
        <v>244.32346000000001</v>
      </c>
      <c r="AQ288" s="451">
        <v>73949.381638200008</v>
      </c>
      <c r="AR288" s="451">
        <v>0.85440000000000005</v>
      </c>
    </row>
    <row r="289" spans="39:44">
      <c r="AM289" s="450">
        <v>45653</v>
      </c>
      <c r="AN289" s="451">
        <v>303.39</v>
      </c>
      <c r="AO289" s="451">
        <v>919462</v>
      </c>
      <c r="AP289" s="451">
        <v>244.32346000000001</v>
      </c>
      <c r="AQ289" s="451">
        <v>74125.294529399995</v>
      </c>
      <c r="AR289" s="451">
        <v>0.85640000000000005</v>
      </c>
    </row>
    <row r="290" spans="39:44">
      <c r="AM290" s="450">
        <v>45652</v>
      </c>
      <c r="AN290" s="451">
        <v>303.39</v>
      </c>
      <c r="AO290" s="451">
        <v>919462</v>
      </c>
      <c r="AP290" s="451">
        <v>244.32346000000001</v>
      </c>
      <c r="AQ290" s="451">
        <v>74125.294529399995</v>
      </c>
      <c r="AR290" s="451">
        <v>0.85640000000000005</v>
      </c>
    </row>
    <row r="291" spans="39:44">
      <c r="AM291" s="450">
        <v>45651</v>
      </c>
      <c r="AN291" s="451">
        <v>302.98</v>
      </c>
      <c r="AO291" s="451">
        <v>1669324</v>
      </c>
      <c r="AP291" s="451">
        <v>244.32346000000001</v>
      </c>
      <c r="AQ291" s="451">
        <v>74025.121910800008</v>
      </c>
      <c r="AR291" s="451">
        <v>0.85529999999999995</v>
      </c>
    </row>
    <row r="292" spans="39:44">
      <c r="AM292" s="450">
        <v>45650</v>
      </c>
      <c r="AN292" s="451">
        <v>305.14999999999998</v>
      </c>
      <c r="AO292" s="451">
        <v>2415851</v>
      </c>
      <c r="AP292" s="451">
        <v>244.32346000000001</v>
      </c>
      <c r="AQ292" s="451">
        <v>74555.303818999993</v>
      </c>
      <c r="AR292" s="451">
        <v>0.86140000000000005</v>
      </c>
    </row>
    <row r="293" spans="39:44">
      <c r="AM293" s="450">
        <v>45649</v>
      </c>
      <c r="AN293" s="451">
        <v>299.97000000000003</v>
      </c>
      <c r="AO293" s="451">
        <v>1846044</v>
      </c>
      <c r="AP293" s="451">
        <v>244.32346000000001</v>
      </c>
      <c r="AQ293" s="451">
        <v>73289.708296200013</v>
      </c>
      <c r="AR293" s="451">
        <v>0.8468</v>
      </c>
    </row>
    <row r="294" spans="39:44">
      <c r="AM294" s="450">
        <v>45648</v>
      </c>
      <c r="AN294" s="451">
        <v>299.97000000000003</v>
      </c>
      <c r="AO294" s="451">
        <v>1846044</v>
      </c>
      <c r="AP294" s="451">
        <v>244.32346000000001</v>
      </c>
      <c r="AQ294" s="451">
        <v>73289.708296200013</v>
      </c>
      <c r="AR294" s="451">
        <v>0.8468</v>
      </c>
    </row>
    <row r="295" spans="39:44">
      <c r="AM295" s="450">
        <v>45647</v>
      </c>
      <c r="AN295" s="451">
        <v>299.97000000000003</v>
      </c>
      <c r="AO295" s="451">
        <v>1846044</v>
      </c>
      <c r="AP295" s="451">
        <v>244.32346000000001</v>
      </c>
      <c r="AQ295" s="451">
        <v>73289.708296200013</v>
      </c>
      <c r="AR295" s="451">
        <v>0.8468</v>
      </c>
    </row>
    <row r="296" spans="39:44">
      <c r="AM296" s="450">
        <v>45646</v>
      </c>
      <c r="AN296" s="451">
        <v>295.16000000000003</v>
      </c>
      <c r="AO296" s="451">
        <v>1596920</v>
      </c>
      <c r="AP296" s="451">
        <v>244.32346000000001</v>
      </c>
      <c r="AQ296" s="451">
        <v>72114.512453600008</v>
      </c>
      <c r="AR296" s="451">
        <v>0.83320000000000005</v>
      </c>
    </row>
    <row r="297" spans="39:44">
      <c r="AM297" s="450">
        <v>45645</v>
      </c>
      <c r="AN297" s="451">
        <v>288.02999999999997</v>
      </c>
      <c r="AO297" s="451">
        <v>1392808</v>
      </c>
      <c r="AP297" s="451">
        <v>244.32346000000001</v>
      </c>
      <c r="AQ297" s="451">
        <v>70372.486183799992</v>
      </c>
      <c r="AR297" s="451">
        <v>0.81310000000000004</v>
      </c>
    </row>
    <row r="298" spans="39:44">
      <c r="AM298" s="450">
        <v>45644</v>
      </c>
      <c r="AN298" s="451">
        <v>293.06</v>
      </c>
      <c r="AO298" s="451">
        <v>1474784</v>
      </c>
      <c r="AP298" s="451">
        <v>244.32346000000001</v>
      </c>
      <c r="AQ298" s="451">
        <v>71601.433187600007</v>
      </c>
      <c r="AR298" s="451">
        <v>0.82730000000000004</v>
      </c>
    </row>
    <row r="299" spans="39:44">
      <c r="AM299" s="450">
        <v>45643</v>
      </c>
      <c r="AN299" s="451">
        <v>295.20999999999998</v>
      </c>
      <c r="AO299" s="451">
        <v>1460032</v>
      </c>
      <c r="AP299" s="451">
        <v>244.32346000000001</v>
      </c>
      <c r="AQ299" s="451">
        <v>72126.728626600001</v>
      </c>
      <c r="AR299" s="451">
        <v>0.83330000000000004</v>
      </c>
    </row>
    <row r="300" spans="39:44">
      <c r="AM300" s="450">
        <v>45642</v>
      </c>
      <c r="AN300" s="451">
        <v>294.45999999999998</v>
      </c>
      <c r="AO300" s="451">
        <v>1506570</v>
      </c>
      <c r="AP300" s="451">
        <v>244.32346000000001</v>
      </c>
      <c r="AQ300" s="451">
        <v>71943.486031599998</v>
      </c>
      <c r="AR300" s="451">
        <v>0.83120000000000005</v>
      </c>
    </row>
    <row r="301" spans="39:44">
      <c r="AM301" s="450">
        <v>45641</v>
      </c>
      <c r="AN301" s="451">
        <v>294.45999999999998</v>
      </c>
      <c r="AO301" s="451">
        <v>1506570</v>
      </c>
      <c r="AP301" s="451">
        <v>244.32346000000001</v>
      </c>
      <c r="AQ301" s="451">
        <v>71943.486031599998</v>
      </c>
      <c r="AR301" s="451">
        <v>0.83120000000000005</v>
      </c>
    </row>
    <row r="302" spans="39:44">
      <c r="AM302" s="450">
        <v>45640</v>
      </c>
      <c r="AN302" s="451">
        <v>294.45999999999998</v>
      </c>
      <c r="AO302" s="451">
        <v>1506570</v>
      </c>
      <c r="AP302" s="451">
        <v>244.32346000000001</v>
      </c>
      <c r="AQ302" s="451">
        <v>71943.486031599998</v>
      </c>
      <c r="AR302" s="451">
        <v>0.83120000000000005</v>
      </c>
    </row>
    <row r="303" spans="39:44">
      <c r="AM303" s="450">
        <v>45639</v>
      </c>
      <c r="AN303" s="451">
        <v>292.29000000000002</v>
      </c>
      <c r="AO303" s="451">
        <v>1248469</v>
      </c>
      <c r="AP303" s="451">
        <v>244.32346000000001</v>
      </c>
      <c r="AQ303" s="451">
        <v>71413.304123400012</v>
      </c>
      <c r="AR303" s="451">
        <v>0.82509999999999994</v>
      </c>
    </row>
    <row r="304" spans="39:44">
      <c r="AM304" s="450">
        <v>45638</v>
      </c>
      <c r="AN304" s="451">
        <v>291.89</v>
      </c>
      <c r="AO304" s="451">
        <v>1896947</v>
      </c>
      <c r="AP304" s="451">
        <v>244.32346000000001</v>
      </c>
      <c r="AQ304" s="451">
        <v>71315.574739400006</v>
      </c>
      <c r="AR304" s="451">
        <v>0.82399999999999995</v>
      </c>
    </row>
    <row r="305" spans="39:44">
      <c r="AM305" s="450">
        <v>45637</v>
      </c>
      <c r="AN305" s="451">
        <v>287.27</v>
      </c>
      <c r="AO305" s="451">
        <v>1235636</v>
      </c>
      <c r="AP305" s="451">
        <v>244.32346000000001</v>
      </c>
      <c r="AQ305" s="451">
        <v>70186.800354199993</v>
      </c>
      <c r="AR305" s="451">
        <v>0.81089999999999995</v>
      </c>
    </row>
    <row r="306" spans="39:44">
      <c r="AM306" s="450">
        <v>45636</v>
      </c>
      <c r="AN306" s="451">
        <v>289.79000000000002</v>
      </c>
      <c r="AO306" s="451">
        <v>1594026</v>
      </c>
      <c r="AP306" s="451">
        <v>244.32346000000001</v>
      </c>
      <c r="AQ306" s="451">
        <v>70802.495473400006</v>
      </c>
      <c r="AR306" s="451">
        <v>0.81799999999999995</v>
      </c>
    </row>
    <row r="307" spans="39:44">
      <c r="AM307" s="450">
        <v>45635</v>
      </c>
      <c r="AN307" s="451">
        <v>286.27999999999997</v>
      </c>
      <c r="AO307" s="451">
        <v>1734576</v>
      </c>
      <c r="AP307" s="451">
        <v>244.32346000000001</v>
      </c>
      <c r="AQ307" s="451">
        <v>69944.920128799989</v>
      </c>
      <c r="AR307" s="451">
        <v>0.80810000000000004</v>
      </c>
    </row>
    <row r="308" spans="39:44">
      <c r="AM308" s="450">
        <v>45634</v>
      </c>
      <c r="AN308" s="451">
        <v>286.27999999999997</v>
      </c>
      <c r="AO308" s="451">
        <v>1734576</v>
      </c>
      <c r="AP308" s="451">
        <v>244.32346000000001</v>
      </c>
      <c r="AQ308" s="451">
        <v>69944.920128799989</v>
      </c>
      <c r="AR308" s="451">
        <v>0.80810000000000004</v>
      </c>
    </row>
    <row r="309" spans="39:44">
      <c r="AM309" s="450">
        <v>45633</v>
      </c>
      <c r="AN309" s="451">
        <v>286.27999999999997</v>
      </c>
      <c r="AO309" s="451">
        <v>1734576</v>
      </c>
      <c r="AP309" s="451">
        <v>244.32346000000001</v>
      </c>
      <c r="AQ309" s="451">
        <v>69944.920128799989</v>
      </c>
      <c r="AR309" s="451">
        <v>0.80810000000000004</v>
      </c>
    </row>
    <row r="310" spans="39:44">
      <c r="AM310" s="450">
        <v>45632</v>
      </c>
      <c r="AN310" s="451">
        <v>283.20999999999998</v>
      </c>
      <c r="AO310" s="451">
        <v>1317201</v>
      </c>
      <c r="AP310" s="451">
        <v>244.32346000000001</v>
      </c>
      <c r="AQ310" s="451">
        <v>69194.847106599991</v>
      </c>
      <c r="AR310" s="451">
        <v>0.79949999999999999</v>
      </c>
    </row>
    <row r="311" spans="39:44">
      <c r="AM311" s="450">
        <v>45631</v>
      </c>
      <c r="AN311" s="451">
        <v>280.06</v>
      </c>
      <c r="AO311" s="451">
        <v>2639846</v>
      </c>
      <c r="AP311" s="451">
        <v>244.32346000000001</v>
      </c>
      <c r="AQ311" s="451">
        <v>68425.228207599997</v>
      </c>
      <c r="AR311" s="451">
        <v>0.79059999999999997</v>
      </c>
    </row>
    <row r="312" spans="39:44">
      <c r="AM312" s="450">
        <v>45630</v>
      </c>
      <c r="AN312" s="451">
        <v>275.42</v>
      </c>
      <c r="AO312" s="451">
        <v>948559</v>
      </c>
      <c r="AP312" s="451">
        <v>244.32346000000001</v>
      </c>
      <c r="AQ312" s="451">
        <v>67291.567353200007</v>
      </c>
      <c r="AR312" s="451">
        <v>0.77749999999999997</v>
      </c>
    </row>
    <row r="313" spans="39:44">
      <c r="AM313" s="450">
        <v>45629</v>
      </c>
      <c r="AN313" s="451">
        <v>271.18</v>
      </c>
      <c r="AO313" s="451">
        <v>1020139</v>
      </c>
      <c r="AP313" s="451">
        <v>244.32346000000001</v>
      </c>
      <c r="AQ313" s="451">
        <v>66255.635882800008</v>
      </c>
      <c r="AR313" s="451">
        <v>0.76549999999999996</v>
      </c>
    </row>
    <row r="314" spans="39:44">
      <c r="AM314" s="450">
        <v>45628</v>
      </c>
      <c r="AN314" s="451">
        <v>274.35000000000002</v>
      </c>
      <c r="AO314" s="451">
        <v>1370415</v>
      </c>
      <c r="AP314" s="451">
        <v>244.32346000000001</v>
      </c>
      <c r="AQ314" s="451">
        <v>67030.141251000008</v>
      </c>
      <c r="AR314" s="451">
        <v>0.77439999999999998</v>
      </c>
    </row>
    <row r="315" spans="39:44">
      <c r="AM315" s="450">
        <v>45627</v>
      </c>
      <c r="AN315" s="451">
        <v>274.35000000000002</v>
      </c>
      <c r="AO315" s="451">
        <v>1370415</v>
      </c>
      <c r="AP315" s="451">
        <v>244.32346000000001</v>
      </c>
      <c r="AQ315" s="451">
        <v>67030.141251000008</v>
      </c>
      <c r="AR315" s="451">
        <v>0.77439999999999998</v>
      </c>
    </row>
    <row r="316" spans="39:44">
      <c r="AM316" s="450">
        <v>45626</v>
      </c>
      <c r="AN316" s="451">
        <v>274.35000000000002</v>
      </c>
      <c r="AO316" s="451">
        <v>1370415</v>
      </c>
      <c r="AP316" s="451">
        <v>244.32346000000001</v>
      </c>
      <c r="AQ316" s="451">
        <v>67030.141251000008</v>
      </c>
      <c r="AR316" s="451">
        <v>0.77439999999999998</v>
      </c>
    </row>
    <row r="317" spans="39:44">
      <c r="AM317" s="450">
        <v>45625</v>
      </c>
      <c r="AN317" s="451">
        <v>273.85000000000002</v>
      </c>
      <c r="AO317" s="451">
        <v>1099532</v>
      </c>
      <c r="AP317" s="451">
        <v>244.32346000000001</v>
      </c>
      <c r="AQ317" s="451">
        <v>66907.979521000016</v>
      </c>
      <c r="AR317" s="451">
        <v>0.77300000000000002</v>
      </c>
    </row>
    <row r="318" spans="39:44">
      <c r="AM318" s="450">
        <v>45624</v>
      </c>
      <c r="AN318" s="451">
        <v>274.08</v>
      </c>
      <c r="AO318" s="451">
        <v>1197151</v>
      </c>
      <c r="AP318" s="451">
        <v>244.32346000000001</v>
      </c>
      <c r="AQ318" s="451">
        <v>66964.173916800006</v>
      </c>
      <c r="AR318" s="451">
        <v>0.77370000000000005</v>
      </c>
    </row>
    <row r="319" spans="39:44">
      <c r="AM319" s="450">
        <v>45623</v>
      </c>
      <c r="AN319" s="451">
        <v>275.04000000000002</v>
      </c>
      <c r="AO319" s="451">
        <v>1190146</v>
      </c>
      <c r="AP319" s="451">
        <v>244.32346000000001</v>
      </c>
      <c r="AQ319" s="451">
        <v>67198.724438400008</v>
      </c>
      <c r="AR319" s="451">
        <v>0.77639999999999998</v>
      </c>
    </row>
    <row r="320" spans="39:44">
      <c r="AM320" s="450">
        <v>45622</v>
      </c>
      <c r="AN320" s="451">
        <v>275.45</v>
      </c>
      <c r="AO320" s="451">
        <v>1179784</v>
      </c>
      <c r="AP320" s="451">
        <v>244.32346000000001</v>
      </c>
      <c r="AQ320" s="451">
        <v>67298.897056999995</v>
      </c>
      <c r="AR320" s="451">
        <v>0.77749999999999997</v>
      </c>
    </row>
    <row r="321" spans="39:44">
      <c r="AM321" s="450">
        <v>45621</v>
      </c>
      <c r="AN321" s="451">
        <v>272.12</v>
      </c>
      <c r="AO321" s="451">
        <v>835534</v>
      </c>
      <c r="AP321" s="451">
        <v>244.32346000000001</v>
      </c>
      <c r="AQ321" s="451">
        <v>66485.299935200004</v>
      </c>
      <c r="AR321" s="451">
        <v>0.7681</v>
      </c>
    </row>
    <row r="322" spans="39:44">
      <c r="AM322" s="450">
        <v>45620</v>
      </c>
      <c r="AN322" s="451">
        <v>272.12</v>
      </c>
      <c r="AO322" s="451">
        <v>835534</v>
      </c>
      <c r="AP322" s="451">
        <v>244.32346000000001</v>
      </c>
      <c r="AQ322" s="451">
        <v>66485.299935200004</v>
      </c>
      <c r="AR322" s="451">
        <v>0.7681</v>
      </c>
    </row>
    <row r="323" spans="39:44">
      <c r="AM323" s="450">
        <v>45619</v>
      </c>
      <c r="AN323" s="451">
        <v>272.12</v>
      </c>
      <c r="AO323" s="451">
        <v>835534</v>
      </c>
      <c r="AP323" s="451">
        <v>244.32346000000001</v>
      </c>
      <c r="AQ323" s="451">
        <v>66485.299935200004</v>
      </c>
      <c r="AR323" s="451">
        <v>0.7681</v>
      </c>
    </row>
    <row r="324" spans="39:44">
      <c r="AM324" s="450">
        <v>45618</v>
      </c>
      <c r="AN324" s="451">
        <v>272.87</v>
      </c>
      <c r="AO324" s="451">
        <v>1635802</v>
      </c>
      <c r="AP324" s="451">
        <v>244.32346000000001</v>
      </c>
      <c r="AQ324" s="451">
        <v>66668.542530200008</v>
      </c>
      <c r="AR324" s="451">
        <v>0.77029999999999998</v>
      </c>
    </row>
    <row r="325" spans="39:44">
      <c r="AM325" s="450">
        <v>45617</v>
      </c>
      <c r="AN325" s="451">
        <v>268.05</v>
      </c>
      <c r="AO325" s="451">
        <v>1153174</v>
      </c>
      <c r="AP325" s="451">
        <v>244.32346000000001</v>
      </c>
      <c r="AQ325" s="451">
        <v>65490.903453000006</v>
      </c>
      <c r="AR325" s="451">
        <v>0.75670000000000004</v>
      </c>
    </row>
    <row r="326" spans="39:44">
      <c r="AM326" s="450">
        <v>45616</v>
      </c>
      <c r="AN326" s="451">
        <v>269.79000000000002</v>
      </c>
      <c r="AO326" s="451">
        <v>971993</v>
      </c>
      <c r="AP326" s="451">
        <v>244.32346000000001</v>
      </c>
      <c r="AQ326" s="451">
        <v>65916.026273400013</v>
      </c>
      <c r="AR326" s="451">
        <v>0.76160000000000005</v>
      </c>
    </row>
    <row r="327" spans="39:44">
      <c r="AM327" s="450">
        <v>45615</v>
      </c>
      <c r="AN327" s="451">
        <v>268.81</v>
      </c>
      <c r="AO327" s="451">
        <v>1443007</v>
      </c>
      <c r="AP327" s="451">
        <v>244.32346000000001</v>
      </c>
      <c r="AQ327" s="451">
        <v>65676.589282600005</v>
      </c>
      <c r="AR327" s="451">
        <v>0.75880000000000003</v>
      </c>
    </row>
    <row r="328" spans="39:44">
      <c r="AM328" s="450">
        <v>45614</v>
      </c>
      <c r="AN328" s="451">
        <v>274.39999999999998</v>
      </c>
      <c r="AO328" s="451">
        <v>1217071</v>
      </c>
      <c r="AP328" s="451">
        <v>244.32346000000001</v>
      </c>
      <c r="AQ328" s="451">
        <v>67042.357424000002</v>
      </c>
      <c r="AR328" s="451">
        <v>0.77459999999999996</v>
      </c>
    </row>
    <row r="329" spans="39:44">
      <c r="AM329" s="450">
        <v>45613</v>
      </c>
      <c r="AN329" s="451">
        <v>274.39999999999998</v>
      </c>
      <c r="AO329" s="451">
        <v>1217071</v>
      </c>
      <c r="AP329" s="451">
        <v>244.32346000000001</v>
      </c>
      <c r="AQ329" s="451">
        <v>67042.357424000002</v>
      </c>
      <c r="AR329" s="451">
        <v>0.77459999999999996</v>
      </c>
    </row>
    <row r="330" spans="39:44">
      <c r="AM330" s="450">
        <v>45612</v>
      </c>
      <c r="AN330" s="451">
        <v>274.39999999999998</v>
      </c>
      <c r="AO330" s="451">
        <v>1217071</v>
      </c>
      <c r="AP330" s="451">
        <v>244.32346000000001</v>
      </c>
      <c r="AQ330" s="451">
        <v>67042.357424000002</v>
      </c>
      <c r="AR330" s="451">
        <v>0.77459999999999996</v>
      </c>
    </row>
    <row r="331" spans="39:44">
      <c r="AM331" s="450">
        <v>45611</v>
      </c>
      <c r="AN331" s="451">
        <v>274.26</v>
      </c>
      <c r="AO331" s="451">
        <v>1603015</v>
      </c>
      <c r="AP331" s="451">
        <v>244.32346000000001</v>
      </c>
      <c r="AQ331" s="451">
        <v>67008.152139600003</v>
      </c>
      <c r="AR331" s="451">
        <v>0.7742</v>
      </c>
    </row>
    <row r="332" spans="39:44">
      <c r="AM332" s="450">
        <v>45610</v>
      </c>
      <c r="AN332" s="451">
        <v>271.8</v>
      </c>
      <c r="AO332" s="451">
        <v>1713680</v>
      </c>
      <c r="AP332" s="451">
        <v>244.32346000000001</v>
      </c>
      <c r="AQ332" s="451">
        <v>66407.116428000008</v>
      </c>
      <c r="AR332" s="451">
        <v>0.76719999999999999</v>
      </c>
    </row>
    <row r="333" spans="39:44">
      <c r="AM333" s="450">
        <v>45609</v>
      </c>
      <c r="AN333" s="451">
        <v>265.92</v>
      </c>
      <c r="AO333" s="451">
        <v>1363221</v>
      </c>
      <c r="AP333" s="451">
        <v>244.32346000000001</v>
      </c>
      <c r="AQ333" s="451">
        <v>64970.494483200004</v>
      </c>
      <c r="AR333" s="451">
        <v>0.75060000000000004</v>
      </c>
    </row>
    <row r="334" spans="39:44">
      <c r="AM334" s="450">
        <v>45608</v>
      </c>
      <c r="AN334" s="451">
        <v>267.45</v>
      </c>
      <c r="AO334" s="451">
        <v>922317</v>
      </c>
      <c r="AP334" s="451">
        <v>244.32346000000001</v>
      </c>
      <c r="AQ334" s="451">
        <v>65344.309376999998</v>
      </c>
      <c r="AR334" s="451">
        <v>0.755</v>
      </c>
    </row>
    <row r="335" spans="39:44">
      <c r="AM335" s="450">
        <v>45607</v>
      </c>
      <c r="AN335" s="451">
        <v>264.36</v>
      </c>
      <c r="AO335" s="451">
        <v>965705</v>
      </c>
      <c r="AP335" s="451">
        <v>244.32346000000001</v>
      </c>
      <c r="AQ335" s="451">
        <v>64589.349885600008</v>
      </c>
      <c r="AR335" s="451">
        <v>0.74619999999999997</v>
      </c>
    </row>
    <row r="336" spans="39:44">
      <c r="AM336" s="450">
        <v>45606</v>
      </c>
      <c r="AN336" s="451">
        <v>264.36</v>
      </c>
      <c r="AO336" s="451">
        <v>965705</v>
      </c>
      <c r="AP336" s="451">
        <v>244.32346000000001</v>
      </c>
      <c r="AQ336" s="451">
        <v>64589.349885600008</v>
      </c>
      <c r="AR336" s="451">
        <v>0.74619999999999997</v>
      </c>
    </row>
    <row r="337" spans="39:44">
      <c r="AM337" s="450">
        <v>45605</v>
      </c>
      <c r="AN337" s="451">
        <v>264.36</v>
      </c>
      <c r="AO337" s="451">
        <v>965705</v>
      </c>
      <c r="AP337" s="451">
        <v>244.32346000000001</v>
      </c>
      <c r="AQ337" s="451">
        <v>64589.349885600008</v>
      </c>
      <c r="AR337" s="451">
        <v>0.74619999999999997</v>
      </c>
    </row>
    <row r="338" spans="39:44">
      <c r="AM338" s="450">
        <v>45604</v>
      </c>
      <c r="AN338" s="451">
        <v>264.27</v>
      </c>
      <c r="AO338" s="451">
        <v>872825</v>
      </c>
      <c r="AP338" s="451">
        <v>244.32346000000001</v>
      </c>
      <c r="AQ338" s="451">
        <v>64567.360774200002</v>
      </c>
      <c r="AR338" s="451">
        <v>0.746</v>
      </c>
    </row>
    <row r="339" spans="39:44">
      <c r="AM339" s="450">
        <v>45603</v>
      </c>
      <c r="AN339" s="451">
        <v>264.64</v>
      </c>
      <c r="AO339" s="451">
        <v>1308338</v>
      </c>
      <c r="AP339" s="451">
        <v>244.32346000000001</v>
      </c>
      <c r="AQ339" s="451">
        <v>64657.760454399999</v>
      </c>
      <c r="AR339" s="451">
        <v>0.747</v>
      </c>
    </row>
    <row r="340" spans="39:44">
      <c r="AM340" s="450">
        <v>45602</v>
      </c>
      <c r="AN340" s="451">
        <v>261.39999999999998</v>
      </c>
      <c r="AO340" s="451">
        <v>1073116</v>
      </c>
      <c r="AP340" s="451">
        <v>244.32346000000001</v>
      </c>
      <c r="AQ340" s="451">
        <v>63866.152443999999</v>
      </c>
      <c r="AR340" s="451">
        <v>0.7379</v>
      </c>
    </row>
    <row r="341" spans="39:44">
      <c r="AM341" s="450">
        <v>45601</v>
      </c>
      <c r="AN341" s="451">
        <v>260.5</v>
      </c>
      <c r="AO341" s="451">
        <v>1342256</v>
      </c>
      <c r="AP341" s="451">
        <v>244.32346000000001</v>
      </c>
      <c r="AQ341" s="451">
        <v>63646.261330000001</v>
      </c>
      <c r="AR341" s="451">
        <v>0.73529999999999995</v>
      </c>
    </row>
    <row r="342" spans="39:44">
      <c r="AM342" s="450">
        <v>45600</v>
      </c>
      <c r="AN342" s="451">
        <v>260.83999999999997</v>
      </c>
      <c r="AO342" s="451">
        <v>1638679</v>
      </c>
      <c r="AP342" s="451">
        <v>244.32346000000001</v>
      </c>
      <c r="AQ342" s="451">
        <v>63729.331306399996</v>
      </c>
      <c r="AR342" s="451">
        <v>0.73629999999999995</v>
      </c>
    </row>
    <row r="343" spans="39:44">
      <c r="AM343" s="450">
        <v>45599</v>
      </c>
      <c r="AN343" s="451">
        <v>260.83999999999997</v>
      </c>
      <c r="AO343" s="451">
        <v>1638679</v>
      </c>
      <c r="AP343" s="451">
        <v>244.32346000000001</v>
      </c>
      <c r="AQ343" s="451">
        <v>63729.331306399996</v>
      </c>
      <c r="AR343" s="451">
        <v>0.73629999999999995</v>
      </c>
    </row>
    <row r="344" spans="39:44">
      <c r="AM344" s="450">
        <v>45598</v>
      </c>
      <c r="AN344" s="451">
        <v>260.83999999999997</v>
      </c>
      <c r="AO344" s="451">
        <v>1638679</v>
      </c>
      <c r="AP344" s="451">
        <v>244.32346000000001</v>
      </c>
      <c r="AQ344" s="451">
        <v>63729.331306399996</v>
      </c>
      <c r="AR344" s="451">
        <v>0.73629999999999995</v>
      </c>
    </row>
    <row r="345" spans="39:44">
      <c r="AM345" s="450">
        <v>45597</v>
      </c>
      <c r="AN345" s="451">
        <v>262.08</v>
      </c>
      <c r="AO345" s="451">
        <v>1733135</v>
      </c>
      <c r="AP345" s="451">
        <v>244.32346000000001</v>
      </c>
      <c r="AQ345" s="451">
        <v>64032.292396799996</v>
      </c>
      <c r="AR345" s="451">
        <v>0.73980000000000001</v>
      </c>
    </row>
    <row r="346" spans="39:44">
      <c r="AM346" s="450">
        <v>45596</v>
      </c>
      <c r="AN346" s="451">
        <v>266.93</v>
      </c>
      <c r="AO346" s="451">
        <v>1406439</v>
      </c>
      <c r="AP346" s="451">
        <v>244.32346000000001</v>
      </c>
      <c r="AQ346" s="451">
        <v>65217.261177800006</v>
      </c>
      <c r="AR346" s="451">
        <v>0.75349999999999995</v>
      </c>
    </row>
    <row r="347" spans="39:44">
      <c r="AM347" s="450">
        <v>45595</v>
      </c>
      <c r="AN347" s="451">
        <v>269.56</v>
      </c>
      <c r="AO347" s="451">
        <v>1703842</v>
      </c>
      <c r="AP347" s="451">
        <v>244.32346000000001</v>
      </c>
      <c r="AQ347" s="451">
        <v>65859.831877600009</v>
      </c>
      <c r="AR347" s="451">
        <v>0.76090000000000002</v>
      </c>
    </row>
    <row r="348" spans="39:44">
      <c r="AM348" s="450">
        <v>45594</v>
      </c>
      <c r="AN348" s="451">
        <v>273.68</v>
      </c>
      <c r="AO348" s="451">
        <v>2908280</v>
      </c>
      <c r="AP348" s="451">
        <v>244.32346000000001</v>
      </c>
      <c r="AQ348" s="451">
        <v>66866.4445328</v>
      </c>
      <c r="AR348" s="451">
        <v>0.77249999999999996</v>
      </c>
    </row>
    <row r="349" spans="39:44">
      <c r="AM349" s="450">
        <v>45593</v>
      </c>
      <c r="AN349" s="451">
        <v>267.55</v>
      </c>
      <c r="AO349" s="451">
        <v>1819238</v>
      </c>
      <c r="AP349" s="451">
        <v>244.32346000000001</v>
      </c>
      <c r="AQ349" s="451">
        <v>65368.741723000006</v>
      </c>
      <c r="AR349" s="451">
        <v>0.75519999999999998</v>
      </c>
    </row>
    <row r="350" spans="39:44">
      <c r="AM350" s="450">
        <v>45592</v>
      </c>
      <c r="AN350" s="451">
        <v>267.55</v>
      </c>
      <c r="AO350" s="451">
        <v>1819238</v>
      </c>
      <c r="AP350" s="451">
        <v>244.32346000000001</v>
      </c>
      <c r="AQ350" s="451">
        <v>65368.741723000006</v>
      </c>
      <c r="AR350" s="451">
        <v>0.75519999999999998</v>
      </c>
    </row>
    <row r="351" spans="39:44">
      <c r="AM351" s="450">
        <v>45591</v>
      </c>
      <c r="AN351" s="451">
        <v>267.55</v>
      </c>
      <c r="AO351" s="451">
        <v>1819238</v>
      </c>
      <c r="AP351" s="451">
        <v>244.32346000000001</v>
      </c>
      <c r="AQ351" s="451">
        <v>65368.741723000006</v>
      </c>
      <c r="AR351" s="451">
        <v>0.75519999999999998</v>
      </c>
    </row>
    <row r="352" spans="39:44">
      <c r="AM352" s="450">
        <v>45590</v>
      </c>
      <c r="AN352" s="451">
        <v>266.33</v>
      </c>
      <c r="AO352" s="451">
        <v>1862548</v>
      </c>
      <c r="AP352" s="451">
        <v>244.32346000000001</v>
      </c>
      <c r="AQ352" s="451">
        <v>65070.667101799998</v>
      </c>
      <c r="AR352" s="451">
        <v>0.75180000000000002</v>
      </c>
    </row>
    <row r="353" spans="39:44">
      <c r="AM353" s="450">
        <v>45589</v>
      </c>
      <c r="AN353" s="451">
        <v>263.77</v>
      </c>
      <c r="AO353" s="451">
        <v>2593692</v>
      </c>
      <c r="AP353" s="451">
        <v>244.32346000000001</v>
      </c>
      <c r="AQ353" s="451">
        <v>64445.199044199995</v>
      </c>
      <c r="AR353" s="451">
        <v>0.74460000000000004</v>
      </c>
    </row>
    <row r="354" spans="39:44">
      <c r="AM354" s="450">
        <v>45588</v>
      </c>
      <c r="AN354" s="451">
        <v>267.13</v>
      </c>
      <c r="AO354" s="451">
        <v>4108980</v>
      </c>
      <c r="AP354" s="451">
        <v>244.32300000000001</v>
      </c>
      <c r="AQ354" s="451">
        <v>65266.002990000001</v>
      </c>
      <c r="AR354" s="451">
        <v>0.75409999999999999</v>
      </c>
    </row>
    <row r="355" spans="39:44">
      <c r="AM355" s="450">
        <v>45587</v>
      </c>
      <c r="AN355" s="451">
        <v>258.79000000000002</v>
      </c>
      <c r="AO355" s="451">
        <v>3730597</v>
      </c>
      <c r="AP355" s="451">
        <v>244.32346000000001</v>
      </c>
      <c r="AQ355" s="451">
        <v>63228.46821340001</v>
      </c>
      <c r="AR355" s="451">
        <v>0.73050000000000004</v>
      </c>
    </row>
    <row r="356" spans="39:44">
      <c r="AM356" s="450">
        <v>45586</v>
      </c>
      <c r="AN356" s="451">
        <v>254.64</v>
      </c>
      <c r="AO356" s="451">
        <v>17455457</v>
      </c>
      <c r="AP356" s="451">
        <v>244.32346000000001</v>
      </c>
      <c r="AQ356" s="451">
        <v>62214.525854400003</v>
      </c>
      <c r="AR356" s="451">
        <v>0.71879999999999999</v>
      </c>
    </row>
    <row r="357" spans="39:44">
      <c r="AM357" s="450">
        <v>45585</v>
      </c>
      <c r="AN357" s="451">
        <v>254.64</v>
      </c>
      <c r="AO357" s="451">
        <v>17455457</v>
      </c>
      <c r="AP357" s="451">
        <v>244.32346000000001</v>
      </c>
      <c r="AQ357" s="451">
        <v>62214.525854400003</v>
      </c>
      <c r="AR357" s="451">
        <v>0.71879999999999999</v>
      </c>
    </row>
    <row r="358" spans="39:44">
      <c r="AM358" s="450">
        <v>45584</v>
      </c>
      <c r="AN358" s="451">
        <v>254.64</v>
      </c>
      <c r="AO358" s="451">
        <v>17455457</v>
      </c>
      <c r="AP358" s="451">
        <v>244.32346000000001</v>
      </c>
      <c r="AQ358" s="451">
        <v>62214.525854400003</v>
      </c>
      <c r="AR358" s="451">
        <v>0.71879999999999999</v>
      </c>
    </row>
    <row r="359" spans="39:44">
      <c r="AM359" s="450">
        <v>45583</v>
      </c>
      <c r="AN359" s="451">
        <v>300.39</v>
      </c>
      <c r="AO359" s="451">
        <v>4220491</v>
      </c>
      <c r="AP359" s="451">
        <v>244.32346000000001</v>
      </c>
      <c r="AQ359" s="451">
        <v>73392.324149399996</v>
      </c>
      <c r="AR359" s="451">
        <v>0.84789999999999999</v>
      </c>
    </row>
    <row r="360" spans="39:44">
      <c r="AM360" s="450">
        <v>45582</v>
      </c>
      <c r="AN360" s="451">
        <v>298.17</v>
      </c>
      <c r="AO360" s="451">
        <v>1373510</v>
      </c>
      <c r="AP360" s="451">
        <v>244.96267</v>
      </c>
      <c r="AQ360" s="451">
        <v>73040.519313900004</v>
      </c>
      <c r="AR360" s="451">
        <v>0.8417</v>
      </c>
    </row>
    <row r="361" spans="39:44">
      <c r="AM361" s="450">
        <v>45581</v>
      </c>
      <c r="AN361" s="451">
        <v>297.33999999999997</v>
      </c>
      <c r="AO361" s="451">
        <v>1331334</v>
      </c>
      <c r="AP361" s="451">
        <v>244.96267</v>
      </c>
      <c r="AQ361" s="451">
        <v>72837.200297799995</v>
      </c>
      <c r="AR361" s="451">
        <v>0.83930000000000005</v>
      </c>
    </row>
    <row r="362" spans="39:44">
      <c r="AM362" s="450">
        <v>45580</v>
      </c>
      <c r="AN362" s="451">
        <v>292.63</v>
      </c>
      <c r="AO362" s="451">
        <v>1141728</v>
      </c>
      <c r="AP362" s="451">
        <v>244.96267</v>
      </c>
      <c r="AQ362" s="451">
        <v>71683.426122100005</v>
      </c>
      <c r="AR362" s="451">
        <v>0.82599999999999996</v>
      </c>
    </row>
    <row r="363" spans="39:44">
      <c r="AM363" s="450">
        <v>45579</v>
      </c>
      <c r="AN363" s="451">
        <v>286.38</v>
      </c>
      <c r="AO363" s="451">
        <v>1142647</v>
      </c>
      <c r="AP363" s="451">
        <v>244.96267</v>
      </c>
      <c r="AQ363" s="451">
        <v>70152.409434600006</v>
      </c>
      <c r="AR363" s="451">
        <v>0.80840000000000001</v>
      </c>
    </row>
    <row r="364" spans="39:44">
      <c r="AM364" s="450">
        <v>45578</v>
      </c>
      <c r="AN364" s="451">
        <v>286.38</v>
      </c>
      <c r="AO364" s="451">
        <v>1142647</v>
      </c>
      <c r="AP364" s="451">
        <v>244.96267</v>
      </c>
      <c r="AQ364" s="451">
        <v>70152.409434600006</v>
      </c>
      <c r="AR364" s="451">
        <v>0.80840000000000001</v>
      </c>
    </row>
    <row r="365" spans="39:44">
      <c r="AM365" s="450">
        <v>45577</v>
      </c>
      <c r="AN365" s="451">
        <v>286.38</v>
      </c>
      <c r="AO365" s="451">
        <v>1142647</v>
      </c>
      <c r="AP365" s="451">
        <v>244.96267</v>
      </c>
      <c r="AQ365" s="451">
        <v>70152.409434600006</v>
      </c>
      <c r="AR365" s="451">
        <v>0.80840000000000001</v>
      </c>
    </row>
    <row r="366" spans="39:44">
      <c r="AM366" s="450">
        <v>45576</v>
      </c>
      <c r="AN366" s="451">
        <v>286</v>
      </c>
      <c r="AO366" s="451">
        <v>862185</v>
      </c>
      <c r="AP366" s="451">
        <v>244.96267</v>
      </c>
      <c r="AQ366" s="451">
        <v>70059.323619999996</v>
      </c>
      <c r="AR366" s="451">
        <v>0.80730000000000002</v>
      </c>
    </row>
    <row r="367" spans="39:44">
      <c r="AM367" s="450">
        <v>45575</v>
      </c>
      <c r="AN367" s="451">
        <v>284.86</v>
      </c>
      <c r="AO367" s="451">
        <v>937701</v>
      </c>
      <c r="AP367" s="451">
        <v>244.96267</v>
      </c>
      <c r="AQ367" s="451">
        <v>69780.066176200009</v>
      </c>
      <c r="AR367" s="451">
        <v>0.80410000000000004</v>
      </c>
    </row>
    <row r="368" spans="39:44">
      <c r="AM368" s="450">
        <v>45574</v>
      </c>
      <c r="AN368" s="451">
        <v>283.85000000000002</v>
      </c>
      <c r="AO368" s="451">
        <v>940090</v>
      </c>
      <c r="AP368" s="451">
        <v>244.96267</v>
      </c>
      <c r="AQ368" s="451">
        <v>69532.653879500009</v>
      </c>
      <c r="AR368" s="451">
        <v>0.80130000000000001</v>
      </c>
    </row>
    <row r="369" spans="39:44">
      <c r="AM369" s="450">
        <v>45573</v>
      </c>
      <c r="AN369" s="451">
        <v>283.3</v>
      </c>
      <c r="AO369" s="451">
        <v>880031</v>
      </c>
      <c r="AP369" s="451">
        <v>244.96267</v>
      </c>
      <c r="AQ369" s="451">
        <v>69397.924411</v>
      </c>
      <c r="AR369" s="451">
        <v>0.79969999999999997</v>
      </c>
    </row>
    <row r="370" spans="39:44">
      <c r="AM370" s="450">
        <v>45572</v>
      </c>
      <c r="AN370" s="451">
        <v>283.04000000000002</v>
      </c>
      <c r="AO370" s="451">
        <v>1117464</v>
      </c>
      <c r="AP370" s="451">
        <v>244.96267</v>
      </c>
      <c r="AQ370" s="451">
        <v>69334.234116800013</v>
      </c>
      <c r="AR370" s="451">
        <v>0.79900000000000004</v>
      </c>
    </row>
    <row r="371" spans="39:44">
      <c r="AM371" s="450">
        <v>45571</v>
      </c>
      <c r="AN371" s="451">
        <v>283.04000000000002</v>
      </c>
      <c r="AO371" s="451">
        <v>1117464</v>
      </c>
      <c r="AP371" s="451">
        <v>244.96267</v>
      </c>
      <c r="AQ371" s="451">
        <v>69334.234116800013</v>
      </c>
      <c r="AR371" s="451">
        <v>0.79900000000000004</v>
      </c>
    </row>
    <row r="372" spans="39:44">
      <c r="AM372" s="450">
        <v>45570</v>
      </c>
      <c r="AN372" s="451">
        <v>283.04000000000002</v>
      </c>
      <c r="AO372" s="451">
        <v>1117464</v>
      </c>
      <c r="AP372" s="451">
        <v>244.96267</v>
      </c>
      <c r="AQ372" s="451">
        <v>69334.234116800013</v>
      </c>
      <c r="AR372" s="451">
        <v>0.79900000000000004</v>
      </c>
    </row>
    <row r="373" spans="39:44">
      <c r="AM373" s="450">
        <v>45569</v>
      </c>
      <c r="AN373" s="451">
        <v>285.31</v>
      </c>
      <c r="AO373" s="451">
        <v>1317998</v>
      </c>
      <c r="AP373" s="451">
        <v>244.96267</v>
      </c>
      <c r="AQ373" s="451">
        <v>69890.299377700008</v>
      </c>
      <c r="AR373" s="451">
        <v>0.8054</v>
      </c>
    </row>
    <row r="374" spans="39:44">
      <c r="AM374" s="450">
        <v>45568</v>
      </c>
      <c r="AN374" s="451">
        <v>292.83999999999997</v>
      </c>
      <c r="AO374" s="451">
        <v>719195</v>
      </c>
      <c r="AP374" s="451">
        <v>244.96267</v>
      </c>
      <c r="AQ374" s="451">
        <v>71734.868282800002</v>
      </c>
      <c r="AR374" s="451">
        <v>0.8266</v>
      </c>
    </row>
    <row r="375" spans="39:44">
      <c r="AM375" s="450">
        <v>45567</v>
      </c>
      <c r="AN375" s="451">
        <v>293.48</v>
      </c>
      <c r="AO375" s="451">
        <v>1138831</v>
      </c>
      <c r="AP375" s="451">
        <v>244.96267</v>
      </c>
      <c r="AQ375" s="451">
        <v>71891.644391599999</v>
      </c>
      <c r="AR375" s="451">
        <v>0.82840000000000003</v>
      </c>
    </row>
    <row r="376" spans="39:44">
      <c r="AM376" s="450">
        <v>45566</v>
      </c>
      <c r="AN376" s="451">
        <v>298.77</v>
      </c>
      <c r="AO376" s="451">
        <v>1096965</v>
      </c>
      <c r="AP376" s="451">
        <v>244.96267</v>
      </c>
      <c r="AQ376" s="451">
        <v>73187.496915900003</v>
      </c>
      <c r="AR376" s="451">
        <v>0.84830000000000005</v>
      </c>
    </row>
    <row r="377" spans="39:44">
      <c r="AM377" s="450">
        <v>45565</v>
      </c>
      <c r="AN377" s="451">
        <v>298.77</v>
      </c>
      <c r="AO377" s="451">
        <v>1096965</v>
      </c>
      <c r="AP377" s="451">
        <v>244.96267</v>
      </c>
      <c r="AQ377" s="451">
        <v>73187.496915900003</v>
      </c>
      <c r="AR377" s="451">
        <v>0.84830000000000005</v>
      </c>
    </row>
    <row r="378" spans="39:44">
      <c r="AM378" s="450">
        <v>45564</v>
      </c>
      <c r="AN378" s="451">
        <v>298.77</v>
      </c>
      <c r="AO378" s="451">
        <v>1096965</v>
      </c>
      <c r="AP378" s="451">
        <v>244.96267</v>
      </c>
      <c r="AQ378" s="451">
        <v>73187.496915900003</v>
      </c>
      <c r="AR378" s="451">
        <v>0.84830000000000005</v>
      </c>
    </row>
    <row r="379" spans="39:44">
      <c r="AM379" s="450">
        <v>45563</v>
      </c>
      <c r="AN379" s="451">
        <v>298.77</v>
      </c>
      <c r="AO379" s="451">
        <v>1096965</v>
      </c>
      <c r="AP379" s="451">
        <v>244.96267</v>
      </c>
      <c r="AQ379" s="451">
        <v>73187.496915900003</v>
      </c>
      <c r="AR379" s="451">
        <v>0.84830000000000005</v>
      </c>
    </row>
    <row r="380" spans="39:44">
      <c r="AM380" s="450">
        <v>45562</v>
      </c>
      <c r="AN380" s="451">
        <v>296.25</v>
      </c>
      <c r="AO380" s="451">
        <v>729970</v>
      </c>
      <c r="AP380" s="451">
        <v>244.96267</v>
      </c>
      <c r="AQ380" s="451">
        <v>72570.190987499998</v>
      </c>
      <c r="AR380" s="451">
        <v>0.84119999999999995</v>
      </c>
    </row>
    <row r="381" spans="39:44">
      <c r="AM381" s="450">
        <v>45561</v>
      </c>
      <c r="AN381" s="451">
        <v>296.13</v>
      </c>
      <c r="AO381" s="451">
        <v>712298</v>
      </c>
      <c r="AP381" s="451">
        <v>244.96267</v>
      </c>
      <c r="AQ381" s="451">
        <v>72540.795467100004</v>
      </c>
      <c r="AR381" s="451">
        <v>0.84079999999999999</v>
      </c>
    </row>
    <row r="382" spans="39:44">
      <c r="AM382" s="450">
        <v>45560</v>
      </c>
      <c r="AN382" s="451">
        <v>294.89999999999998</v>
      </c>
      <c r="AO382" s="451">
        <v>828694</v>
      </c>
      <c r="AP382" s="451">
        <v>244.96267</v>
      </c>
      <c r="AQ382" s="451">
        <v>72239.491383</v>
      </c>
      <c r="AR382" s="451">
        <v>0.83730000000000004</v>
      </c>
    </row>
    <row r="383" spans="39:44">
      <c r="AM383" s="450">
        <v>45559</v>
      </c>
      <c r="AN383" s="451">
        <v>297.24</v>
      </c>
      <c r="AO383" s="451">
        <v>771591</v>
      </c>
      <c r="AP383" s="451">
        <v>244.96267</v>
      </c>
      <c r="AQ383" s="451">
        <v>72812.7040308</v>
      </c>
      <c r="AR383" s="451">
        <v>0.84399999999999997</v>
      </c>
    </row>
    <row r="384" spans="39:44">
      <c r="AM384" s="450">
        <v>45558</v>
      </c>
      <c r="AN384" s="451">
        <v>297.18</v>
      </c>
      <c r="AO384" s="451">
        <v>865593</v>
      </c>
      <c r="AP384" s="451">
        <v>244.96267</v>
      </c>
      <c r="AQ384" s="451">
        <v>72798.006270600003</v>
      </c>
      <c r="AR384" s="451">
        <v>0.84379999999999999</v>
      </c>
    </row>
    <row r="385" spans="39:44">
      <c r="AM385" s="450">
        <v>45557</v>
      </c>
      <c r="AN385" s="451">
        <v>297.18</v>
      </c>
      <c r="AO385" s="451">
        <v>865593</v>
      </c>
      <c r="AP385" s="451">
        <v>244.96267</v>
      </c>
      <c r="AQ385" s="451">
        <v>72798.006270600003</v>
      </c>
      <c r="AR385" s="451">
        <v>0.84379999999999999</v>
      </c>
    </row>
    <row r="386" spans="39:44">
      <c r="AM386" s="450">
        <v>45556</v>
      </c>
      <c r="AN386" s="451">
        <v>297.18</v>
      </c>
      <c r="AO386" s="451">
        <v>865593</v>
      </c>
      <c r="AP386" s="451">
        <v>244.96267</v>
      </c>
      <c r="AQ386" s="451">
        <v>72798.006270600003</v>
      </c>
      <c r="AR386" s="451">
        <v>0.84379999999999999</v>
      </c>
    </row>
    <row r="387" spans="39:44">
      <c r="AM387" s="450">
        <v>45555</v>
      </c>
      <c r="AN387" s="451">
        <v>294.27999999999997</v>
      </c>
      <c r="AO387" s="451">
        <v>980082</v>
      </c>
      <c r="AP387" s="451">
        <v>244.96267</v>
      </c>
      <c r="AQ387" s="451">
        <v>72087.614527599988</v>
      </c>
      <c r="AR387" s="451">
        <v>0.83560000000000001</v>
      </c>
    </row>
    <row r="388" spans="39:44">
      <c r="AM388" s="450">
        <v>45554</v>
      </c>
      <c r="AN388" s="451">
        <v>291.52</v>
      </c>
      <c r="AO388" s="451">
        <v>787399</v>
      </c>
      <c r="AP388" s="451">
        <v>244.96267</v>
      </c>
      <c r="AQ388" s="451">
        <v>71411.517558399995</v>
      </c>
      <c r="AR388" s="451">
        <v>0.82769999999999999</v>
      </c>
    </row>
    <row r="389" spans="39:44">
      <c r="AM389" s="450">
        <v>45553</v>
      </c>
      <c r="AN389" s="451">
        <v>288.44</v>
      </c>
      <c r="AO389" s="451">
        <v>591742</v>
      </c>
      <c r="AP389" s="451">
        <v>244.96267</v>
      </c>
      <c r="AQ389" s="451">
        <v>70657.032534800004</v>
      </c>
      <c r="AR389" s="451">
        <v>0.81899999999999995</v>
      </c>
    </row>
    <row r="390" spans="39:44">
      <c r="AM390" s="450">
        <v>45552</v>
      </c>
      <c r="AN390" s="451">
        <v>288.42</v>
      </c>
      <c r="AO390" s="451">
        <v>804192</v>
      </c>
      <c r="AP390" s="451">
        <v>244.96267</v>
      </c>
      <c r="AQ390" s="451">
        <v>70652.133281400005</v>
      </c>
      <c r="AR390" s="451">
        <v>0.81889999999999996</v>
      </c>
    </row>
    <row r="391" spans="39:44">
      <c r="AM391" s="450">
        <v>45551</v>
      </c>
      <c r="AN391" s="451">
        <v>285.39999999999998</v>
      </c>
      <c r="AO391" s="451">
        <v>1318335</v>
      </c>
      <c r="AP391" s="451">
        <v>244.96267</v>
      </c>
      <c r="AQ391" s="451">
        <v>69912.346017999997</v>
      </c>
      <c r="AR391" s="451">
        <v>0.81030000000000002</v>
      </c>
    </row>
    <row r="392" spans="39:44">
      <c r="AM392" s="450">
        <v>45550</v>
      </c>
      <c r="AN392" s="451">
        <v>285.39999999999998</v>
      </c>
      <c r="AO392" s="451">
        <v>1318335</v>
      </c>
      <c r="AP392" s="451">
        <v>244.96267</v>
      </c>
      <c r="AQ392" s="451">
        <v>69912.346017999997</v>
      </c>
      <c r="AR392" s="451">
        <v>0.81030000000000002</v>
      </c>
    </row>
    <row r="393" spans="39:44">
      <c r="AM393" s="450">
        <v>45549</v>
      </c>
      <c r="AN393" s="451">
        <v>285.39999999999998</v>
      </c>
      <c r="AO393" s="451">
        <v>1318335</v>
      </c>
      <c r="AP393" s="451">
        <v>244.96267</v>
      </c>
      <c r="AQ393" s="451">
        <v>69912.346017999997</v>
      </c>
      <c r="AR393" s="451">
        <v>0.81030000000000002</v>
      </c>
    </row>
    <row r="394" spans="39:44">
      <c r="AM394" s="450">
        <v>45548</v>
      </c>
      <c r="AN394" s="451">
        <v>284.18</v>
      </c>
      <c r="AO394" s="451">
        <v>1292881</v>
      </c>
      <c r="AP394" s="451">
        <v>244.96267</v>
      </c>
      <c r="AQ394" s="451">
        <v>69613.4915606</v>
      </c>
      <c r="AR394" s="451">
        <v>0.80689999999999995</v>
      </c>
    </row>
    <row r="395" spans="39:44">
      <c r="AM395" s="450">
        <v>45547</v>
      </c>
      <c r="AN395" s="451">
        <v>283.33</v>
      </c>
      <c r="AO395" s="451">
        <v>768241</v>
      </c>
      <c r="AP395" s="451">
        <v>244.96267</v>
      </c>
      <c r="AQ395" s="451">
        <v>69405.273291099991</v>
      </c>
      <c r="AR395" s="451">
        <v>0.80449999999999999</v>
      </c>
    </row>
    <row r="396" spans="39:44">
      <c r="AM396" s="450">
        <v>45546</v>
      </c>
      <c r="AN396" s="451">
        <v>283.10000000000002</v>
      </c>
      <c r="AO396" s="451">
        <v>1232043</v>
      </c>
      <c r="AP396" s="451">
        <v>244.96267</v>
      </c>
      <c r="AQ396" s="451">
        <v>69348.93187700001</v>
      </c>
      <c r="AR396" s="451">
        <v>0.80379999999999996</v>
      </c>
    </row>
    <row r="397" spans="39:44">
      <c r="AM397" s="450">
        <v>45545</v>
      </c>
      <c r="AN397" s="451">
        <v>279.14999999999998</v>
      </c>
      <c r="AO397" s="451">
        <v>1247323</v>
      </c>
      <c r="AP397" s="451">
        <v>244.96267</v>
      </c>
      <c r="AQ397" s="451">
        <v>68381.329330499997</v>
      </c>
      <c r="AR397" s="451">
        <v>0.79259999999999997</v>
      </c>
    </row>
    <row r="398" spans="39:44">
      <c r="AM398" s="450">
        <v>45544</v>
      </c>
      <c r="AN398" s="451">
        <v>277.41000000000003</v>
      </c>
      <c r="AO398" s="451">
        <v>1256175</v>
      </c>
      <c r="AP398" s="451">
        <v>244.30224999999999</v>
      </c>
      <c r="AQ398" s="451">
        <v>67771.887172500006</v>
      </c>
      <c r="AR398" s="451">
        <v>0.78769999999999996</v>
      </c>
    </row>
    <row r="399" spans="39:44">
      <c r="AM399" s="450">
        <v>45543</v>
      </c>
      <c r="AN399" s="451">
        <v>277.41000000000003</v>
      </c>
      <c r="AO399" s="451">
        <v>1256175</v>
      </c>
      <c r="AP399" s="451">
        <v>244.30224999999999</v>
      </c>
      <c r="AQ399" s="451">
        <v>67771.887172500006</v>
      </c>
      <c r="AR399" s="451">
        <v>0.78769999999999996</v>
      </c>
    </row>
    <row r="400" spans="39:44">
      <c r="AM400" s="450">
        <v>45542</v>
      </c>
      <c r="AN400" s="451">
        <v>277.41000000000003</v>
      </c>
      <c r="AO400" s="451">
        <v>1256175</v>
      </c>
      <c r="AP400" s="451">
        <v>244.30224999999999</v>
      </c>
      <c r="AQ400" s="451">
        <v>67771.887172500006</v>
      </c>
      <c r="AR400" s="451">
        <v>0.78769999999999996</v>
      </c>
    </row>
    <row r="401" spans="39:44">
      <c r="AM401" s="450">
        <v>45541</v>
      </c>
      <c r="AN401" s="451">
        <v>278.62</v>
      </c>
      <c r="AO401" s="451">
        <v>1573352</v>
      </c>
      <c r="AP401" s="451">
        <v>244.30224999999999</v>
      </c>
      <c r="AQ401" s="451">
        <v>68067.492895000003</v>
      </c>
      <c r="AR401" s="451">
        <v>0.79110000000000003</v>
      </c>
    </row>
    <row r="402" spans="39:44">
      <c r="AM402" s="450">
        <v>45540</v>
      </c>
      <c r="AN402" s="451">
        <v>278.13</v>
      </c>
      <c r="AO402" s="451">
        <v>1790974</v>
      </c>
      <c r="AP402" s="451">
        <v>244.30224999999999</v>
      </c>
      <c r="AQ402" s="451">
        <v>67947.784792499995</v>
      </c>
      <c r="AR402" s="451">
        <v>0.78969999999999996</v>
      </c>
    </row>
    <row r="403" spans="39:44">
      <c r="AM403" s="450">
        <v>45539</v>
      </c>
      <c r="AN403" s="451">
        <v>285.73</v>
      </c>
      <c r="AO403" s="451">
        <v>1424722</v>
      </c>
      <c r="AP403" s="451">
        <v>244.30224999999999</v>
      </c>
      <c r="AQ403" s="451">
        <v>69804.4818925</v>
      </c>
      <c r="AR403" s="451">
        <v>0.81130000000000002</v>
      </c>
    </row>
    <row r="404" spans="39:44">
      <c r="AM404" s="450">
        <v>45538</v>
      </c>
      <c r="AN404" s="451">
        <v>283.08999999999997</v>
      </c>
      <c r="AO404" s="451">
        <v>2684030</v>
      </c>
      <c r="AP404" s="451">
        <v>244.30224999999999</v>
      </c>
      <c r="AQ404" s="451">
        <v>69159.523952499992</v>
      </c>
      <c r="AR404" s="451">
        <v>0.80379999999999996</v>
      </c>
    </row>
    <row r="405" spans="39:44">
      <c r="AM405" s="450">
        <v>45537</v>
      </c>
      <c r="AN405" s="451">
        <v>292.3</v>
      </c>
      <c r="AO405" s="451">
        <v>2252729</v>
      </c>
      <c r="AP405" s="451">
        <v>244.30224999999999</v>
      </c>
      <c r="AQ405" s="451">
        <v>71409.547674999994</v>
      </c>
      <c r="AR405" s="451">
        <v>0.82989999999999997</v>
      </c>
    </row>
    <row r="406" spans="39:44">
      <c r="AM406" s="450">
        <v>45536</v>
      </c>
      <c r="AN406" s="451">
        <v>292.3</v>
      </c>
      <c r="AO406" s="451">
        <v>2252729</v>
      </c>
      <c r="AP406" s="451">
        <v>244.30224999999999</v>
      </c>
      <c r="AQ406" s="451">
        <v>71409.547674999994</v>
      </c>
      <c r="AR406" s="451">
        <v>0.82989999999999997</v>
      </c>
    </row>
    <row r="407" spans="39:44">
      <c r="AM407" s="450">
        <v>45535</v>
      </c>
      <c r="AN407" s="451">
        <v>292.3</v>
      </c>
      <c r="AO407" s="451">
        <v>2252729</v>
      </c>
      <c r="AP407" s="451">
        <v>244.30224999999999</v>
      </c>
      <c r="AQ407" s="451">
        <v>71409.547674999994</v>
      </c>
      <c r="AR407" s="451">
        <v>0.82989999999999997</v>
      </c>
    </row>
    <row r="408" spans="39:44">
      <c r="AM408" s="450">
        <v>45534</v>
      </c>
      <c r="AN408" s="451">
        <v>297.83</v>
      </c>
      <c r="AO408" s="451">
        <v>1532574</v>
      </c>
      <c r="AP408" s="451">
        <v>244.30224999999999</v>
      </c>
      <c r="AQ408" s="451">
        <v>72760.539117499997</v>
      </c>
      <c r="AR408" s="451">
        <v>0.84560000000000002</v>
      </c>
    </row>
    <row r="409" spans="39:44">
      <c r="AM409" s="450">
        <v>45533</v>
      </c>
      <c r="AN409" s="451">
        <v>302.25</v>
      </c>
      <c r="AO409" s="451">
        <v>947414</v>
      </c>
      <c r="AP409" s="451">
        <v>244.30224999999999</v>
      </c>
      <c r="AQ409" s="451">
        <v>73840.355062499992</v>
      </c>
      <c r="AR409" s="451">
        <v>0.85819999999999996</v>
      </c>
    </row>
    <row r="410" spans="39:44">
      <c r="AM410" s="450">
        <v>45532</v>
      </c>
      <c r="AN410" s="451">
        <v>300.88</v>
      </c>
      <c r="AO410" s="451">
        <v>1038532</v>
      </c>
      <c r="AP410" s="451">
        <v>244.30224999999999</v>
      </c>
      <c r="AQ410" s="451">
        <v>73505.660980000001</v>
      </c>
      <c r="AR410" s="451">
        <v>0.85429999999999995</v>
      </c>
    </row>
    <row r="411" spans="39:44">
      <c r="AM411" s="450">
        <v>45531</v>
      </c>
      <c r="AN411" s="451">
        <v>299.23</v>
      </c>
      <c r="AO411" s="451">
        <v>865086</v>
      </c>
      <c r="AP411" s="451">
        <v>244.30224999999999</v>
      </c>
      <c r="AQ411" s="451">
        <v>73102.562267500005</v>
      </c>
      <c r="AR411" s="451">
        <v>0.84960000000000002</v>
      </c>
    </row>
    <row r="412" spans="39:44">
      <c r="AM412" s="450">
        <v>45530</v>
      </c>
      <c r="AN412" s="451">
        <v>300.14</v>
      </c>
      <c r="AO412" s="451">
        <v>1200882</v>
      </c>
      <c r="AP412" s="451">
        <v>244.30224999999999</v>
      </c>
      <c r="AQ412" s="451">
        <v>73324.877314999991</v>
      </c>
      <c r="AR412" s="451">
        <v>0.85219999999999996</v>
      </c>
    </row>
    <row r="413" spans="39:44">
      <c r="AM413" s="450">
        <v>45529</v>
      </c>
      <c r="AN413" s="451">
        <v>300.14</v>
      </c>
      <c r="AO413" s="451">
        <v>1200882</v>
      </c>
      <c r="AP413" s="451">
        <v>244.30224999999999</v>
      </c>
      <c r="AQ413" s="451">
        <v>73324.877314999991</v>
      </c>
      <c r="AR413" s="451">
        <v>0.85219999999999996</v>
      </c>
    </row>
    <row r="414" spans="39:44">
      <c r="AM414" s="450">
        <v>45528</v>
      </c>
      <c r="AN414" s="451">
        <v>300.14</v>
      </c>
      <c r="AO414" s="451">
        <v>1200882</v>
      </c>
      <c r="AP414" s="451">
        <v>244.30224999999999</v>
      </c>
      <c r="AQ414" s="451">
        <v>73324.877314999991</v>
      </c>
      <c r="AR414" s="451">
        <v>0.85219999999999996</v>
      </c>
    </row>
    <row r="415" spans="39:44">
      <c r="AM415" s="450">
        <v>45527</v>
      </c>
      <c r="AN415" s="451">
        <v>298.58999999999997</v>
      </c>
      <c r="AO415" s="451">
        <v>1262657</v>
      </c>
      <c r="AP415" s="451">
        <v>244.30224999999999</v>
      </c>
      <c r="AQ415" s="451">
        <v>72946.208827499984</v>
      </c>
      <c r="AR415" s="451">
        <v>0.8478</v>
      </c>
    </row>
    <row r="416" spans="39:44">
      <c r="AM416" s="450">
        <v>45526</v>
      </c>
      <c r="AN416" s="451">
        <v>298.27999999999997</v>
      </c>
      <c r="AO416" s="451">
        <v>1541125</v>
      </c>
      <c r="AP416" s="451">
        <v>244.30224999999999</v>
      </c>
      <c r="AQ416" s="451">
        <v>72870.475129999992</v>
      </c>
      <c r="AR416" s="451">
        <v>0.84689999999999999</v>
      </c>
    </row>
    <row r="417" spans="39:44">
      <c r="AM417" s="450">
        <v>45525</v>
      </c>
      <c r="AN417" s="451">
        <v>300.8</v>
      </c>
      <c r="AO417" s="451">
        <v>2268483</v>
      </c>
      <c r="AP417" s="451">
        <v>244.30224999999999</v>
      </c>
      <c r="AQ417" s="451">
        <v>73486.116800000003</v>
      </c>
      <c r="AR417" s="451">
        <v>0.85409999999999997</v>
      </c>
    </row>
    <row r="418" spans="39:44">
      <c r="AM418" s="450">
        <v>45524</v>
      </c>
      <c r="AN418" s="451">
        <v>307.43</v>
      </c>
      <c r="AO418" s="451">
        <v>1414201</v>
      </c>
      <c r="AP418" s="451">
        <v>244.30224999999999</v>
      </c>
      <c r="AQ418" s="451">
        <v>75105.840717500003</v>
      </c>
      <c r="AR418" s="451">
        <v>0.87290000000000001</v>
      </c>
    </row>
    <row r="419" spans="39:44">
      <c r="AM419" s="450">
        <v>45523</v>
      </c>
      <c r="AN419" s="451">
        <v>306.31</v>
      </c>
      <c r="AO419" s="451">
        <v>1294627</v>
      </c>
      <c r="AP419" s="451">
        <v>244.30224999999999</v>
      </c>
      <c r="AQ419" s="451">
        <v>74832.222197499999</v>
      </c>
      <c r="AR419" s="451">
        <v>0.86970000000000003</v>
      </c>
    </row>
    <row r="420" spans="39:44">
      <c r="AM420" s="450">
        <v>45522</v>
      </c>
      <c r="AN420" s="451">
        <v>306.31</v>
      </c>
      <c r="AO420" s="451">
        <v>1294627</v>
      </c>
      <c r="AP420" s="451">
        <v>244.30224999999999</v>
      </c>
      <c r="AQ420" s="451">
        <v>74832.222197499999</v>
      </c>
      <c r="AR420" s="451">
        <v>0.86970000000000003</v>
      </c>
    </row>
    <row r="421" spans="39:44">
      <c r="AM421" s="450">
        <v>45521</v>
      </c>
      <c r="AN421" s="451">
        <v>306.31</v>
      </c>
      <c r="AO421" s="451">
        <v>1294627</v>
      </c>
      <c r="AP421" s="451">
        <v>244.30224999999999</v>
      </c>
      <c r="AQ421" s="451">
        <v>74832.222197499999</v>
      </c>
      <c r="AR421" s="451">
        <v>0.86970000000000003</v>
      </c>
    </row>
    <row r="422" spans="39:44">
      <c r="AM422" s="450">
        <v>45520</v>
      </c>
      <c r="AN422" s="451">
        <v>306.62</v>
      </c>
      <c r="AO422" s="451">
        <v>1603002</v>
      </c>
      <c r="AP422" s="451">
        <v>244.30224999999999</v>
      </c>
      <c r="AQ422" s="451">
        <v>74907.955894999992</v>
      </c>
      <c r="AR422" s="451">
        <v>0.87060000000000004</v>
      </c>
    </row>
    <row r="423" spans="39:44">
      <c r="AM423" s="450">
        <v>45519</v>
      </c>
      <c r="AN423" s="451">
        <v>310.43</v>
      </c>
      <c r="AO423" s="451">
        <v>1588345</v>
      </c>
      <c r="AP423" s="451">
        <v>244.30224999999999</v>
      </c>
      <c r="AQ423" s="451">
        <v>75838.747467499998</v>
      </c>
      <c r="AR423" s="451">
        <v>0.88139999999999996</v>
      </c>
    </row>
    <row r="424" spans="39:44">
      <c r="AM424" s="450">
        <v>45518</v>
      </c>
      <c r="AN424" s="451">
        <v>313.52</v>
      </c>
      <c r="AO424" s="451">
        <v>2812578</v>
      </c>
      <c r="AP424" s="451">
        <v>244.30224999999999</v>
      </c>
      <c r="AQ424" s="451">
        <v>76593.641419999985</v>
      </c>
      <c r="AR424" s="451">
        <v>0.89019999999999999</v>
      </c>
    </row>
    <row r="425" spans="39:44">
      <c r="AM425" s="450">
        <v>45517</v>
      </c>
      <c r="AN425" s="451">
        <v>305.02</v>
      </c>
      <c r="AO425" s="451">
        <v>2068704</v>
      </c>
      <c r="AP425" s="451">
        <v>244.30224999999999</v>
      </c>
      <c r="AQ425" s="451">
        <v>74517.072294999991</v>
      </c>
      <c r="AR425" s="451">
        <v>0.86609999999999998</v>
      </c>
    </row>
    <row r="426" spans="39:44">
      <c r="AM426" s="450">
        <v>45516</v>
      </c>
      <c r="AN426" s="451">
        <v>299.02</v>
      </c>
      <c r="AO426" s="451">
        <v>1445706</v>
      </c>
      <c r="AP426" s="451">
        <v>245.52409</v>
      </c>
      <c r="AQ426" s="451">
        <v>73416.613391799998</v>
      </c>
      <c r="AR426" s="451">
        <v>0.84899999999999998</v>
      </c>
    </row>
    <row r="427" spans="39:44">
      <c r="AM427" s="450">
        <v>45515</v>
      </c>
      <c r="AN427" s="451">
        <v>299.02</v>
      </c>
      <c r="AO427" s="451">
        <v>1445706</v>
      </c>
      <c r="AP427" s="451">
        <v>245.52409</v>
      </c>
      <c r="AQ427" s="451">
        <v>73416.613391799998</v>
      </c>
      <c r="AR427" s="451">
        <v>0.84899999999999998</v>
      </c>
    </row>
    <row r="428" spans="39:44">
      <c r="AM428" s="450">
        <v>45514</v>
      </c>
      <c r="AN428" s="451">
        <v>299.02</v>
      </c>
      <c r="AO428" s="451">
        <v>1445706</v>
      </c>
      <c r="AP428" s="451">
        <v>245.52409</v>
      </c>
      <c r="AQ428" s="451">
        <v>73416.613391799998</v>
      </c>
      <c r="AR428" s="451">
        <v>0.84899999999999998</v>
      </c>
    </row>
    <row r="429" spans="39:44">
      <c r="AM429" s="450">
        <v>45513</v>
      </c>
      <c r="AN429" s="451">
        <v>299.54000000000002</v>
      </c>
      <c r="AO429" s="451">
        <v>1860782</v>
      </c>
      <c r="AP429" s="451">
        <v>245.52409</v>
      </c>
      <c r="AQ429" s="451">
        <v>73544.285918599999</v>
      </c>
      <c r="AR429" s="451">
        <v>0.85050000000000003</v>
      </c>
    </row>
    <row r="430" spans="39:44">
      <c r="AM430" s="450">
        <v>45512</v>
      </c>
      <c r="AN430" s="451">
        <v>293.27</v>
      </c>
      <c r="AO430" s="451">
        <v>1466553</v>
      </c>
      <c r="AP430" s="451">
        <v>245.52409</v>
      </c>
      <c r="AQ430" s="451">
        <v>72004.849874299995</v>
      </c>
      <c r="AR430" s="451">
        <v>0.8327</v>
      </c>
    </row>
    <row r="431" spans="39:44">
      <c r="AM431" s="450">
        <v>45511</v>
      </c>
      <c r="AN431" s="451">
        <v>292.73</v>
      </c>
      <c r="AO431" s="451">
        <v>1252354</v>
      </c>
      <c r="AP431" s="451">
        <v>245.52409</v>
      </c>
      <c r="AQ431" s="451">
        <v>71872.266865700003</v>
      </c>
      <c r="AR431" s="451">
        <v>0.83120000000000005</v>
      </c>
    </row>
    <row r="432" spans="39:44">
      <c r="AM432" s="450">
        <v>45510</v>
      </c>
      <c r="AN432" s="451">
        <v>295.52999999999997</v>
      </c>
      <c r="AO432" s="451">
        <v>1532993</v>
      </c>
      <c r="AP432" s="451">
        <v>245.52409</v>
      </c>
      <c r="AQ432" s="451">
        <v>72559.7343177</v>
      </c>
      <c r="AR432" s="451">
        <v>0.83909999999999996</v>
      </c>
    </row>
    <row r="433" spans="39:44">
      <c r="AM433" s="450">
        <v>45509</v>
      </c>
      <c r="AN433" s="451">
        <v>294</v>
      </c>
      <c r="AO433" s="451">
        <v>1480190</v>
      </c>
      <c r="AP433" s="451">
        <v>245.52409</v>
      </c>
      <c r="AQ433" s="451">
        <v>72184.082460000005</v>
      </c>
      <c r="AR433" s="451">
        <v>0.83479999999999999</v>
      </c>
    </row>
    <row r="434" spans="39:44">
      <c r="AM434" s="450">
        <v>45508</v>
      </c>
      <c r="AN434" s="451">
        <v>294</v>
      </c>
      <c r="AO434" s="451">
        <v>1480190</v>
      </c>
      <c r="AP434" s="451">
        <v>245.52409</v>
      </c>
      <c r="AQ434" s="451">
        <v>72184.082460000005</v>
      </c>
      <c r="AR434" s="451">
        <v>0.83479999999999999</v>
      </c>
    </row>
    <row r="435" spans="39:44">
      <c r="AM435" s="450">
        <v>45507</v>
      </c>
      <c r="AN435" s="451">
        <v>294</v>
      </c>
      <c r="AO435" s="451">
        <v>1480190</v>
      </c>
      <c r="AP435" s="451">
        <v>245.52409</v>
      </c>
      <c r="AQ435" s="451">
        <v>72184.082460000005</v>
      </c>
      <c r="AR435" s="451">
        <v>0.83479999999999999</v>
      </c>
    </row>
    <row r="436" spans="39:44">
      <c r="AM436" s="450">
        <v>45506</v>
      </c>
      <c r="AN436" s="451">
        <v>293.70999999999998</v>
      </c>
      <c r="AO436" s="451">
        <v>1274326</v>
      </c>
      <c r="AP436" s="451">
        <v>245.52409</v>
      </c>
      <c r="AQ436" s="451">
        <v>72112.88047389999</v>
      </c>
      <c r="AR436" s="451">
        <v>0.83389999999999997</v>
      </c>
    </row>
    <row r="437" spans="39:44">
      <c r="AM437" s="450">
        <v>45505</v>
      </c>
      <c r="AN437" s="451">
        <v>293.70999999999998</v>
      </c>
      <c r="AO437" s="451">
        <v>1274326</v>
      </c>
      <c r="AP437" s="451">
        <v>245.52409</v>
      </c>
      <c r="AQ437" s="451">
        <v>72112.88047389999</v>
      </c>
      <c r="AR437" s="451">
        <v>0.83389999999999997</v>
      </c>
    </row>
    <row r="438" spans="39:44">
      <c r="AM438" s="450">
        <v>45504</v>
      </c>
      <c r="AN438" s="451">
        <v>298.22000000000003</v>
      </c>
      <c r="AO438" s="451">
        <v>1834588</v>
      </c>
      <c r="AP438" s="451">
        <v>245.52409</v>
      </c>
      <c r="AQ438" s="451">
        <v>73220.194119800013</v>
      </c>
      <c r="AR438" s="451">
        <v>0.84670000000000001</v>
      </c>
    </row>
    <row r="439" spans="39:44">
      <c r="AM439" s="450">
        <v>45503</v>
      </c>
      <c r="AN439" s="451">
        <v>298.68</v>
      </c>
      <c r="AO439" s="451">
        <v>2469072</v>
      </c>
      <c r="AP439" s="451">
        <v>245.52409</v>
      </c>
      <c r="AQ439" s="451">
        <v>73333.135201199999</v>
      </c>
      <c r="AR439" s="451">
        <v>0.84809999999999997</v>
      </c>
    </row>
    <row r="440" spans="39:44">
      <c r="AM440" s="450">
        <v>45502</v>
      </c>
      <c r="AN440" s="451">
        <v>299.83999999999997</v>
      </c>
      <c r="AO440" s="451">
        <v>4278920</v>
      </c>
      <c r="AP440" s="451">
        <v>245.52409</v>
      </c>
      <c r="AQ440" s="451">
        <v>73617.943145599987</v>
      </c>
      <c r="AR440" s="451">
        <v>0.85129999999999995</v>
      </c>
    </row>
    <row r="441" spans="39:44">
      <c r="AM441" s="450">
        <v>45501</v>
      </c>
      <c r="AN441" s="451">
        <v>299.83999999999997</v>
      </c>
      <c r="AO441" s="451">
        <v>4278920</v>
      </c>
      <c r="AP441" s="451">
        <v>245.52409</v>
      </c>
      <c r="AQ441" s="451">
        <v>73617.943145599987</v>
      </c>
      <c r="AR441" s="451">
        <v>0.85129999999999995</v>
      </c>
    </row>
    <row r="442" spans="39:44">
      <c r="AM442" s="450">
        <v>45500</v>
      </c>
      <c r="AN442" s="451">
        <v>299.83999999999997</v>
      </c>
      <c r="AO442" s="451">
        <v>4278920</v>
      </c>
      <c r="AP442" s="451">
        <v>245.52409</v>
      </c>
      <c r="AQ442" s="451">
        <v>73617.943145599987</v>
      </c>
      <c r="AR442" s="451">
        <v>0.85129999999999995</v>
      </c>
    </row>
    <row r="443" spans="39:44">
      <c r="AM443" s="450">
        <v>45499</v>
      </c>
      <c r="AN443" s="451">
        <v>295.47000000000003</v>
      </c>
      <c r="AO443" s="451">
        <v>3989167</v>
      </c>
      <c r="AP443" s="451">
        <v>245.52409</v>
      </c>
      <c r="AQ443" s="451">
        <v>72545.002872300014</v>
      </c>
      <c r="AR443" s="451">
        <v>0.83889999999999998</v>
      </c>
    </row>
    <row r="444" spans="39:44">
      <c r="AM444" s="450">
        <v>45498</v>
      </c>
      <c r="AN444" s="451">
        <v>296.19</v>
      </c>
      <c r="AO444" s="451">
        <v>11126144</v>
      </c>
      <c r="AP444" s="451">
        <v>245.52409</v>
      </c>
      <c r="AQ444" s="451">
        <v>72721.780217099993</v>
      </c>
      <c r="AR444" s="451">
        <v>0.84099999999999997</v>
      </c>
    </row>
    <row r="445" spans="39:44">
      <c r="AM445" s="450">
        <v>45497</v>
      </c>
      <c r="AN445" s="451">
        <v>256.38</v>
      </c>
      <c r="AO445" s="451">
        <v>6313659</v>
      </c>
      <c r="AP445" s="451">
        <v>246.08074999999999</v>
      </c>
      <c r="AQ445" s="451">
        <v>63090.182685</v>
      </c>
      <c r="AR445" s="451">
        <v>0.72789999999999999</v>
      </c>
    </row>
    <row r="446" spans="39:44">
      <c r="AM446" s="450">
        <v>45496</v>
      </c>
      <c r="AN446" s="451">
        <v>256.51</v>
      </c>
      <c r="AO446" s="451">
        <v>1897242</v>
      </c>
      <c r="AP446" s="451">
        <v>246.08074999999999</v>
      </c>
      <c r="AQ446" s="451">
        <v>63122.173182499995</v>
      </c>
      <c r="AR446" s="451">
        <v>0.72829999999999995</v>
      </c>
    </row>
    <row r="447" spans="39:44">
      <c r="AM447" s="450">
        <v>45495</v>
      </c>
      <c r="AN447" s="451">
        <v>253.66</v>
      </c>
      <c r="AO447" s="451">
        <v>3145207</v>
      </c>
      <c r="AP447" s="451">
        <v>246.08074999999999</v>
      </c>
      <c r="AQ447" s="451">
        <v>62420.843045000001</v>
      </c>
      <c r="AR447" s="451">
        <v>0.72019999999999995</v>
      </c>
    </row>
    <row r="448" spans="39:44">
      <c r="AM448" s="450">
        <v>45494</v>
      </c>
      <c r="AN448" s="451">
        <v>253.66</v>
      </c>
      <c r="AO448" s="451">
        <v>3145207</v>
      </c>
      <c r="AP448" s="451">
        <v>246.08074999999999</v>
      </c>
      <c r="AQ448" s="451">
        <v>62420.843045000001</v>
      </c>
      <c r="AR448" s="451">
        <v>0.72019999999999995</v>
      </c>
    </row>
    <row r="449" spans="39:44">
      <c r="AM449" s="450">
        <v>45493</v>
      </c>
      <c r="AN449" s="451">
        <v>253.66</v>
      </c>
      <c r="AO449" s="451">
        <v>3145207</v>
      </c>
      <c r="AP449" s="451">
        <v>246.08074999999999</v>
      </c>
      <c r="AQ449" s="451">
        <v>62420.843045000001</v>
      </c>
      <c r="AR449" s="451">
        <v>0.72019999999999995</v>
      </c>
    </row>
    <row r="450" spans="39:44">
      <c r="AM450" s="450">
        <v>45492</v>
      </c>
      <c r="AN450" s="451">
        <v>252.52</v>
      </c>
      <c r="AO450" s="451">
        <v>1488600</v>
      </c>
      <c r="AP450" s="451">
        <v>246.08074999999999</v>
      </c>
      <c r="AQ450" s="451">
        <v>62140.310989999998</v>
      </c>
      <c r="AR450" s="451">
        <v>0.71699999999999997</v>
      </c>
    </row>
    <row r="451" spans="39:44">
      <c r="AM451" s="450">
        <v>45491</v>
      </c>
      <c r="AN451" s="451">
        <v>248.09</v>
      </c>
      <c r="AO451" s="451">
        <v>1506100</v>
      </c>
      <c r="AP451" s="451">
        <v>246.08074999999999</v>
      </c>
      <c r="AQ451" s="451">
        <v>61050.173267500002</v>
      </c>
      <c r="AR451" s="451">
        <v>0.70440000000000003</v>
      </c>
    </row>
    <row r="452" spans="39:44">
      <c r="AM452" s="450">
        <v>45490</v>
      </c>
      <c r="AN452" s="451">
        <v>248.09</v>
      </c>
      <c r="AO452" s="451">
        <v>1506100</v>
      </c>
      <c r="AP452" s="451">
        <v>246.08074999999999</v>
      </c>
      <c r="AQ452" s="451">
        <v>61050.173267500002</v>
      </c>
      <c r="AR452" s="451">
        <v>0.70440000000000003</v>
      </c>
    </row>
    <row r="453" spans="39:44">
      <c r="AM453" s="450">
        <v>45489</v>
      </c>
      <c r="AN453" s="451">
        <v>250.06</v>
      </c>
      <c r="AO453" s="451">
        <v>1252183</v>
      </c>
      <c r="AP453" s="451">
        <v>246.08074999999999</v>
      </c>
      <c r="AQ453" s="451">
        <v>61534.952344999998</v>
      </c>
      <c r="AR453" s="451">
        <v>0.71</v>
      </c>
    </row>
    <row r="454" spans="39:44">
      <c r="AM454" s="450">
        <v>45488</v>
      </c>
      <c r="AN454" s="451">
        <v>246.43</v>
      </c>
      <c r="AO454" s="451">
        <v>1245761</v>
      </c>
      <c r="AP454" s="451">
        <v>246.08074999999999</v>
      </c>
      <c r="AQ454" s="451">
        <v>60641.679222500003</v>
      </c>
      <c r="AR454" s="451">
        <v>0.69969999999999999</v>
      </c>
    </row>
    <row r="455" spans="39:44">
      <c r="AM455" s="450">
        <v>45487</v>
      </c>
      <c r="AN455" s="451">
        <v>246.43</v>
      </c>
      <c r="AO455" s="451">
        <v>1245761</v>
      </c>
      <c r="AP455" s="451">
        <v>246.08074999999999</v>
      </c>
      <c r="AQ455" s="451">
        <v>60641.679222500003</v>
      </c>
      <c r="AR455" s="451">
        <v>0.69969999999999999</v>
      </c>
    </row>
    <row r="456" spans="39:44">
      <c r="AM456" s="450">
        <v>45486</v>
      </c>
      <c r="AN456" s="451">
        <v>246.43</v>
      </c>
      <c r="AO456" s="451">
        <v>1245761</v>
      </c>
      <c r="AP456" s="451">
        <v>246.08074999999999</v>
      </c>
      <c r="AQ456" s="451">
        <v>60641.679222500003</v>
      </c>
      <c r="AR456" s="451">
        <v>0.69969999999999999</v>
      </c>
    </row>
    <row r="457" spans="39:44">
      <c r="AM457" s="450">
        <v>45485</v>
      </c>
      <c r="AN457" s="451">
        <v>248.6</v>
      </c>
      <c r="AO457" s="451">
        <v>1015640</v>
      </c>
      <c r="AP457" s="451">
        <v>246.08074999999999</v>
      </c>
      <c r="AQ457" s="451">
        <v>61175.674449999999</v>
      </c>
      <c r="AR457" s="451">
        <v>0.70589999999999997</v>
      </c>
    </row>
    <row r="458" spans="39:44">
      <c r="AM458" s="450">
        <v>45484</v>
      </c>
      <c r="AN458" s="451">
        <v>248.6</v>
      </c>
      <c r="AO458" s="451">
        <v>1555991</v>
      </c>
      <c r="AP458" s="451">
        <v>246.08074999999999</v>
      </c>
      <c r="AQ458" s="451">
        <v>61175.674449999999</v>
      </c>
      <c r="AR458" s="451">
        <v>0.70589999999999997</v>
      </c>
    </row>
    <row r="459" spans="39:44">
      <c r="AM459" s="450">
        <v>45483</v>
      </c>
      <c r="AN459" s="451">
        <v>252.43</v>
      </c>
      <c r="AO459" s="451">
        <v>1176868</v>
      </c>
      <c r="AP459" s="451">
        <v>246.08074999999999</v>
      </c>
      <c r="AQ459" s="451">
        <v>62118.163722500001</v>
      </c>
      <c r="AR459" s="451">
        <v>0.7167</v>
      </c>
    </row>
    <row r="460" spans="39:44">
      <c r="AM460" s="450">
        <v>45482</v>
      </c>
      <c r="AN460" s="451">
        <v>253.72</v>
      </c>
      <c r="AO460" s="451">
        <v>1475471</v>
      </c>
      <c r="AP460" s="451">
        <v>246.08074999999999</v>
      </c>
      <c r="AQ460" s="451">
        <v>62435.607889999999</v>
      </c>
      <c r="AR460" s="451">
        <v>0.72040000000000004</v>
      </c>
    </row>
    <row r="461" spans="39:44">
      <c r="AM461" s="450">
        <v>45481</v>
      </c>
      <c r="AN461" s="451">
        <v>247.73</v>
      </c>
      <c r="AO461" s="451">
        <v>1281900</v>
      </c>
      <c r="AP461" s="451">
        <v>246.08074999999999</v>
      </c>
      <c r="AQ461" s="451">
        <v>60961.584197499993</v>
      </c>
      <c r="AR461" s="451">
        <v>0.70340000000000003</v>
      </c>
    </row>
    <row r="462" spans="39:44">
      <c r="AM462" s="450">
        <v>45480</v>
      </c>
      <c r="AN462" s="451">
        <v>247.73</v>
      </c>
      <c r="AO462" s="451">
        <v>1281900</v>
      </c>
      <c r="AP462" s="451">
        <v>246.08074999999999</v>
      </c>
      <c r="AQ462" s="451">
        <v>60961.584197499993</v>
      </c>
      <c r="AR462" s="451">
        <v>0.70340000000000003</v>
      </c>
    </row>
    <row r="463" spans="39:44">
      <c r="AM463" s="450">
        <v>45479</v>
      </c>
      <c r="AN463" s="451">
        <v>247.73</v>
      </c>
      <c r="AO463" s="451">
        <v>1281900</v>
      </c>
      <c r="AP463" s="451">
        <v>246.08074999999999</v>
      </c>
      <c r="AQ463" s="451">
        <v>60961.584197499993</v>
      </c>
      <c r="AR463" s="451">
        <v>0.70340000000000003</v>
      </c>
    </row>
    <row r="464" spans="39:44">
      <c r="AM464" s="450">
        <v>45478</v>
      </c>
      <c r="AN464" s="451">
        <v>250.27</v>
      </c>
      <c r="AO464" s="451">
        <v>1171199</v>
      </c>
      <c r="AP464" s="451">
        <v>246.08074999999999</v>
      </c>
      <c r="AQ464" s="451">
        <v>61586.629302499998</v>
      </c>
      <c r="AR464" s="451">
        <v>0.71060000000000001</v>
      </c>
    </row>
    <row r="465" spans="39:44">
      <c r="AM465" s="450">
        <v>45477</v>
      </c>
      <c r="AN465" s="451">
        <v>248.05</v>
      </c>
      <c r="AO465" s="451">
        <v>930390</v>
      </c>
      <c r="AP465" s="451">
        <v>246.08074999999999</v>
      </c>
      <c r="AQ465" s="451">
        <v>61040.330037500004</v>
      </c>
      <c r="AR465" s="451">
        <v>0.70430000000000004</v>
      </c>
    </row>
    <row r="466" spans="39:44">
      <c r="AM466" s="450">
        <v>45476</v>
      </c>
      <c r="AN466" s="451">
        <v>245.95</v>
      </c>
      <c r="AO466" s="451">
        <v>1253621</v>
      </c>
      <c r="AP466" s="451">
        <v>246.08074999999999</v>
      </c>
      <c r="AQ466" s="451">
        <v>60523.560462499998</v>
      </c>
      <c r="AR466" s="451">
        <v>0.69830000000000003</v>
      </c>
    </row>
    <row r="467" spans="39:44">
      <c r="AM467" s="450">
        <v>45475</v>
      </c>
      <c r="AN467" s="451">
        <v>248.62</v>
      </c>
      <c r="AO467" s="451">
        <v>1409883</v>
      </c>
      <c r="AP467" s="451">
        <v>246.08074999999999</v>
      </c>
      <c r="AQ467" s="451">
        <v>61180.596064999998</v>
      </c>
      <c r="AR467" s="451">
        <v>0.70589999999999997</v>
      </c>
    </row>
    <row r="468" spans="39:44">
      <c r="AM468" s="450">
        <v>45474</v>
      </c>
      <c r="AN468" s="451">
        <v>253.96</v>
      </c>
      <c r="AO468" s="451">
        <v>1747147</v>
      </c>
      <c r="AP468" s="451">
        <v>246.08074999999999</v>
      </c>
      <c r="AQ468" s="451">
        <v>62494.667269999998</v>
      </c>
      <c r="AR468" s="451">
        <v>0.72109999999999996</v>
      </c>
    </row>
    <row r="469" spans="39:44">
      <c r="AM469" s="450">
        <v>45473</v>
      </c>
      <c r="AN469" s="451">
        <v>253.96</v>
      </c>
      <c r="AO469" s="451">
        <v>1747147</v>
      </c>
      <c r="AP469" s="451">
        <v>246.08074999999999</v>
      </c>
      <c r="AQ469" s="451">
        <v>62494.667269999998</v>
      </c>
      <c r="AR469" s="451">
        <v>0.72109999999999996</v>
      </c>
    </row>
    <row r="470" spans="39:44">
      <c r="AM470" s="450">
        <v>45472</v>
      </c>
      <c r="AN470" s="451">
        <v>253.96</v>
      </c>
      <c r="AO470" s="451">
        <v>1747147</v>
      </c>
      <c r="AP470" s="451">
        <v>246.08074999999999</v>
      </c>
      <c r="AQ470" s="451">
        <v>62494.667269999998</v>
      </c>
      <c r="AR470" s="451">
        <v>0.72109999999999996</v>
      </c>
    </row>
    <row r="471" spans="39:44">
      <c r="AM471" s="450">
        <v>45471</v>
      </c>
      <c r="AN471" s="451">
        <v>249.58</v>
      </c>
      <c r="AO471" s="451">
        <v>1084452</v>
      </c>
      <c r="AP471" s="451">
        <v>246.08074999999999</v>
      </c>
      <c r="AQ471" s="451">
        <v>61416.833585</v>
      </c>
      <c r="AR471" s="451">
        <v>0.71220000000000006</v>
      </c>
    </row>
    <row r="472" spans="39:44">
      <c r="AM472" s="450">
        <v>45470</v>
      </c>
      <c r="AN472" s="451">
        <v>245.11</v>
      </c>
      <c r="AO472" s="451">
        <v>1108329</v>
      </c>
      <c r="AP472" s="451">
        <v>246.08074999999999</v>
      </c>
      <c r="AQ472" s="451">
        <v>60316.852632500006</v>
      </c>
      <c r="AR472" s="451">
        <v>0.69950000000000001</v>
      </c>
    </row>
    <row r="473" spans="39:44">
      <c r="AM473" s="450">
        <v>45469</v>
      </c>
      <c r="AN473" s="451">
        <v>248.04</v>
      </c>
      <c r="AO473" s="451">
        <v>1229816</v>
      </c>
      <c r="AP473" s="451">
        <v>246.08074999999999</v>
      </c>
      <c r="AQ473" s="451">
        <v>61037.869229999997</v>
      </c>
      <c r="AR473" s="451">
        <v>0.70779999999999998</v>
      </c>
    </row>
    <row r="474" spans="39:44">
      <c r="AM474" s="450">
        <v>45468</v>
      </c>
      <c r="AN474" s="451">
        <v>247.59</v>
      </c>
      <c r="AO474" s="451">
        <v>1096590</v>
      </c>
      <c r="AP474" s="451">
        <v>246.08074999999999</v>
      </c>
      <c r="AQ474" s="451">
        <v>60927.132892499998</v>
      </c>
      <c r="AR474" s="451">
        <v>0.70660000000000001</v>
      </c>
    </row>
    <row r="475" spans="39:44">
      <c r="AM475" s="450">
        <v>45467</v>
      </c>
      <c r="AN475" s="451">
        <v>247.59</v>
      </c>
      <c r="AO475" s="451">
        <v>1096590</v>
      </c>
      <c r="AP475" s="451">
        <v>246.08074999999999</v>
      </c>
      <c r="AQ475" s="451">
        <v>60927.132892499998</v>
      </c>
      <c r="AR475" s="451">
        <v>0.70660000000000001</v>
      </c>
    </row>
    <row r="476" spans="39:44">
      <c r="AM476" s="450">
        <v>45466</v>
      </c>
      <c r="AN476" s="451">
        <v>247.59</v>
      </c>
      <c r="AO476" s="451">
        <v>1096590</v>
      </c>
      <c r="AP476" s="451">
        <v>246.08074999999999</v>
      </c>
      <c r="AQ476" s="451">
        <v>60927.132892499998</v>
      </c>
      <c r="AR476" s="451">
        <v>0.70660000000000001</v>
      </c>
    </row>
    <row r="477" spans="39:44">
      <c r="AM477" s="450">
        <v>45465</v>
      </c>
      <c r="AN477" s="451">
        <v>247.59</v>
      </c>
      <c r="AO477" s="451">
        <v>1096590</v>
      </c>
      <c r="AP477" s="451">
        <v>246.08074999999999</v>
      </c>
      <c r="AQ477" s="451">
        <v>60927.132892499998</v>
      </c>
      <c r="AR477" s="451">
        <v>0.70660000000000001</v>
      </c>
    </row>
    <row r="478" spans="39:44">
      <c r="AM478" s="450">
        <v>45464</v>
      </c>
      <c r="AN478" s="451">
        <v>249.29</v>
      </c>
      <c r="AO478" s="451">
        <v>1446511</v>
      </c>
      <c r="AP478" s="451">
        <v>246.08074999999999</v>
      </c>
      <c r="AQ478" s="451">
        <v>61345.470167499996</v>
      </c>
      <c r="AR478" s="451">
        <v>0.71140000000000003</v>
      </c>
    </row>
    <row r="479" spans="39:44">
      <c r="AM479" s="450">
        <v>45463</v>
      </c>
      <c r="AN479" s="451">
        <v>252.07</v>
      </c>
      <c r="AO479" s="451">
        <v>1766130</v>
      </c>
      <c r="AP479" s="451">
        <v>246.08074999999999</v>
      </c>
      <c r="AQ479" s="451">
        <v>62029.5746525</v>
      </c>
      <c r="AR479" s="451">
        <v>0.71930000000000005</v>
      </c>
    </row>
    <row r="480" spans="39:44">
      <c r="AM480" s="450">
        <v>45462</v>
      </c>
      <c r="AN480" s="451">
        <v>252.33</v>
      </c>
      <c r="AO480" s="451">
        <v>1027206</v>
      </c>
      <c r="AP480" s="451">
        <v>246.08074999999999</v>
      </c>
      <c r="AQ480" s="451">
        <v>62093.555647500005</v>
      </c>
      <c r="AR480" s="451">
        <v>0.72009999999999996</v>
      </c>
    </row>
    <row r="481" spans="39:44">
      <c r="AM481" s="450">
        <v>45461</v>
      </c>
      <c r="AN481" s="451">
        <v>254.71</v>
      </c>
      <c r="AO481" s="451">
        <v>899543</v>
      </c>
      <c r="AP481" s="451">
        <v>246.08074999999999</v>
      </c>
      <c r="AQ481" s="451">
        <v>62679.227832500001</v>
      </c>
      <c r="AR481" s="451">
        <v>0.72689999999999999</v>
      </c>
    </row>
    <row r="482" spans="39:44">
      <c r="AM482" s="450">
        <v>45460</v>
      </c>
      <c r="AN482" s="451">
        <v>257.25</v>
      </c>
      <c r="AO482" s="451">
        <v>1419700</v>
      </c>
      <c r="AP482" s="451">
        <v>246.08074999999999</v>
      </c>
      <c r="AQ482" s="451">
        <v>63304.272937499998</v>
      </c>
      <c r="AR482" s="451">
        <v>0.73409999999999997</v>
      </c>
    </row>
    <row r="483" spans="39:44">
      <c r="AM483" s="450">
        <v>45459</v>
      </c>
      <c r="AN483" s="451">
        <v>257.25</v>
      </c>
      <c r="AO483" s="451">
        <v>1419700</v>
      </c>
      <c r="AP483" s="451">
        <v>246.08074999999999</v>
      </c>
      <c r="AQ483" s="451">
        <v>63304.272937499998</v>
      </c>
      <c r="AR483" s="451">
        <v>0.73409999999999997</v>
      </c>
    </row>
    <row r="484" spans="39:44">
      <c r="AM484" s="450">
        <v>45458</v>
      </c>
      <c r="AN484" s="451">
        <v>257.25</v>
      </c>
      <c r="AO484" s="451">
        <v>1419700</v>
      </c>
      <c r="AP484" s="451">
        <v>246.08074999999999</v>
      </c>
      <c r="AQ484" s="451">
        <v>63304.272937499998</v>
      </c>
      <c r="AR484" s="451">
        <v>0.73409999999999997</v>
      </c>
    </row>
    <row r="485" spans="39:44">
      <c r="AM485" s="450">
        <v>45457</v>
      </c>
      <c r="AN485" s="451">
        <v>258.77999999999997</v>
      </c>
      <c r="AO485" s="451">
        <v>1136270</v>
      </c>
      <c r="AP485" s="451">
        <v>246.08074999999999</v>
      </c>
      <c r="AQ485" s="451">
        <v>63680.776484999995</v>
      </c>
      <c r="AR485" s="451">
        <v>0.73850000000000005</v>
      </c>
    </row>
    <row r="486" spans="39:44">
      <c r="AM486" s="450">
        <v>45456</v>
      </c>
      <c r="AN486" s="451">
        <v>259.32</v>
      </c>
      <c r="AO486" s="451">
        <v>1145756</v>
      </c>
      <c r="AP486" s="451">
        <v>246.08074999999999</v>
      </c>
      <c r="AQ486" s="451">
        <v>63813.660089999998</v>
      </c>
      <c r="AR486" s="451">
        <v>0.74</v>
      </c>
    </row>
    <row r="487" spans="39:44">
      <c r="AM487" s="450">
        <v>45455</v>
      </c>
      <c r="AN487" s="451">
        <v>259.04000000000002</v>
      </c>
      <c r="AO487" s="451">
        <v>2534036</v>
      </c>
      <c r="AP487" s="451">
        <v>246.08074999999999</v>
      </c>
      <c r="AQ487" s="451">
        <v>63744.75748</v>
      </c>
      <c r="AR487" s="451">
        <v>0.73919999999999997</v>
      </c>
    </row>
    <row r="488" spans="39:44">
      <c r="AM488" s="450">
        <v>45454</v>
      </c>
      <c r="AN488" s="451">
        <v>266.89</v>
      </c>
      <c r="AO488" s="451">
        <v>2036442</v>
      </c>
      <c r="AP488" s="451">
        <v>246.08074999999999</v>
      </c>
      <c r="AQ488" s="451">
        <v>65676.491367499999</v>
      </c>
      <c r="AR488" s="451">
        <v>0.76160000000000005</v>
      </c>
    </row>
    <row r="489" spans="39:44">
      <c r="AM489" s="450">
        <v>45453</v>
      </c>
      <c r="AN489" s="451">
        <v>265.73</v>
      </c>
      <c r="AO489" s="451">
        <v>1092424</v>
      </c>
      <c r="AP489" s="451">
        <v>246.08074999999999</v>
      </c>
      <c r="AQ489" s="451">
        <v>65391.037697500004</v>
      </c>
      <c r="AR489" s="451">
        <v>0.75829999999999997</v>
      </c>
    </row>
    <row r="490" spans="39:44">
      <c r="AM490" s="450">
        <v>45452</v>
      </c>
      <c r="AN490" s="451">
        <v>265.73</v>
      </c>
      <c r="AO490" s="451">
        <v>1092424</v>
      </c>
      <c r="AP490" s="451">
        <v>246.08074999999999</v>
      </c>
      <c r="AQ490" s="451">
        <v>65391.037697500004</v>
      </c>
      <c r="AR490" s="451">
        <v>0.75829999999999997</v>
      </c>
    </row>
    <row r="491" spans="39:44">
      <c r="AM491" s="450">
        <v>45451</v>
      </c>
      <c r="AN491" s="451">
        <v>265.73</v>
      </c>
      <c r="AO491" s="451">
        <v>1092424</v>
      </c>
      <c r="AP491" s="451">
        <v>246.08074999999999</v>
      </c>
      <c r="AQ491" s="451">
        <v>65391.037697500004</v>
      </c>
      <c r="AR491" s="451">
        <v>0.75829999999999997</v>
      </c>
    </row>
    <row r="492" spans="39:44">
      <c r="AM492" s="450">
        <v>45450</v>
      </c>
      <c r="AN492" s="451">
        <v>262.06</v>
      </c>
      <c r="AO492" s="451">
        <v>923721</v>
      </c>
      <c r="AP492" s="451">
        <v>246.08074999999999</v>
      </c>
      <c r="AQ492" s="451">
        <v>64487.921345000002</v>
      </c>
      <c r="AR492" s="451">
        <v>0.74790000000000001</v>
      </c>
    </row>
    <row r="493" spans="39:44">
      <c r="AM493" s="450">
        <v>45449</v>
      </c>
      <c r="AN493" s="451">
        <v>258.01</v>
      </c>
      <c r="AO493" s="451">
        <v>1453867</v>
      </c>
      <c r="AP493" s="451">
        <v>246.08074999999999</v>
      </c>
      <c r="AQ493" s="451">
        <v>63491.294307499993</v>
      </c>
      <c r="AR493" s="451">
        <v>0.73629999999999995</v>
      </c>
    </row>
    <row r="494" spans="39:44">
      <c r="AM494" s="450">
        <v>45448</v>
      </c>
      <c r="AN494" s="451">
        <v>259.47000000000003</v>
      </c>
      <c r="AO494" s="451">
        <v>1356150</v>
      </c>
      <c r="AP494" s="451">
        <v>246.08074999999999</v>
      </c>
      <c r="AQ494" s="451">
        <v>63850.572202500007</v>
      </c>
      <c r="AR494" s="451">
        <v>0.74050000000000005</v>
      </c>
    </row>
    <row r="495" spans="39:44">
      <c r="AM495" s="450">
        <v>45447</v>
      </c>
      <c r="AN495" s="451">
        <v>260.29000000000002</v>
      </c>
      <c r="AO495" s="451">
        <v>929625</v>
      </c>
      <c r="AP495" s="451">
        <v>246.08074999999999</v>
      </c>
      <c r="AQ495" s="451">
        <v>64052.358417500007</v>
      </c>
      <c r="AR495" s="451">
        <v>0.74280000000000002</v>
      </c>
    </row>
    <row r="496" spans="39:44">
      <c r="AM496" s="450">
        <v>45446</v>
      </c>
      <c r="AN496" s="451">
        <v>260.64999999999998</v>
      </c>
      <c r="AO496" s="451">
        <v>1085243</v>
      </c>
      <c r="AP496" s="451">
        <v>246.08074999999999</v>
      </c>
      <c r="AQ496" s="451">
        <v>64140.947487499994</v>
      </c>
      <c r="AR496" s="451">
        <v>0.74380000000000002</v>
      </c>
    </row>
    <row r="497" spans="39:44">
      <c r="AM497" s="450">
        <v>45445</v>
      </c>
      <c r="AN497" s="451">
        <v>260.64999999999998</v>
      </c>
      <c r="AO497" s="451">
        <v>1085243</v>
      </c>
      <c r="AP497" s="451">
        <v>246.08074999999999</v>
      </c>
      <c r="AQ497" s="451">
        <v>64140.947487499994</v>
      </c>
      <c r="AR497" s="451">
        <v>0.74380000000000002</v>
      </c>
    </row>
    <row r="498" spans="39:44">
      <c r="AM498" s="450">
        <v>45444</v>
      </c>
      <c r="AN498" s="451">
        <v>260.64999999999998</v>
      </c>
      <c r="AO498" s="451">
        <v>1085243</v>
      </c>
      <c r="AP498" s="451">
        <v>246.08074999999999</v>
      </c>
      <c r="AQ498" s="451">
        <v>64140.947487499994</v>
      </c>
      <c r="AR498" s="451">
        <v>0.74380000000000002</v>
      </c>
    </row>
    <row r="499" spans="39:44">
      <c r="AM499" s="450">
        <v>45443</v>
      </c>
      <c r="AN499" s="451">
        <v>262.02999999999997</v>
      </c>
      <c r="AO499" s="451">
        <v>1311629</v>
      </c>
      <c r="AP499" s="451">
        <v>246.08074999999999</v>
      </c>
      <c r="AQ499" s="451">
        <v>64480.538922499989</v>
      </c>
      <c r="AR499" s="451">
        <v>0.74780000000000002</v>
      </c>
    </row>
    <row r="500" spans="39:44">
      <c r="AM500" s="450">
        <v>45442</v>
      </c>
      <c r="AN500" s="451">
        <v>260.73</v>
      </c>
      <c r="AO500" s="451">
        <v>901041</v>
      </c>
      <c r="AP500" s="451">
        <v>246.08074999999999</v>
      </c>
      <c r="AQ500" s="451">
        <v>64160.633947500006</v>
      </c>
      <c r="AR500" s="451">
        <v>0.74409999999999998</v>
      </c>
    </row>
    <row r="501" spans="39:44">
      <c r="AM501" s="450">
        <v>45441</v>
      </c>
      <c r="AN501" s="451">
        <v>261.77999999999997</v>
      </c>
      <c r="AO501" s="451">
        <v>853888</v>
      </c>
      <c r="AP501" s="451">
        <v>246.08074999999999</v>
      </c>
      <c r="AQ501" s="451">
        <v>64419.018734999991</v>
      </c>
      <c r="AR501" s="451">
        <v>0.74709999999999999</v>
      </c>
    </row>
    <row r="502" spans="39:44">
      <c r="AM502" s="450">
        <v>45440</v>
      </c>
      <c r="AN502" s="451">
        <v>265.86</v>
      </c>
      <c r="AO502" s="451">
        <v>787712</v>
      </c>
      <c r="AP502" s="451">
        <v>246.08074999999999</v>
      </c>
      <c r="AQ502" s="451">
        <v>65423.028194999999</v>
      </c>
      <c r="AR502" s="451">
        <v>0.75870000000000004</v>
      </c>
    </row>
    <row r="503" spans="39:44">
      <c r="AM503" s="450">
        <v>45439</v>
      </c>
      <c r="AN503" s="451">
        <v>265.83999999999997</v>
      </c>
      <c r="AO503" s="451">
        <v>958876</v>
      </c>
      <c r="AP503" s="451">
        <v>246.08074999999999</v>
      </c>
      <c r="AQ503" s="451">
        <v>65418.106579999992</v>
      </c>
      <c r="AR503" s="451">
        <v>0.75860000000000005</v>
      </c>
    </row>
    <row r="504" spans="39:44">
      <c r="AM504" s="450">
        <v>45438</v>
      </c>
      <c r="AN504" s="451">
        <v>265.83999999999997</v>
      </c>
      <c r="AO504" s="451">
        <v>958876</v>
      </c>
      <c r="AP504" s="451">
        <v>246.08074999999999</v>
      </c>
      <c r="AQ504" s="451">
        <v>65418.106579999992</v>
      </c>
      <c r="AR504" s="451">
        <v>0.75860000000000005</v>
      </c>
    </row>
    <row r="505" spans="39:44">
      <c r="AM505" s="450">
        <v>45437</v>
      </c>
      <c r="AN505" s="451">
        <v>265.83999999999997</v>
      </c>
      <c r="AO505" s="451">
        <v>958876</v>
      </c>
      <c r="AP505" s="451">
        <v>246.08074999999999</v>
      </c>
      <c r="AQ505" s="451">
        <v>65418.106579999992</v>
      </c>
      <c r="AR505" s="451">
        <v>0.75860000000000005</v>
      </c>
    </row>
    <row r="506" spans="39:44">
      <c r="AM506" s="450">
        <v>45436</v>
      </c>
      <c r="AN506" s="451">
        <v>265.52</v>
      </c>
      <c r="AO506" s="451">
        <v>876128</v>
      </c>
      <c r="AP506" s="451">
        <v>246.08074999999999</v>
      </c>
      <c r="AQ506" s="451">
        <v>65339.360739999996</v>
      </c>
      <c r="AR506" s="451">
        <v>0.75770000000000004</v>
      </c>
    </row>
    <row r="507" spans="39:44">
      <c r="AM507" s="450">
        <v>45435</v>
      </c>
      <c r="AN507" s="451">
        <v>266.07</v>
      </c>
      <c r="AO507" s="451">
        <v>1696568</v>
      </c>
      <c r="AP507" s="451">
        <v>246.08074999999999</v>
      </c>
      <c r="AQ507" s="451">
        <v>65474.705152499999</v>
      </c>
      <c r="AR507" s="451">
        <v>0.75929999999999997</v>
      </c>
    </row>
    <row r="508" spans="39:44">
      <c r="AM508" s="450">
        <v>45434</v>
      </c>
      <c r="AN508" s="451">
        <v>271.75</v>
      </c>
      <c r="AO508" s="451">
        <v>1186998</v>
      </c>
      <c r="AP508" s="451">
        <v>246.08074999999999</v>
      </c>
      <c r="AQ508" s="451">
        <v>66872.443812500002</v>
      </c>
      <c r="AR508" s="451">
        <v>0.77549999999999997</v>
      </c>
    </row>
    <row r="509" spans="39:44">
      <c r="AM509" s="450">
        <v>45433</v>
      </c>
      <c r="AN509" s="451">
        <v>270.14999999999998</v>
      </c>
      <c r="AO509" s="451">
        <v>1246671</v>
      </c>
      <c r="AP509" s="451">
        <v>246.08074999999999</v>
      </c>
      <c r="AQ509" s="451">
        <v>66478.7146125</v>
      </c>
      <c r="AR509" s="451">
        <v>0.77090000000000003</v>
      </c>
    </row>
    <row r="510" spans="39:44">
      <c r="AM510" s="450">
        <v>45432</v>
      </c>
      <c r="AN510" s="451">
        <v>266.99</v>
      </c>
      <c r="AO510" s="451">
        <v>1894373</v>
      </c>
      <c r="AP510" s="451">
        <v>246.08074999999999</v>
      </c>
      <c r="AQ510" s="451">
        <v>65701.099442499995</v>
      </c>
      <c r="AR510" s="451">
        <v>0.76190000000000002</v>
      </c>
    </row>
    <row r="511" spans="39:44">
      <c r="AM511" s="450">
        <v>45431</v>
      </c>
      <c r="AN511" s="451">
        <v>266.99</v>
      </c>
      <c r="AO511" s="451">
        <v>1894373</v>
      </c>
      <c r="AP511" s="451">
        <v>246.08074999999999</v>
      </c>
      <c r="AQ511" s="451">
        <v>65701.099442499995</v>
      </c>
      <c r="AR511" s="451">
        <v>0.76190000000000002</v>
      </c>
    </row>
    <row r="512" spans="39:44">
      <c r="AM512" s="450">
        <v>45430</v>
      </c>
      <c r="AN512" s="451">
        <v>266.99</v>
      </c>
      <c r="AO512" s="451">
        <v>1894373</v>
      </c>
      <c r="AP512" s="451">
        <v>246.08074999999999</v>
      </c>
      <c r="AQ512" s="451">
        <v>65701.099442499995</v>
      </c>
      <c r="AR512" s="451">
        <v>0.76190000000000002</v>
      </c>
    </row>
    <row r="513" spans="39:44">
      <c r="AM513" s="450">
        <v>45429</v>
      </c>
      <c r="AN513" s="451">
        <v>263.37</v>
      </c>
      <c r="AO513" s="451">
        <v>1063718</v>
      </c>
      <c r="AP513" s="451">
        <v>246.08074999999999</v>
      </c>
      <c r="AQ513" s="451">
        <v>64810.2871275</v>
      </c>
      <c r="AR513" s="451">
        <v>0.75160000000000005</v>
      </c>
    </row>
    <row r="514" spans="39:44">
      <c r="AM514" s="450">
        <v>45428</v>
      </c>
      <c r="AN514" s="451">
        <v>263.07</v>
      </c>
      <c r="AO514" s="451">
        <v>1371907</v>
      </c>
      <c r="AP514" s="451">
        <v>246.08074999999999</v>
      </c>
      <c r="AQ514" s="451">
        <v>64736.462902499996</v>
      </c>
      <c r="AR514" s="451">
        <v>0.75070000000000003</v>
      </c>
    </row>
    <row r="515" spans="39:44">
      <c r="AM515" s="450">
        <v>45427</v>
      </c>
      <c r="AN515" s="451">
        <v>264.94</v>
      </c>
      <c r="AO515" s="451">
        <v>1421134</v>
      </c>
      <c r="AP515" s="451">
        <v>246.08074999999999</v>
      </c>
      <c r="AQ515" s="451">
        <v>65196.633904999995</v>
      </c>
      <c r="AR515" s="451">
        <v>0.75609999999999999</v>
      </c>
    </row>
    <row r="516" spans="39:44">
      <c r="AM516" s="450">
        <v>45426</v>
      </c>
      <c r="AN516" s="451">
        <v>266.74</v>
      </c>
      <c r="AO516" s="451">
        <v>999078</v>
      </c>
      <c r="AP516" s="451">
        <v>246.08074999999999</v>
      </c>
      <c r="AQ516" s="451">
        <v>65639.579255000004</v>
      </c>
      <c r="AR516" s="451">
        <v>0.76119999999999999</v>
      </c>
    </row>
    <row r="517" spans="39:44">
      <c r="AM517" s="450">
        <v>45425</v>
      </c>
      <c r="AN517" s="451">
        <v>267.8</v>
      </c>
      <c r="AO517" s="451">
        <v>1176474</v>
      </c>
      <c r="AP517" s="451">
        <v>246.08074999999999</v>
      </c>
      <c r="AQ517" s="451">
        <v>65900.424849999996</v>
      </c>
      <c r="AR517" s="451">
        <v>0.76419999999999999</v>
      </c>
    </row>
    <row r="518" spans="39:44">
      <c r="AM518" s="450">
        <v>45424</v>
      </c>
      <c r="AN518" s="451">
        <v>267.8</v>
      </c>
      <c r="AO518" s="451">
        <v>1176474</v>
      </c>
      <c r="AP518" s="451">
        <v>246.08074999999999</v>
      </c>
      <c r="AQ518" s="451">
        <v>65900.424849999996</v>
      </c>
      <c r="AR518" s="451">
        <v>0.76419999999999999</v>
      </c>
    </row>
    <row r="519" spans="39:44">
      <c r="AM519" s="450">
        <v>45423</v>
      </c>
      <c r="AN519" s="451">
        <v>267.8</v>
      </c>
      <c r="AO519" s="451">
        <v>1176474</v>
      </c>
      <c r="AP519" s="451">
        <v>246.08074999999999</v>
      </c>
      <c r="AQ519" s="451">
        <v>65900.424849999996</v>
      </c>
      <c r="AR519" s="451">
        <v>0.76419999999999999</v>
      </c>
    </row>
    <row r="520" spans="39:44">
      <c r="AM520" s="450">
        <v>45422</v>
      </c>
      <c r="AN520" s="451">
        <v>272.18</v>
      </c>
      <c r="AO520" s="451">
        <v>1031935</v>
      </c>
      <c r="AP520" s="451">
        <v>246.08074999999999</v>
      </c>
      <c r="AQ520" s="451">
        <v>66978.258535000001</v>
      </c>
      <c r="AR520" s="451">
        <v>0.77669999999999995</v>
      </c>
    </row>
    <row r="521" spans="39:44">
      <c r="AM521" s="450">
        <v>45421</v>
      </c>
      <c r="AN521" s="451">
        <v>270.3</v>
      </c>
      <c r="AO521" s="451">
        <v>2603197</v>
      </c>
      <c r="AP521" s="451">
        <v>246.08074999999999</v>
      </c>
      <c r="AQ521" s="451">
        <v>66515.626724999995</v>
      </c>
      <c r="AR521" s="451">
        <v>0.77139999999999997</v>
      </c>
    </row>
    <row r="522" spans="39:44">
      <c r="AM522" s="450">
        <v>45420</v>
      </c>
      <c r="AN522" s="451">
        <v>276.37</v>
      </c>
      <c r="AO522" s="451">
        <v>1223883</v>
      </c>
      <c r="AP522" s="451">
        <v>246.08074999999999</v>
      </c>
      <c r="AQ522" s="451">
        <v>68009.336877499998</v>
      </c>
      <c r="AR522" s="451">
        <v>0.78869999999999996</v>
      </c>
    </row>
    <row r="523" spans="39:44">
      <c r="AM523" s="450">
        <v>45419</v>
      </c>
      <c r="AN523" s="451">
        <v>275.57</v>
      </c>
      <c r="AO523" s="451">
        <v>2048696</v>
      </c>
      <c r="AP523" s="451">
        <v>246.08074999999999</v>
      </c>
      <c r="AQ523" s="451">
        <v>67812.472277499997</v>
      </c>
      <c r="AR523" s="451">
        <v>0.78639999999999999</v>
      </c>
    </row>
    <row r="524" spans="39:44">
      <c r="AM524" s="450">
        <v>45418</v>
      </c>
      <c r="AN524" s="451">
        <v>273.52</v>
      </c>
      <c r="AO524" s="451">
        <v>1568954</v>
      </c>
      <c r="AP524" s="451">
        <v>246.08074999999999</v>
      </c>
      <c r="AQ524" s="451">
        <v>67308.006739999997</v>
      </c>
      <c r="AR524" s="451">
        <v>0.78059999999999996</v>
      </c>
    </row>
    <row r="525" spans="39:44">
      <c r="AM525" s="450">
        <v>45417</v>
      </c>
      <c r="AN525" s="451">
        <v>273.52</v>
      </c>
      <c r="AO525" s="451">
        <v>1568954</v>
      </c>
      <c r="AP525" s="451">
        <v>246.08074999999999</v>
      </c>
      <c r="AQ525" s="451">
        <v>67308.006739999997</v>
      </c>
      <c r="AR525" s="451">
        <v>0.78059999999999996</v>
      </c>
    </row>
    <row r="526" spans="39:44">
      <c r="AM526" s="450">
        <v>45416</v>
      </c>
      <c r="AN526" s="451">
        <v>273.52</v>
      </c>
      <c r="AO526" s="451">
        <v>1568954</v>
      </c>
      <c r="AP526" s="451">
        <v>246.08074999999999</v>
      </c>
      <c r="AQ526" s="451">
        <v>67308.006739999997</v>
      </c>
      <c r="AR526" s="451">
        <v>0.78059999999999996</v>
      </c>
    </row>
    <row r="527" spans="39:44">
      <c r="AM527" s="450">
        <v>45415</v>
      </c>
      <c r="AN527" s="451">
        <v>275.51</v>
      </c>
      <c r="AO527" s="451">
        <v>1836530</v>
      </c>
      <c r="AP527" s="451">
        <v>246.08074999999999</v>
      </c>
      <c r="AQ527" s="451">
        <v>67797.707432499999</v>
      </c>
      <c r="AR527" s="451">
        <v>0.78620000000000001</v>
      </c>
    </row>
    <row r="528" spans="39:44">
      <c r="AM528" s="450">
        <v>45414</v>
      </c>
      <c r="AN528" s="451">
        <v>278.49</v>
      </c>
      <c r="AO528" s="451">
        <v>1805831</v>
      </c>
      <c r="AP528" s="451">
        <v>246.08074999999999</v>
      </c>
      <c r="AQ528" s="451">
        <v>68531.028067499996</v>
      </c>
      <c r="AR528" s="451">
        <v>0.79469999999999996</v>
      </c>
    </row>
    <row r="529" spans="39:44">
      <c r="AM529" s="450">
        <v>45413</v>
      </c>
      <c r="AN529" s="451">
        <v>275.29000000000002</v>
      </c>
      <c r="AO529" s="451">
        <v>2516403</v>
      </c>
      <c r="AP529" s="451">
        <v>246.08074999999999</v>
      </c>
      <c r="AQ529" s="451">
        <v>67743.569667500007</v>
      </c>
      <c r="AR529" s="451">
        <v>0.78559999999999997</v>
      </c>
    </row>
    <row r="530" spans="39:44">
      <c r="AM530" s="450">
        <v>45412</v>
      </c>
      <c r="AN530" s="451">
        <v>280.13</v>
      </c>
      <c r="AO530" s="451">
        <v>2783955</v>
      </c>
      <c r="AP530" s="451">
        <v>246.08074999999999</v>
      </c>
      <c r="AQ530" s="451">
        <v>68934.600497499996</v>
      </c>
      <c r="AR530" s="451">
        <v>0.7994</v>
      </c>
    </row>
    <row r="531" spans="39:44">
      <c r="AM531" s="450">
        <v>45411</v>
      </c>
      <c r="AN531" s="451">
        <v>289.74</v>
      </c>
      <c r="AO531" s="451">
        <v>1650866</v>
      </c>
      <c r="AP531" s="451">
        <v>246.08074999999999</v>
      </c>
      <c r="AQ531" s="451">
        <v>71299.436505000005</v>
      </c>
      <c r="AR531" s="451">
        <v>0.82679999999999998</v>
      </c>
    </row>
    <row r="532" spans="39:44">
      <c r="AM532" s="450">
        <v>45410</v>
      </c>
      <c r="AN532" s="451">
        <v>289.74</v>
      </c>
      <c r="AO532" s="451">
        <v>1650866</v>
      </c>
      <c r="AP532" s="451">
        <v>246.08074999999999</v>
      </c>
      <c r="AQ532" s="451">
        <v>71299.436505000005</v>
      </c>
      <c r="AR532" s="451">
        <v>0.82679999999999998</v>
      </c>
    </row>
    <row r="533" spans="39:44">
      <c r="AM533" s="450">
        <v>45409</v>
      </c>
      <c r="AN533" s="451">
        <v>289.74</v>
      </c>
      <c r="AO533" s="451">
        <v>1650866</v>
      </c>
      <c r="AP533" s="451">
        <v>246.08074999999999</v>
      </c>
      <c r="AQ533" s="451">
        <v>71299.436505000005</v>
      </c>
      <c r="AR533" s="451">
        <v>0.82679999999999998</v>
      </c>
    </row>
    <row r="534" spans="39:44">
      <c r="AM534" s="450">
        <v>45408</v>
      </c>
      <c r="AN534" s="451">
        <v>289.74</v>
      </c>
      <c r="AO534" s="451">
        <v>1650866</v>
      </c>
      <c r="AP534" s="451">
        <v>246.08074999999999</v>
      </c>
      <c r="AQ534" s="451">
        <v>71299.436505000005</v>
      </c>
      <c r="AR534" s="451">
        <v>0.82679999999999998</v>
      </c>
    </row>
    <row r="535" spans="39:44">
      <c r="AM535" s="450">
        <v>45407</v>
      </c>
      <c r="AN535" s="451">
        <v>287.88</v>
      </c>
      <c r="AO535" s="451">
        <v>1786587</v>
      </c>
      <c r="AP535" s="451">
        <v>246.08074999999999</v>
      </c>
      <c r="AQ535" s="451">
        <v>70841.726309999998</v>
      </c>
      <c r="AR535" s="451">
        <v>0.82150000000000001</v>
      </c>
    </row>
    <row r="536" spans="39:44">
      <c r="AM536" s="450">
        <v>45406</v>
      </c>
      <c r="AN536" s="451">
        <v>288.99</v>
      </c>
      <c r="AO536" s="451">
        <v>4527764</v>
      </c>
      <c r="AP536" s="451">
        <v>246.08074999999999</v>
      </c>
      <c r="AQ536" s="451">
        <v>71114.875942500003</v>
      </c>
      <c r="AR536" s="451">
        <v>0.82469999999999999</v>
      </c>
    </row>
    <row r="537" spans="39:44">
      <c r="AM537" s="450">
        <v>45405</v>
      </c>
      <c r="AN537" s="451">
        <v>282.57</v>
      </c>
      <c r="AO537" s="451">
        <v>3028465</v>
      </c>
      <c r="AP537" s="451">
        <v>246.08074999999999</v>
      </c>
      <c r="AQ537" s="451">
        <v>69535.037527499997</v>
      </c>
      <c r="AR537" s="451">
        <v>0.80640000000000001</v>
      </c>
    </row>
    <row r="538" spans="39:44">
      <c r="AM538" s="450">
        <v>45404</v>
      </c>
      <c r="AN538" s="451">
        <v>284.32</v>
      </c>
      <c r="AO538" s="451">
        <v>8186588</v>
      </c>
      <c r="AP538" s="451">
        <v>246.08074999999999</v>
      </c>
      <c r="AQ538" s="451">
        <v>69965.678839999993</v>
      </c>
      <c r="AR538" s="451">
        <v>0.81140000000000001</v>
      </c>
    </row>
    <row r="539" spans="39:44">
      <c r="AM539" s="450">
        <v>45403</v>
      </c>
      <c r="AN539" s="451">
        <v>284.32</v>
      </c>
      <c r="AO539" s="451">
        <v>8186588</v>
      </c>
      <c r="AP539" s="451">
        <v>246.08074999999999</v>
      </c>
      <c r="AQ539" s="451">
        <v>69965.678839999993</v>
      </c>
      <c r="AR539" s="451">
        <v>0.81140000000000001</v>
      </c>
    </row>
    <row r="540" spans="39:44">
      <c r="AM540" s="450">
        <v>45402</v>
      </c>
      <c r="AN540" s="451">
        <v>284.32</v>
      </c>
      <c r="AO540" s="451">
        <v>8186588</v>
      </c>
      <c r="AP540" s="451">
        <v>246.08074999999999</v>
      </c>
      <c r="AQ540" s="451">
        <v>69965.678839999993</v>
      </c>
      <c r="AR540" s="451">
        <v>0.81140000000000001</v>
      </c>
    </row>
    <row r="541" spans="39:44">
      <c r="AM541" s="450">
        <v>45401</v>
      </c>
      <c r="AN541" s="451">
        <v>264.85000000000002</v>
      </c>
      <c r="AO541" s="451">
        <v>4879372</v>
      </c>
      <c r="AP541" s="451">
        <v>246.08074999999999</v>
      </c>
      <c r="AQ541" s="451">
        <v>65174.486637500006</v>
      </c>
      <c r="AR541" s="451">
        <v>0.75580000000000003</v>
      </c>
    </row>
    <row r="542" spans="39:44">
      <c r="AM542" s="450">
        <v>45400</v>
      </c>
      <c r="AN542" s="451">
        <v>259.99</v>
      </c>
      <c r="AO542" s="451">
        <v>1890239</v>
      </c>
      <c r="AP542" s="451">
        <v>249.89255</v>
      </c>
      <c r="AQ542" s="451">
        <v>64969.564074500006</v>
      </c>
      <c r="AR542" s="451">
        <v>0.7419</v>
      </c>
    </row>
    <row r="543" spans="39:44">
      <c r="AM543" s="450">
        <v>45399</v>
      </c>
      <c r="AN543" s="451">
        <v>256.62</v>
      </c>
      <c r="AO543" s="451">
        <v>1444351</v>
      </c>
      <c r="AP543" s="451">
        <v>249.89255</v>
      </c>
      <c r="AQ543" s="451">
        <v>64127.426181000003</v>
      </c>
      <c r="AR543" s="451">
        <v>0.73229999999999995</v>
      </c>
    </row>
    <row r="544" spans="39:44">
      <c r="AM544" s="450">
        <v>45398</v>
      </c>
      <c r="AN544" s="451">
        <v>253.18</v>
      </c>
      <c r="AO544" s="451">
        <v>1558640</v>
      </c>
      <c r="AP544" s="451">
        <v>249.89255</v>
      </c>
      <c r="AQ544" s="451">
        <v>63267.795809000003</v>
      </c>
      <c r="AR544" s="451">
        <v>0.72250000000000003</v>
      </c>
    </row>
    <row r="545" spans="39:44">
      <c r="AM545" s="450">
        <v>45397</v>
      </c>
      <c r="AN545" s="451">
        <v>253.29</v>
      </c>
      <c r="AO545" s="451">
        <v>3296730</v>
      </c>
      <c r="AP545" s="451">
        <v>249.89255</v>
      </c>
      <c r="AQ545" s="451">
        <v>63295.2839895</v>
      </c>
      <c r="AR545" s="451">
        <v>0.7228</v>
      </c>
    </row>
    <row r="546" spans="39:44">
      <c r="AM546" s="450">
        <v>45396</v>
      </c>
      <c r="AN546" s="451">
        <v>253.29</v>
      </c>
      <c r="AO546" s="451">
        <v>3296730</v>
      </c>
      <c r="AP546" s="451">
        <v>249.89255</v>
      </c>
      <c r="AQ546" s="451">
        <v>63295.2839895</v>
      </c>
      <c r="AR546" s="451">
        <v>0.7228</v>
      </c>
    </row>
    <row r="547" spans="39:44">
      <c r="AM547" s="450">
        <v>45395</v>
      </c>
      <c r="AN547" s="451">
        <v>253.29</v>
      </c>
      <c r="AO547" s="451">
        <v>3296730</v>
      </c>
      <c r="AP547" s="451">
        <v>249.89255</v>
      </c>
      <c r="AQ547" s="451">
        <v>63295.2839895</v>
      </c>
      <c r="AR547" s="451">
        <v>0.7228</v>
      </c>
    </row>
    <row r="548" spans="39:44">
      <c r="AM548" s="450">
        <v>45394</v>
      </c>
      <c r="AN548" s="451">
        <v>255.53</v>
      </c>
      <c r="AO548" s="451">
        <v>1333915</v>
      </c>
      <c r="AP548" s="451">
        <v>249.89255</v>
      </c>
      <c r="AQ548" s="451">
        <v>63855.043301500002</v>
      </c>
      <c r="AR548" s="451">
        <v>0.72919999999999996</v>
      </c>
    </row>
    <row r="549" spans="39:44">
      <c r="AM549" s="450">
        <v>45393</v>
      </c>
      <c r="AN549" s="451">
        <v>255.22</v>
      </c>
      <c r="AO549" s="451">
        <v>1492343</v>
      </c>
      <c r="AP549" s="451">
        <v>249.89255</v>
      </c>
      <c r="AQ549" s="451">
        <v>63777.576610999997</v>
      </c>
      <c r="AR549" s="451">
        <v>0.72829999999999995</v>
      </c>
    </row>
    <row r="550" spans="39:44">
      <c r="AM550" s="450">
        <v>45392</v>
      </c>
      <c r="AN550" s="451">
        <v>254.22</v>
      </c>
      <c r="AO550" s="451">
        <v>1912412</v>
      </c>
      <c r="AP550" s="451">
        <v>249.89255</v>
      </c>
      <c r="AQ550" s="451">
        <v>63527.684061</v>
      </c>
      <c r="AR550" s="451">
        <v>0.72550000000000003</v>
      </c>
    </row>
    <row r="551" spans="39:44">
      <c r="AM551" s="450">
        <v>45391</v>
      </c>
      <c r="AN551" s="451">
        <v>252.7</v>
      </c>
      <c r="AO551" s="451">
        <v>1475093</v>
      </c>
      <c r="AP551" s="451">
        <v>249.89255</v>
      </c>
      <c r="AQ551" s="451">
        <v>63147.847384999994</v>
      </c>
      <c r="AR551" s="451">
        <v>0.72109999999999996</v>
      </c>
    </row>
    <row r="552" spans="39:44">
      <c r="AM552" s="450">
        <v>45390</v>
      </c>
      <c r="AN552" s="451">
        <v>247.68</v>
      </c>
      <c r="AO552" s="451">
        <v>1117099</v>
      </c>
      <c r="AP552" s="451">
        <v>249.89255</v>
      </c>
      <c r="AQ552" s="451">
        <v>61893.386784000002</v>
      </c>
      <c r="AR552" s="451">
        <v>0.70679999999999998</v>
      </c>
    </row>
    <row r="553" spans="39:44">
      <c r="AM553" s="450">
        <v>45389</v>
      </c>
      <c r="AN553" s="451">
        <v>247.68</v>
      </c>
      <c r="AO553" s="451">
        <v>1117099</v>
      </c>
      <c r="AP553" s="451">
        <v>249.89255</v>
      </c>
      <c r="AQ553" s="451">
        <v>61893.386784000002</v>
      </c>
      <c r="AR553" s="451">
        <v>0.70679999999999998</v>
      </c>
    </row>
    <row r="554" spans="39:44">
      <c r="AM554" s="450">
        <v>45388</v>
      </c>
      <c r="AN554" s="451">
        <v>247.68</v>
      </c>
      <c r="AO554" s="451">
        <v>1117099</v>
      </c>
      <c r="AP554" s="451">
        <v>249.89255</v>
      </c>
      <c r="AQ554" s="451">
        <v>61893.386784000002</v>
      </c>
      <c r="AR554" s="451">
        <v>0.70679999999999998</v>
      </c>
    </row>
    <row r="555" spans="39:44">
      <c r="AM555" s="450">
        <v>45387</v>
      </c>
      <c r="AN555" s="451">
        <v>250.24</v>
      </c>
      <c r="AO555" s="451">
        <v>1536610</v>
      </c>
      <c r="AP555" s="451">
        <v>249.89255</v>
      </c>
      <c r="AQ555" s="451">
        <v>62533.111712000005</v>
      </c>
      <c r="AR555" s="451">
        <v>0.71409999999999996</v>
      </c>
    </row>
    <row r="556" spans="39:44">
      <c r="AM556" s="450">
        <v>45386</v>
      </c>
      <c r="AN556" s="451">
        <v>248.4</v>
      </c>
      <c r="AO556" s="451">
        <v>1649922</v>
      </c>
      <c r="AP556" s="451">
        <v>249.89255</v>
      </c>
      <c r="AQ556" s="451">
        <v>62073.309420000005</v>
      </c>
      <c r="AR556" s="451">
        <v>0.70889999999999997</v>
      </c>
    </row>
    <row r="557" spans="39:44">
      <c r="AM557" s="450">
        <v>45385</v>
      </c>
      <c r="AN557" s="451">
        <v>248.72</v>
      </c>
      <c r="AO557" s="451">
        <v>1381096</v>
      </c>
      <c r="AP557" s="451">
        <v>249.89255</v>
      </c>
      <c r="AQ557" s="451">
        <v>62153.275035999999</v>
      </c>
      <c r="AR557" s="451">
        <v>0.70979999999999999</v>
      </c>
    </row>
    <row r="558" spans="39:44">
      <c r="AM558" s="450">
        <v>45384</v>
      </c>
      <c r="AN558" s="451">
        <v>246.77</v>
      </c>
      <c r="AO558" s="451">
        <v>1594813</v>
      </c>
      <c r="AP558" s="451">
        <v>249.89255</v>
      </c>
      <c r="AQ558" s="451">
        <v>61665.984563500002</v>
      </c>
      <c r="AR558" s="451">
        <v>0.70420000000000005</v>
      </c>
    </row>
    <row r="559" spans="39:44">
      <c r="AM559" s="450">
        <v>45383</v>
      </c>
      <c r="AN559" s="451">
        <v>246.6</v>
      </c>
      <c r="AO559" s="451">
        <v>1682698</v>
      </c>
      <c r="AP559" s="451">
        <v>249.89255</v>
      </c>
      <c r="AQ559" s="451">
        <v>61623.502829999998</v>
      </c>
      <c r="AR559" s="451">
        <v>0.70369999999999999</v>
      </c>
    </row>
    <row r="560" spans="39:44">
      <c r="AM560" s="450">
        <v>45382</v>
      </c>
      <c r="AN560" s="451">
        <v>246.6</v>
      </c>
      <c r="AO560" s="451">
        <v>1682698</v>
      </c>
      <c r="AP560" s="451">
        <v>249.89255</v>
      </c>
      <c r="AQ560" s="451">
        <v>61623.502829999998</v>
      </c>
      <c r="AR560" s="451">
        <v>0.70369999999999999</v>
      </c>
    </row>
    <row r="561" spans="39:44">
      <c r="AM561" s="450">
        <v>45381</v>
      </c>
      <c r="AN561" s="451">
        <v>246.6</v>
      </c>
      <c r="AO561" s="451">
        <v>1682698</v>
      </c>
      <c r="AP561" s="451">
        <v>249.89255</v>
      </c>
      <c r="AQ561" s="451">
        <v>61623.502829999998</v>
      </c>
      <c r="AR561" s="451">
        <v>0.70369999999999999</v>
      </c>
    </row>
    <row r="562" spans="39:44">
      <c r="AM562" s="450">
        <v>45380</v>
      </c>
      <c r="AN562" s="451">
        <v>248.97</v>
      </c>
      <c r="AO562" s="451">
        <v>2789271</v>
      </c>
      <c r="AP562" s="451">
        <v>249.89255</v>
      </c>
      <c r="AQ562" s="451">
        <v>62215.748173499996</v>
      </c>
      <c r="AR562" s="451">
        <v>0.71050000000000002</v>
      </c>
    </row>
    <row r="563" spans="39:44">
      <c r="AM563" s="450">
        <v>45379</v>
      </c>
      <c r="AN563" s="451">
        <v>244.37</v>
      </c>
      <c r="AO563" s="451">
        <v>1442629</v>
      </c>
      <c r="AP563" s="451">
        <v>249.89255</v>
      </c>
      <c r="AQ563" s="451">
        <v>61066.242443499999</v>
      </c>
      <c r="AR563" s="451">
        <v>0.69669999999999999</v>
      </c>
    </row>
    <row r="564" spans="39:44">
      <c r="AM564" s="450">
        <v>45378</v>
      </c>
      <c r="AN564" s="451">
        <v>241.4</v>
      </c>
      <c r="AO564" s="451">
        <v>1030014</v>
      </c>
      <c r="AP564" s="451">
        <v>249.89255</v>
      </c>
      <c r="AQ564" s="451">
        <v>60324.061569999998</v>
      </c>
      <c r="AR564" s="451">
        <v>0.68830000000000002</v>
      </c>
    </row>
    <row r="565" spans="39:44">
      <c r="AM565" s="450">
        <v>45377</v>
      </c>
      <c r="AN565" s="451">
        <v>241.12</v>
      </c>
      <c r="AO565" s="451">
        <v>1294706</v>
      </c>
      <c r="AP565" s="451">
        <v>249.89255</v>
      </c>
      <c r="AQ565" s="451">
        <v>60254.091656000004</v>
      </c>
      <c r="AR565" s="451">
        <v>0.6875</v>
      </c>
    </row>
    <row r="566" spans="39:44">
      <c r="AM566" s="450">
        <v>45376</v>
      </c>
      <c r="AN566" s="451">
        <v>243.46</v>
      </c>
      <c r="AO566" s="451">
        <v>1128793</v>
      </c>
      <c r="AP566" s="451">
        <v>249.89255</v>
      </c>
      <c r="AQ566" s="451">
        <v>60838.840222999999</v>
      </c>
      <c r="AR566" s="451">
        <v>0.69410000000000005</v>
      </c>
    </row>
    <row r="567" spans="39:44">
      <c r="AM567" s="450">
        <v>45375</v>
      </c>
      <c r="AN567" s="451">
        <v>243.46</v>
      </c>
      <c r="AO567" s="451">
        <v>1128793</v>
      </c>
      <c r="AP567" s="451">
        <v>249.89255</v>
      </c>
      <c r="AQ567" s="451">
        <v>60838.840222999999</v>
      </c>
      <c r="AR567" s="451">
        <v>0.69410000000000005</v>
      </c>
    </row>
    <row r="568" spans="39:44">
      <c r="AM568" s="450">
        <v>45374</v>
      </c>
      <c r="AN568" s="451">
        <v>243.46</v>
      </c>
      <c r="AO568" s="451">
        <v>1128793</v>
      </c>
      <c r="AP568" s="451">
        <v>249.89255</v>
      </c>
      <c r="AQ568" s="451">
        <v>60838.840222999999</v>
      </c>
      <c r="AR568" s="451">
        <v>0.69410000000000005</v>
      </c>
    </row>
    <row r="569" spans="39:44">
      <c r="AM569" s="450">
        <v>45373</v>
      </c>
      <c r="AN569" s="451">
        <v>244.16</v>
      </c>
      <c r="AO569" s="451">
        <v>1344913</v>
      </c>
      <c r="AP569" s="451">
        <v>249.89255</v>
      </c>
      <c r="AQ569" s="451">
        <v>61013.765008000002</v>
      </c>
      <c r="AR569" s="451">
        <v>0.69610000000000005</v>
      </c>
    </row>
    <row r="570" spans="39:44">
      <c r="AM570" s="450">
        <v>45372</v>
      </c>
      <c r="AN570" s="451">
        <v>241.41</v>
      </c>
      <c r="AO570" s="451">
        <v>1497131</v>
      </c>
      <c r="AP570" s="451">
        <v>249.89255</v>
      </c>
      <c r="AQ570" s="451">
        <v>60326.560495500002</v>
      </c>
      <c r="AR570" s="451">
        <v>0.68830000000000002</v>
      </c>
    </row>
    <row r="571" spans="39:44">
      <c r="AM571" s="450">
        <v>45371</v>
      </c>
      <c r="AN571" s="451">
        <v>239.54</v>
      </c>
      <c r="AO571" s="451">
        <v>1671562</v>
      </c>
      <c r="AP571" s="451">
        <v>249.89255</v>
      </c>
      <c r="AQ571" s="451">
        <v>59859.261426999998</v>
      </c>
      <c r="AR571" s="451">
        <v>0.68300000000000005</v>
      </c>
    </row>
    <row r="572" spans="39:44">
      <c r="AM572" s="450">
        <v>45370</v>
      </c>
      <c r="AN572" s="451">
        <v>237.59</v>
      </c>
      <c r="AO572" s="451">
        <v>2113042</v>
      </c>
      <c r="AP572" s="451">
        <v>249.89255</v>
      </c>
      <c r="AQ572" s="451">
        <v>59371.970954500001</v>
      </c>
      <c r="AR572" s="451">
        <v>0.6774</v>
      </c>
    </row>
    <row r="573" spans="39:44">
      <c r="AM573" s="450">
        <v>45369</v>
      </c>
      <c r="AN573" s="451">
        <v>237.59</v>
      </c>
      <c r="AO573" s="451">
        <v>2113042</v>
      </c>
      <c r="AP573" s="451">
        <v>249.89255</v>
      </c>
      <c r="AQ573" s="451">
        <v>59371.970954500001</v>
      </c>
      <c r="AR573" s="451">
        <v>0.6774</v>
      </c>
    </row>
    <row r="574" spans="39:44">
      <c r="AM574" s="450">
        <v>45368</v>
      </c>
      <c r="AN574" s="451">
        <v>237.59</v>
      </c>
      <c r="AO574" s="451">
        <v>2113042</v>
      </c>
      <c r="AP574" s="451">
        <v>249.89255</v>
      </c>
      <c r="AQ574" s="451">
        <v>59371.970954500001</v>
      </c>
      <c r="AR574" s="451">
        <v>0.6774</v>
      </c>
    </row>
    <row r="575" spans="39:44">
      <c r="AM575" s="450">
        <v>45367</v>
      </c>
      <c r="AN575" s="451">
        <v>237.59</v>
      </c>
      <c r="AO575" s="451">
        <v>2113042</v>
      </c>
      <c r="AP575" s="451">
        <v>249.89255</v>
      </c>
      <c r="AQ575" s="451">
        <v>59371.970954500001</v>
      </c>
      <c r="AR575" s="451">
        <v>0.6774</v>
      </c>
    </row>
    <row r="576" spans="39:44">
      <c r="AM576" s="450">
        <v>45366</v>
      </c>
      <c r="AN576" s="451">
        <v>236.52</v>
      </c>
      <c r="AO576" s="451">
        <v>1520410</v>
      </c>
      <c r="AP576" s="451">
        <v>249.89255</v>
      </c>
      <c r="AQ576" s="451">
        <v>59104.585926</v>
      </c>
      <c r="AR576" s="451">
        <v>0.6744</v>
      </c>
    </row>
    <row r="577" spans="39:44">
      <c r="AM577" s="450">
        <v>45365</v>
      </c>
      <c r="AN577" s="451">
        <v>236.83</v>
      </c>
      <c r="AO577" s="451">
        <v>1454009</v>
      </c>
      <c r="AP577" s="451">
        <v>249.89255</v>
      </c>
      <c r="AQ577" s="451">
        <v>59182.052616500005</v>
      </c>
      <c r="AR577" s="451">
        <v>0.67520000000000002</v>
      </c>
    </row>
    <row r="578" spans="39:44">
      <c r="AM578" s="450">
        <v>45364</v>
      </c>
      <c r="AN578" s="451">
        <v>236.39</v>
      </c>
      <c r="AO578" s="451">
        <v>2513560</v>
      </c>
      <c r="AP578" s="451">
        <v>249.89255</v>
      </c>
      <c r="AQ578" s="451">
        <v>59072.099894499996</v>
      </c>
      <c r="AR578" s="451">
        <v>0.67400000000000004</v>
      </c>
    </row>
    <row r="579" spans="39:44">
      <c r="AM579" s="450">
        <v>45363</v>
      </c>
      <c r="AN579" s="451">
        <v>244.44</v>
      </c>
      <c r="AO579" s="451">
        <v>1773250</v>
      </c>
      <c r="AP579" s="451">
        <v>249.89255</v>
      </c>
      <c r="AQ579" s="451">
        <v>61083.734921999996</v>
      </c>
      <c r="AR579" s="451">
        <v>0.69689999999999996</v>
      </c>
    </row>
    <row r="580" spans="39:44">
      <c r="AM580" s="450">
        <v>45362</v>
      </c>
      <c r="AN580" s="451">
        <v>242.62</v>
      </c>
      <c r="AO580" s="451">
        <v>1786278</v>
      </c>
      <c r="AP580" s="451">
        <v>249.89255</v>
      </c>
      <c r="AQ580" s="451">
        <v>60628.930481000003</v>
      </c>
      <c r="AR580" s="451">
        <v>0.69179999999999997</v>
      </c>
    </row>
    <row r="581" spans="39:44">
      <c r="AM581" s="450">
        <v>45361</v>
      </c>
      <c r="AN581" s="451">
        <v>242.62</v>
      </c>
      <c r="AO581" s="451">
        <v>1786278</v>
      </c>
      <c r="AP581" s="451">
        <v>249.89255</v>
      </c>
      <c r="AQ581" s="451">
        <v>60628.930481000003</v>
      </c>
      <c r="AR581" s="451">
        <v>0.69179999999999997</v>
      </c>
    </row>
    <row r="582" spans="39:44">
      <c r="AM582" s="450">
        <v>45360</v>
      </c>
      <c r="AN582" s="451">
        <v>242.62</v>
      </c>
      <c r="AO582" s="451">
        <v>1786278</v>
      </c>
      <c r="AP582" s="451">
        <v>249.89255</v>
      </c>
      <c r="AQ582" s="451">
        <v>60628.930481000003</v>
      </c>
      <c r="AR582" s="451">
        <v>0.69179999999999997</v>
      </c>
    </row>
    <row r="583" spans="39:44">
      <c r="AM583" s="450">
        <v>45359</v>
      </c>
      <c r="AN583" s="451">
        <v>241.75</v>
      </c>
      <c r="AO583" s="451">
        <v>1847276</v>
      </c>
      <c r="AP583" s="451">
        <v>249.89255</v>
      </c>
      <c r="AQ583" s="451">
        <v>60411.523962500003</v>
      </c>
      <c r="AR583" s="451">
        <v>0.68930000000000002</v>
      </c>
    </row>
    <row r="584" spans="39:44">
      <c r="AM584" s="450">
        <v>45358</v>
      </c>
      <c r="AN584" s="451">
        <v>242.13</v>
      </c>
      <c r="AO584" s="451">
        <v>2155680</v>
      </c>
      <c r="AP584" s="451">
        <v>249.89255</v>
      </c>
      <c r="AQ584" s="451">
        <v>60506.483131499997</v>
      </c>
      <c r="AR584" s="451">
        <v>0.69040000000000001</v>
      </c>
    </row>
    <row r="585" spans="39:44">
      <c r="AM585" s="450">
        <v>45357</v>
      </c>
      <c r="AN585" s="451">
        <v>241.32</v>
      </c>
      <c r="AO585" s="451">
        <v>2625108</v>
      </c>
      <c r="AP585" s="451">
        <v>249.89255</v>
      </c>
      <c r="AQ585" s="451">
        <v>60304.070165999998</v>
      </c>
      <c r="AR585" s="451">
        <v>0.68799999999999994</v>
      </c>
    </row>
    <row r="586" spans="39:44">
      <c r="AM586" s="450">
        <v>45356</v>
      </c>
      <c r="AN586" s="451">
        <v>238.31</v>
      </c>
      <c r="AO586" s="451">
        <v>2624882</v>
      </c>
      <c r="AP586" s="451">
        <v>249.89255</v>
      </c>
      <c r="AQ586" s="451">
        <v>59551.893590500003</v>
      </c>
      <c r="AR586" s="451">
        <v>0.67949999999999999</v>
      </c>
    </row>
    <row r="587" spans="39:44">
      <c r="AM587" s="450">
        <v>45355</v>
      </c>
      <c r="AN587" s="451">
        <v>242.36</v>
      </c>
      <c r="AO587" s="451">
        <v>1999383</v>
      </c>
      <c r="AP587" s="451">
        <v>249.89255</v>
      </c>
      <c r="AQ587" s="451">
        <v>60563.958418000002</v>
      </c>
      <c r="AR587" s="451">
        <v>0.69099999999999995</v>
      </c>
    </row>
    <row r="588" spans="39:44">
      <c r="AM588" s="450">
        <v>45354</v>
      </c>
      <c r="AN588" s="451">
        <v>242.36</v>
      </c>
      <c r="AO588" s="451">
        <v>1999383</v>
      </c>
      <c r="AP588" s="451">
        <v>249.89255</v>
      </c>
      <c r="AQ588" s="451">
        <v>60563.958418000002</v>
      </c>
      <c r="AR588" s="451">
        <v>0.69099999999999995</v>
      </c>
    </row>
    <row r="589" spans="39:44">
      <c r="AM589" s="450">
        <v>45353</v>
      </c>
      <c r="AN589" s="451">
        <v>242.36</v>
      </c>
      <c r="AO589" s="451">
        <v>1999383</v>
      </c>
      <c r="AP589" s="451">
        <v>249.89255</v>
      </c>
      <c r="AQ589" s="451">
        <v>60563.958418000002</v>
      </c>
      <c r="AR589" s="451">
        <v>0.69099999999999995</v>
      </c>
    </row>
    <row r="590" spans="39:44">
      <c r="AM590" s="450">
        <v>45352</v>
      </c>
      <c r="AN590" s="451">
        <v>241.95</v>
      </c>
      <c r="AO590" s="451">
        <v>2417149</v>
      </c>
      <c r="AP590" s="451">
        <v>249.89255</v>
      </c>
      <c r="AQ590" s="451">
        <v>60461.502472499997</v>
      </c>
      <c r="AR590" s="451">
        <v>0.68979999999999997</v>
      </c>
    </row>
    <row r="591" spans="39:44">
      <c r="AM591" s="450">
        <v>45351</v>
      </c>
      <c r="AN591" s="451">
        <v>241.29</v>
      </c>
      <c r="AO591" s="451">
        <v>2990634</v>
      </c>
      <c r="AP591" s="451">
        <v>249.89255</v>
      </c>
      <c r="AQ591" s="451">
        <v>60296.573389500001</v>
      </c>
      <c r="AR591" s="451">
        <v>0.68799999999999994</v>
      </c>
    </row>
    <row r="592" spans="39:44">
      <c r="AM592" s="450">
        <v>45350</v>
      </c>
      <c r="AN592" s="451">
        <v>243.77</v>
      </c>
      <c r="AO592" s="451">
        <v>3961508</v>
      </c>
      <c r="AP592" s="451">
        <v>249.89255</v>
      </c>
      <c r="AQ592" s="451">
        <v>60916.306913500004</v>
      </c>
      <c r="AR592" s="451">
        <v>0.69499999999999995</v>
      </c>
    </row>
    <row r="593" spans="39:44">
      <c r="AM593" s="450">
        <v>45349</v>
      </c>
      <c r="AN593" s="451">
        <v>248.03</v>
      </c>
      <c r="AO593" s="451">
        <v>2612201</v>
      </c>
      <c r="AP593" s="451">
        <v>249.89255</v>
      </c>
      <c r="AQ593" s="451">
        <v>61980.8491765</v>
      </c>
      <c r="AR593" s="451">
        <v>0.70720000000000005</v>
      </c>
    </row>
    <row r="594" spans="39:44">
      <c r="AM594" s="450">
        <v>45348</v>
      </c>
      <c r="AN594" s="451">
        <v>251.55</v>
      </c>
      <c r="AO594" s="451">
        <v>1755791</v>
      </c>
      <c r="AP594" s="451">
        <v>249.89255</v>
      </c>
      <c r="AQ594" s="451">
        <v>62860.4709525</v>
      </c>
      <c r="AR594" s="451">
        <v>0.71719999999999995</v>
      </c>
    </row>
    <row r="595" spans="39:44">
      <c r="AM595" s="450">
        <v>45347</v>
      </c>
      <c r="AN595" s="451">
        <v>251.55</v>
      </c>
      <c r="AO595" s="451">
        <v>1755791</v>
      </c>
      <c r="AP595" s="451">
        <v>249.89255</v>
      </c>
      <c r="AQ595" s="451">
        <v>62860.4709525</v>
      </c>
      <c r="AR595" s="451">
        <v>0.71719999999999995</v>
      </c>
    </row>
    <row r="596" spans="39:44">
      <c r="AM596" s="450">
        <v>45346</v>
      </c>
      <c r="AN596" s="451">
        <v>251.55</v>
      </c>
      <c r="AO596" s="451">
        <v>1755791</v>
      </c>
      <c r="AP596" s="451">
        <v>249.89255</v>
      </c>
      <c r="AQ596" s="451">
        <v>62860.4709525</v>
      </c>
      <c r="AR596" s="451">
        <v>0.71719999999999995</v>
      </c>
    </row>
    <row r="597" spans="39:44">
      <c r="AM597" s="450">
        <v>45345</v>
      </c>
      <c r="AN597" s="451">
        <v>253.13</v>
      </c>
      <c r="AO597" s="451">
        <v>1714542</v>
      </c>
      <c r="AP597" s="451">
        <v>249.89255</v>
      </c>
      <c r="AQ597" s="451">
        <v>63255.301181499999</v>
      </c>
      <c r="AR597" s="451">
        <v>0.72170000000000001</v>
      </c>
    </row>
    <row r="598" spans="39:44">
      <c r="AM598" s="450">
        <v>45344</v>
      </c>
      <c r="AN598" s="451">
        <v>249.73</v>
      </c>
      <c r="AO598" s="451">
        <v>2466739</v>
      </c>
      <c r="AP598" s="451">
        <v>249.89255</v>
      </c>
      <c r="AQ598" s="451">
        <v>62405.6665115</v>
      </c>
      <c r="AR598" s="451">
        <v>0.71199999999999997</v>
      </c>
    </row>
    <row r="599" spans="39:44">
      <c r="AM599" s="450">
        <v>45343</v>
      </c>
      <c r="AN599" s="451">
        <v>250.85</v>
      </c>
      <c r="AO599" s="451">
        <v>1633893</v>
      </c>
      <c r="AP599" s="451">
        <v>249.89255</v>
      </c>
      <c r="AQ599" s="451">
        <v>62685.546167499997</v>
      </c>
      <c r="AR599" s="451">
        <v>0.71519999999999995</v>
      </c>
    </row>
    <row r="600" spans="39:44">
      <c r="AM600" s="450">
        <v>45342</v>
      </c>
      <c r="AN600" s="451">
        <v>250.69</v>
      </c>
      <c r="AO600" s="451">
        <v>2300042</v>
      </c>
      <c r="AP600" s="451">
        <v>249.89255</v>
      </c>
      <c r="AQ600" s="451">
        <v>62645.563359499996</v>
      </c>
      <c r="AR600" s="451">
        <v>0.71479999999999999</v>
      </c>
    </row>
    <row r="601" spans="39:44">
      <c r="AM601" s="450">
        <v>45341</v>
      </c>
      <c r="AN601" s="451">
        <v>246.53</v>
      </c>
      <c r="AO601" s="451">
        <v>2430484</v>
      </c>
      <c r="AP601" s="451">
        <v>249.89255</v>
      </c>
      <c r="AQ601" s="451">
        <v>61606.010351500001</v>
      </c>
      <c r="AR601" s="451">
        <v>0.70289999999999997</v>
      </c>
    </row>
    <row r="602" spans="39:44">
      <c r="AM602" s="450">
        <v>45340</v>
      </c>
      <c r="AN602" s="451">
        <v>246.53</v>
      </c>
      <c r="AO602" s="451">
        <v>2430484</v>
      </c>
      <c r="AP602" s="451">
        <v>249.89255</v>
      </c>
      <c r="AQ602" s="451">
        <v>61606.010351500001</v>
      </c>
      <c r="AR602" s="451">
        <v>0.70289999999999997</v>
      </c>
    </row>
    <row r="603" spans="39:44">
      <c r="AM603" s="450">
        <v>45339</v>
      </c>
      <c r="AN603" s="451">
        <v>246.53</v>
      </c>
      <c r="AO603" s="451">
        <v>2430484</v>
      </c>
      <c r="AP603" s="451">
        <v>249.89255</v>
      </c>
      <c r="AQ603" s="451">
        <v>61606.010351500001</v>
      </c>
      <c r="AR603" s="451">
        <v>0.70289999999999997</v>
      </c>
    </row>
    <row r="604" spans="39:44">
      <c r="AM604" s="450">
        <v>45338</v>
      </c>
      <c r="AN604" s="451">
        <v>244.07</v>
      </c>
      <c r="AO604" s="451">
        <v>1995349</v>
      </c>
      <c r="AP604" s="451">
        <v>249.89255</v>
      </c>
      <c r="AQ604" s="451">
        <v>60991.274678499998</v>
      </c>
      <c r="AR604" s="451">
        <v>0.69589999999999996</v>
      </c>
    </row>
    <row r="605" spans="39:44">
      <c r="AM605" s="450">
        <v>45337</v>
      </c>
      <c r="AN605" s="451">
        <v>243.29</v>
      </c>
      <c r="AO605" s="451">
        <v>1904154</v>
      </c>
      <c r="AP605" s="451">
        <v>249.89255</v>
      </c>
      <c r="AQ605" s="451">
        <v>60796.358489499995</v>
      </c>
      <c r="AR605" s="451">
        <v>0.69369999999999998</v>
      </c>
    </row>
    <row r="606" spans="39:44">
      <c r="AM606" s="450">
        <v>45336</v>
      </c>
      <c r="AN606" s="451">
        <v>245.04</v>
      </c>
      <c r="AO606" s="451">
        <v>2804970</v>
      </c>
      <c r="AP606" s="451">
        <v>249.89255</v>
      </c>
      <c r="AQ606" s="451">
        <v>61233.670451999998</v>
      </c>
      <c r="AR606" s="451">
        <v>0.69869999999999999</v>
      </c>
    </row>
    <row r="607" spans="39:44">
      <c r="AM607" s="450">
        <v>45335</v>
      </c>
      <c r="AN607" s="451">
        <v>248.57</v>
      </c>
      <c r="AO607" s="451">
        <v>1603988</v>
      </c>
      <c r="AP607" s="451">
        <v>249.89255</v>
      </c>
      <c r="AQ607" s="451">
        <v>62115.791153499995</v>
      </c>
      <c r="AR607" s="451">
        <v>0.7087</v>
      </c>
    </row>
    <row r="608" spans="39:44">
      <c r="AM608" s="450">
        <v>45334</v>
      </c>
      <c r="AN608" s="451">
        <v>248.57</v>
      </c>
      <c r="AO608" s="451">
        <v>1603988</v>
      </c>
      <c r="AP608" s="451">
        <v>249.89255</v>
      </c>
      <c r="AQ608" s="451">
        <v>62115.791153499995</v>
      </c>
      <c r="AR608" s="451">
        <v>0.7087</v>
      </c>
    </row>
    <row r="609" spans="39:44">
      <c r="AM609" s="450">
        <v>45333</v>
      </c>
      <c r="AN609" s="451">
        <v>248.57</v>
      </c>
      <c r="AO609" s="451">
        <v>1603988</v>
      </c>
      <c r="AP609" s="451">
        <v>249.89255</v>
      </c>
      <c r="AQ609" s="451">
        <v>62115.791153499995</v>
      </c>
      <c r="AR609" s="451">
        <v>0.7087</v>
      </c>
    </row>
    <row r="610" spans="39:44">
      <c r="AM610" s="450">
        <v>45332</v>
      </c>
      <c r="AN610" s="451">
        <v>248.57</v>
      </c>
      <c r="AO610" s="451">
        <v>1603988</v>
      </c>
      <c r="AP610" s="451">
        <v>249.89255</v>
      </c>
      <c r="AQ610" s="451">
        <v>62115.791153499995</v>
      </c>
      <c r="AR610" s="451">
        <v>0.7087</v>
      </c>
    </row>
    <row r="611" spans="39:44">
      <c r="AM611" s="450">
        <v>45331</v>
      </c>
      <c r="AN611" s="451">
        <v>250.85</v>
      </c>
      <c r="AO611" s="451">
        <v>2020364</v>
      </c>
      <c r="AP611" s="451">
        <v>249.89255</v>
      </c>
      <c r="AQ611" s="451">
        <v>62685.546167499997</v>
      </c>
      <c r="AR611" s="451">
        <v>0.71519999999999995</v>
      </c>
    </row>
    <row r="612" spans="39:44">
      <c r="AM612" s="450">
        <v>45330</v>
      </c>
      <c r="AN612" s="451">
        <v>250.81</v>
      </c>
      <c r="AO612" s="451">
        <v>1968739</v>
      </c>
      <c r="AP612" s="451">
        <v>249.89255</v>
      </c>
      <c r="AQ612" s="451">
        <v>62675.550465500004</v>
      </c>
      <c r="AR612" s="451">
        <v>0.71509999999999996</v>
      </c>
    </row>
    <row r="613" spans="39:44">
      <c r="AM613" s="450">
        <v>45329</v>
      </c>
      <c r="AN613" s="451">
        <v>247.25</v>
      </c>
      <c r="AO613" s="451">
        <v>1514107</v>
      </c>
      <c r="AP613" s="451">
        <v>249.89255</v>
      </c>
      <c r="AQ613" s="451">
        <v>61785.932987499997</v>
      </c>
      <c r="AR613" s="451">
        <v>0.70499999999999996</v>
      </c>
    </row>
    <row r="614" spans="39:44">
      <c r="AM614" s="450">
        <v>45328</v>
      </c>
      <c r="AN614" s="451">
        <v>248.59</v>
      </c>
      <c r="AO614" s="451">
        <v>2226695</v>
      </c>
      <c r="AP614" s="451">
        <v>249.89255</v>
      </c>
      <c r="AQ614" s="451">
        <v>62120.789004500002</v>
      </c>
      <c r="AR614" s="451">
        <v>0.70879999999999999</v>
      </c>
    </row>
    <row r="615" spans="39:44">
      <c r="AM615" s="450">
        <v>45327</v>
      </c>
      <c r="AN615" s="451">
        <v>246.81</v>
      </c>
      <c r="AO615" s="451">
        <v>2268168</v>
      </c>
      <c r="AP615" s="451">
        <v>249.89255</v>
      </c>
      <c r="AQ615" s="451">
        <v>61675.980265500002</v>
      </c>
      <c r="AR615" s="451">
        <v>0.70369999999999999</v>
      </c>
    </row>
    <row r="616" spans="39:44">
      <c r="AM616" s="450">
        <v>45326</v>
      </c>
      <c r="AN616" s="451">
        <v>246.81</v>
      </c>
      <c r="AO616" s="451">
        <v>2268168</v>
      </c>
      <c r="AP616" s="451">
        <v>249.89255</v>
      </c>
      <c r="AQ616" s="451">
        <v>61675.980265500002</v>
      </c>
      <c r="AR616" s="451">
        <v>0.70369999999999999</v>
      </c>
    </row>
    <row r="617" spans="39:44">
      <c r="AM617" s="450">
        <v>45325</v>
      </c>
      <c r="AN617" s="451">
        <v>246.81</v>
      </c>
      <c r="AO617" s="451">
        <v>2268168</v>
      </c>
      <c r="AP617" s="451">
        <v>249.89255</v>
      </c>
      <c r="AQ617" s="451">
        <v>61675.980265500002</v>
      </c>
      <c r="AR617" s="451">
        <v>0.70369999999999999</v>
      </c>
    </row>
    <row r="618" spans="39:44">
      <c r="AM618" s="450">
        <v>45324</v>
      </c>
      <c r="AN618" s="451">
        <v>245.29</v>
      </c>
      <c r="AO618" s="451">
        <v>2911784</v>
      </c>
      <c r="AP618" s="451">
        <v>249.89255</v>
      </c>
      <c r="AQ618" s="451">
        <v>61296.143589499996</v>
      </c>
      <c r="AR618" s="451">
        <v>0.69940000000000002</v>
      </c>
    </row>
    <row r="619" spans="39:44">
      <c r="AM619" s="450">
        <v>45323</v>
      </c>
      <c r="AN619" s="451">
        <v>247.64</v>
      </c>
      <c r="AO619" s="451">
        <v>2949909</v>
      </c>
      <c r="AP619" s="451">
        <v>249.89255</v>
      </c>
      <c r="AQ619" s="451">
        <v>61883.391081999995</v>
      </c>
      <c r="AR619" s="451">
        <v>0.70609999999999995</v>
      </c>
    </row>
    <row r="620" spans="39:44">
      <c r="AM620" s="450">
        <v>45322</v>
      </c>
      <c r="AN620" s="451">
        <v>252.24</v>
      </c>
      <c r="AO620" s="451">
        <v>2488189</v>
      </c>
      <c r="AP620" s="451">
        <v>249.89255</v>
      </c>
      <c r="AQ620" s="451">
        <v>63032.896811999999</v>
      </c>
      <c r="AR620" s="451">
        <v>0.71919999999999995</v>
      </c>
    </row>
    <row r="621" spans="39:44">
      <c r="AM621" s="450">
        <v>45321</v>
      </c>
      <c r="AN621" s="451">
        <v>252.97</v>
      </c>
      <c r="AO621" s="451">
        <v>1948991</v>
      </c>
      <c r="AP621" s="451">
        <v>249.89255</v>
      </c>
      <c r="AQ621" s="451">
        <v>63215.318373499998</v>
      </c>
      <c r="AR621" s="451">
        <v>0.72130000000000005</v>
      </c>
    </row>
    <row r="622" spans="39:44">
      <c r="AM622" s="450">
        <v>45320</v>
      </c>
      <c r="AN622" s="451">
        <v>252.97</v>
      </c>
      <c r="AO622" s="451">
        <v>1948991</v>
      </c>
      <c r="AP622" s="451">
        <v>249.89255</v>
      </c>
      <c r="AQ622" s="451">
        <v>63215.318373499998</v>
      </c>
      <c r="AR622" s="451">
        <v>0.72130000000000005</v>
      </c>
    </row>
    <row r="623" spans="39:44">
      <c r="AM623" s="450">
        <v>45319</v>
      </c>
      <c r="AN623" s="451">
        <v>252.97</v>
      </c>
      <c r="AO623" s="451">
        <v>1948991</v>
      </c>
      <c r="AP623" s="451">
        <v>249.89255</v>
      </c>
      <c r="AQ623" s="451">
        <v>63215.318373499998</v>
      </c>
      <c r="AR623" s="451">
        <v>0.72130000000000005</v>
      </c>
    </row>
    <row r="624" spans="39:44">
      <c r="AM624" s="450">
        <v>45318</v>
      </c>
      <c r="AN624" s="451">
        <v>252.97</v>
      </c>
      <c r="AO624" s="451">
        <v>1948991</v>
      </c>
      <c r="AP624" s="451">
        <v>249.89255</v>
      </c>
      <c r="AQ624" s="451">
        <v>63215.318373499998</v>
      </c>
      <c r="AR624" s="451">
        <v>0.72130000000000005</v>
      </c>
    </row>
    <row r="625" spans="39:44">
      <c r="AM625" s="450">
        <v>45317</v>
      </c>
      <c r="AN625" s="451">
        <v>253.58</v>
      </c>
      <c r="AO625" s="451">
        <v>2246942</v>
      </c>
      <c r="AP625" s="451">
        <v>249.89255</v>
      </c>
      <c r="AQ625" s="451">
        <v>63367.752829000005</v>
      </c>
      <c r="AR625" s="451">
        <v>0.72299999999999998</v>
      </c>
    </row>
    <row r="626" spans="39:44">
      <c r="AM626" s="450">
        <v>45316</v>
      </c>
      <c r="AN626" s="451">
        <v>250.94</v>
      </c>
      <c r="AO626" s="451">
        <v>3134359</v>
      </c>
      <c r="AP626" s="451">
        <v>249.89255</v>
      </c>
      <c r="AQ626" s="451">
        <v>62708.036497000001</v>
      </c>
      <c r="AR626" s="451">
        <v>0.71550000000000002</v>
      </c>
    </row>
    <row r="627" spans="39:44">
      <c r="AM627" s="450">
        <v>45315</v>
      </c>
      <c r="AN627" s="451">
        <v>251.99</v>
      </c>
      <c r="AO627" s="451">
        <v>3594475</v>
      </c>
      <c r="AP627" s="451">
        <v>249.89255</v>
      </c>
      <c r="AQ627" s="451">
        <v>62970.423674500002</v>
      </c>
      <c r="AR627" s="451">
        <v>0.71850000000000003</v>
      </c>
    </row>
    <row r="628" spans="39:44">
      <c r="AM628" s="450">
        <v>45314</v>
      </c>
      <c r="AN628" s="451">
        <v>248.03</v>
      </c>
      <c r="AO628" s="451">
        <v>3347351</v>
      </c>
      <c r="AP628" s="451">
        <v>249.89255</v>
      </c>
      <c r="AQ628" s="451">
        <v>61980.8491765</v>
      </c>
      <c r="AR628" s="451">
        <v>0.70720000000000005</v>
      </c>
    </row>
    <row r="629" spans="39:44">
      <c r="AM629" s="450">
        <v>45313</v>
      </c>
      <c r="AN629" s="451">
        <v>248.03</v>
      </c>
      <c r="AO629" s="451">
        <v>3347351</v>
      </c>
      <c r="AP629" s="451">
        <v>249.89255</v>
      </c>
      <c r="AQ629" s="451">
        <v>61980.8491765</v>
      </c>
      <c r="AR629" s="451">
        <v>0.70720000000000005</v>
      </c>
    </row>
    <row r="630" spans="39:44">
      <c r="AM630" s="450">
        <v>45312</v>
      </c>
      <c r="AN630" s="451">
        <v>248.03</v>
      </c>
      <c r="AO630" s="451">
        <v>3347351</v>
      </c>
      <c r="AP630" s="451">
        <v>249.89255</v>
      </c>
      <c r="AQ630" s="451">
        <v>61980.8491765</v>
      </c>
      <c r="AR630" s="451">
        <v>0.70720000000000005</v>
      </c>
    </row>
    <row r="631" spans="39:44">
      <c r="AM631" s="450">
        <v>45311</v>
      </c>
      <c r="AN631" s="451">
        <v>248.03</v>
      </c>
      <c r="AO631" s="451">
        <v>3347351</v>
      </c>
      <c r="AP631" s="451">
        <v>249.89255</v>
      </c>
      <c r="AQ631" s="451">
        <v>61980.8491765</v>
      </c>
      <c r="AR631" s="451">
        <v>0.70720000000000005</v>
      </c>
    </row>
    <row r="632" spans="39:44">
      <c r="AM632" s="450">
        <v>45310</v>
      </c>
      <c r="AN632" s="451">
        <v>247.36</v>
      </c>
      <c r="AO632" s="451">
        <v>5851662</v>
      </c>
      <c r="AP632" s="451">
        <v>249.89255</v>
      </c>
      <c r="AQ632" s="451">
        <v>61813.421168000001</v>
      </c>
      <c r="AR632" s="451">
        <v>0.70530000000000004</v>
      </c>
    </row>
    <row r="633" spans="39:44">
      <c r="AM633" s="450">
        <v>45309</v>
      </c>
      <c r="AN633" s="451">
        <v>246.25</v>
      </c>
      <c r="AO633" s="451">
        <v>18816522</v>
      </c>
      <c r="AP633" s="451">
        <v>249.89255</v>
      </c>
      <c r="AQ633" s="451">
        <v>61536.0404375</v>
      </c>
      <c r="AR633" s="451">
        <v>0.70209999999999995</v>
      </c>
    </row>
    <row r="634" spans="39:44">
      <c r="AM634" s="450">
        <v>45308</v>
      </c>
      <c r="AN634" s="451">
        <v>280</v>
      </c>
      <c r="AO634" s="451">
        <v>6880302</v>
      </c>
      <c r="AP634" s="451">
        <v>249.89255</v>
      </c>
      <c r="AQ634" s="451">
        <v>69969.914000000004</v>
      </c>
      <c r="AR634" s="451">
        <v>0.79830000000000001</v>
      </c>
    </row>
    <row r="635" spans="39:44">
      <c r="AM635" s="450">
        <v>45307</v>
      </c>
      <c r="AN635" s="451">
        <v>281.92</v>
      </c>
      <c r="AO635" s="451">
        <v>2469078</v>
      </c>
      <c r="AP635" s="451">
        <v>251.42044999999999</v>
      </c>
      <c r="AQ635" s="451">
        <v>70880.453263999996</v>
      </c>
      <c r="AR635" s="451">
        <v>0.80379999999999996</v>
      </c>
    </row>
    <row r="636" spans="39:44">
      <c r="AM636" s="450">
        <v>45306</v>
      </c>
      <c r="AN636" s="451">
        <v>281.29000000000002</v>
      </c>
      <c r="AO636" s="451">
        <v>2767757</v>
      </c>
      <c r="AP636" s="451">
        <v>251.42044999999999</v>
      </c>
      <c r="AQ636" s="451">
        <v>70722.058380500006</v>
      </c>
      <c r="AR636" s="451">
        <v>0.80200000000000005</v>
      </c>
    </row>
    <row r="637" spans="39:44">
      <c r="AM637" s="450">
        <v>45305</v>
      </c>
      <c r="AN637" s="451">
        <v>281.29000000000002</v>
      </c>
      <c r="AO637" s="451">
        <v>2767757</v>
      </c>
      <c r="AP637" s="451">
        <v>251.42044999999999</v>
      </c>
      <c r="AQ637" s="451">
        <v>70722.058380500006</v>
      </c>
      <c r="AR637" s="451">
        <v>0.80200000000000005</v>
      </c>
    </row>
    <row r="638" spans="39:44">
      <c r="AM638" s="450">
        <v>45304</v>
      </c>
      <c r="AN638" s="451">
        <v>281.29000000000002</v>
      </c>
      <c r="AO638" s="451">
        <v>2767757</v>
      </c>
      <c r="AP638" s="451">
        <v>251.42044999999999</v>
      </c>
      <c r="AQ638" s="451">
        <v>70722.058380500006</v>
      </c>
      <c r="AR638" s="451">
        <v>0.80200000000000005</v>
      </c>
    </row>
    <row r="639" spans="39:44">
      <c r="AM639" s="450">
        <v>45303</v>
      </c>
      <c r="AN639" s="451">
        <v>279.45999999999998</v>
      </c>
      <c r="AO639" s="451">
        <v>2889748</v>
      </c>
      <c r="AP639" s="451">
        <v>251.42044999999999</v>
      </c>
      <c r="AQ639" s="451">
        <v>70261.958956999995</v>
      </c>
      <c r="AR639" s="451">
        <v>0.79679999999999995</v>
      </c>
    </row>
    <row r="640" spans="39:44">
      <c r="AM640" s="450">
        <v>45302</v>
      </c>
      <c r="AN640" s="451">
        <v>273.83</v>
      </c>
      <c r="AO640" s="451">
        <v>1499964</v>
      </c>
      <c r="AP640" s="451">
        <v>251.42044999999999</v>
      </c>
      <c r="AQ640" s="451">
        <v>68846.461823499994</v>
      </c>
      <c r="AR640" s="451">
        <v>0.78069999999999995</v>
      </c>
    </row>
    <row r="641" spans="39:44">
      <c r="AM641" s="450">
        <v>45301</v>
      </c>
      <c r="AN641" s="451">
        <v>273.01</v>
      </c>
      <c r="AO641" s="451">
        <v>1539948</v>
      </c>
      <c r="AP641" s="451">
        <v>251.42044999999999</v>
      </c>
      <c r="AQ641" s="451">
        <v>68640.297054499999</v>
      </c>
      <c r="AR641" s="451">
        <v>0.77839999999999998</v>
      </c>
    </row>
    <row r="642" spans="39:44">
      <c r="AM642" s="450">
        <v>45300</v>
      </c>
      <c r="AN642" s="451">
        <v>271.38</v>
      </c>
      <c r="AO642" s="451">
        <v>1295508</v>
      </c>
      <c r="AP642" s="451">
        <v>251.42044999999999</v>
      </c>
      <c r="AQ642" s="451">
        <v>68230.481720999989</v>
      </c>
      <c r="AR642" s="451">
        <v>0.77380000000000004</v>
      </c>
    </row>
    <row r="643" spans="39:44">
      <c r="AM643" s="450">
        <v>45299</v>
      </c>
      <c r="AN643" s="451">
        <v>272.20999999999998</v>
      </c>
      <c r="AO643" s="451">
        <v>2046438</v>
      </c>
      <c r="AP643" s="451">
        <v>251.42044999999999</v>
      </c>
      <c r="AQ643" s="451">
        <v>68439.160694499995</v>
      </c>
      <c r="AR643" s="451">
        <v>0.77610000000000001</v>
      </c>
    </row>
    <row r="644" spans="39:44">
      <c r="AM644" s="450">
        <v>45298</v>
      </c>
      <c r="AN644" s="451">
        <v>272.20999999999998</v>
      </c>
      <c r="AO644" s="451">
        <v>2046438</v>
      </c>
      <c r="AP644" s="451">
        <v>251.42044999999999</v>
      </c>
      <c r="AQ644" s="451">
        <v>68439.160694499995</v>
      </c>
      <c r="AR644" s="451">
        <v>0.77610000000000001</v>
      </c>
    </row>
    <row r="645" spans="39:44">
      <c r="AM645" s="450">
        <v>45297</v>
      </c>
      <c r="AN645" s="451">
        <v>272.20999999999998</v>
      </c>
      <c r="AO645" s="451">
        <v>2046438</v>
      </c>
      <c r="AP645" s="451">
        <v>251.42044999999999</v>
      </c>
      <c r="AQ645" s="451">
        <v>68439.160694499995</v>
      </c>
      <c r="AR645" s="451">
        <v>0.77610000000000001</v>
      </c>
    </row>
    <row r="646" spans="39:44">
      <c r="AM646" s="450">
        <v>45296</v>
      </c>
      <c r="AN646" s="451">
        <v>267.63</v>
      </c>
      <c r="AO646" s="451">
        <v>1401366</v>
      </c>
      <c r="AP646" s="451">
        <v>251.42044999999999</v>
      </c>
      <c r="AQ646" s="451">
        <v>67287.655033499992</v>
      </c>
      <c r="AR646" s="451">
        <v>0.7631</v>
      </c>
    </row>
    <row r="647" spans="39:44">
      <c r="AM647" s="450">
        <v>45295</v>
      </c>
      <c r="AN647" s="451">
        <v>267.20999999999998</v>
      </c>
      <c r="AO647" s="451">
        <v>1649335</v>
      </c>
      <c r="AP647" s="451">
        <v>251.42044999999999</v>
      </c>
      <c r="AQ647" s="451">
        <v>67182.058444499999</v>
      </c>
      <c r="AR647" s="451">
        <v>0.76190000000000002</v>
      </c>
    </row>
    <row r="648" spans="39:44">
      <c r="AM648" s="450">
        <v>45294</v>
      </c>
      <c r="AN648" s="451">
        <v>266.08</v>
      </c>
      <c r="AO648" s="451">
        <v>1176323</v>
      </c>
      <c r="AP648" s="451">
        <v>251.42044999999999</v>
      </c>
      <c r="AQ648" s="451">
        <v>66897.953335999991</v>
      </c>
      <c r="AR648" s="451">
        <v>0.75860000000000005</v>
      </c>
    </row>
    <row r="649" spans="39:44">
      <c r="AM649" s="450">
        <v>45293</v>
      </c>
      <c r="AN649" s="451">
        <v>265.60000000000002</v>
      </c>
      <c r="AO649" s="451">
        <v>1420373</v>
      </c>
      <c r="AP649" s="451">
        <v>251.42044999999999</v>
      </c>
      <c r="AQ649" s="451">
        <v>66777.271520000009</v>
      </c>
      <c r="AR649" s="451">
        <v>0.75729999999999997</v>
      </c>
    </row>
    <row r="650" spans="39:44">
      <c r="AM650" s="450">
        <v>45292</v>
      </c>
      <c r="AN650" s="451">
        <v>264.42</v>
      </c>
      <c r="AO650" s="451">
        <v>1994950</v>
      </c>
      <c r="AP650" s="451">
        <v>251.42044999999999</v>
      </c>
      <c r="AQ650" s="451">
        <v>66480.595388999995</v>
      </c>
      <c r="AR650" s="451">
        <v>0.75390000000000001</v>
      </c>
    </row>
    <row r="651" spans="39:44">
      <c r="AM651" s="450">
        <v>45291</v>
      </c>
      <c r="AN651" s="451">
        <v>264.42</v>
      </c>
      <c r="AO651" s="451">
        <v>1994950</v>
      </c>
      <c r="AP651" s="451">
        <v>251.42044999999999</v>
      </c>
      <c r="AQ651" s="451">
        <v>66480.595388999995</v>
      </c>
      <c r="AR651" s="451">
        <v>0.75390000000000001</v>
      </c>
    </row>
    <row r="652" spans="39:44">
      <c r="AM652" s="450">
        <v>45290</v>
      </c>
      <c r="AN652" s="451">
        <v>264.42</v>
      </c>
      <c r="AO652" s="451">
        <v>1994950</v>
      </c>
      <c r="AP652" s="451">
        <v>251.42044999999999</v>
      </c>
      <c r="AQ652" s="451">
        <v>66480.595388999995</v>
      </c>
      <c r="AR652" s="451">
        <v>0.75390000000000001</v>
      </c>
    </row>
    <row r="653" spans="39:44">
      <c r="AM653" s="450">
        <v>45289</v>
      </c>
      <c r="AN653" s="451">
        <v>258.83</v>
      </c>
      <c r="AO653" s="451">
        <v>1806611</v>
      </c>
      <c r="AP653" s="451">
        <v>251.42044999999999</v>
      </c>
      <c r="AQ653" s="451">
        <v>65075.155073499991</v>
      </c>
      <c r="AR653" s="451">
        <v>0.73799999999999999</v>
      </c>
    </row>
    <row r="654" spans="39:44">
      <c r="AM654" s="450">
        <v>45288</v>
      </c>
      <c r="AN654" s="451">
        <v>253.93</v>
      </c>
      <c r="AO654" s="451">
        <v>1012088</v>
      </c>
      <c r="AP654" s="451">
        <v>251.42044999999999</v>
      </c>
      <c r="AQ654" s="451">
        <v>63843.194868499995</v>
      </c>
      <c r="AR654" s="451">
        <v>0.72230000000000005</v>
      </c>
    </row>
    <row r="655" spans="39:44">
      <c r="AM655" s="450">
        <v>45287</v>
      </c>
      <c r="AN655" s="451">
        <v>253.41</v>
      </c>
      <c r="AO655" s="451">
        <v>1141912</v>
      </c>
      <c r="AP655" s="451">
        <v>251.42044999999999</v>
      </c>
      <c r="AQ655" s="451">
        <v>63712.456234499994</v>
      </c>
      <c r="AR655" s="451">
        <v>0.72089999999999999</v>
      </c>
    </row>
    <row r="656" spans="39:44">
      <c r="AM656" s="450">
        <v>45286</v>
      </c>
      <c r="AN656" s="451">
        <v>253.6</v>
      </c>
      <c r="AO656" s="451">
        <v>1787553</v>
      </c>
      <c r="AP656" s="451">
        <v>251.42044999999999</v>
      </c>
      <c r="AQ656" s="451">
        <v>63760.226119999992</v>
      </c>
      <c r="AR656" s="451">
        <v>0.72140000000000004</v>
      </c>
    </row>
    <row r="657" spans="39:44">
      <c r="AM657" s="450">
        <v>45285</v>
      </c>
      <c r="AN657" s="451">
        <v>257.61</v>
      </c>
      <c r="AO657" s="451">
        <v>452183</v>
      </c>
      <c r="AP657" s="451">
        <v>251.42044999999999</v>
      </c>
      <c r="AQ657" s="451">
        <v>64768.422124500001</v>
      </c>
      <c r="AR657" s="451">
        <v>0.73280000000000001</v>
      </c>
    </row>
    <row r="658" spans="39:44">
      <c r="AM658" s="450">
        <v>45284</v>
      </c>
      <c r="AN658" s="451">
        <v>257.61</v>
      </c>
      <c r="AO658" s="451">
        <v>452183</v>
      </c>
      <c r="AP658" s="451">
        <v>251.42044999999999</v>
      </c>
      <c r="AQ658" s="451">
        <v>64768.422124500001</v>
      </c>
      <c r="AR658" s="451">
        <v>0.73280000000000001</v>
      </c>
    </row>
    <row r="659" spans="39:44">
      <c r="AM659" s="450">
        <v>45283</v>
      </c>
      <c r="AN659" s="451">
        <v>257.61</v>
      </c>
      <c r="AO659" s="451">
        <v>452183</v>
      </c>
      <c r="AP659" s="451">
        <v>251.42044999999999</v>
      </c>
      <c r="AQ659" s="451">
        <v>64768.422124500001</v>
      </c>
      <c r="AR659" s="451">
        <v>0.73280000000000001</v>
      </c>
    </row>
    <row r="660" spans="39:44">
      <c r="AM660" s="450">
        <v>45282</v>
      </c>
      <c r="AN660" s="451">
        <v>256.45999999999998</v>
      </c>
      <c r="AO660" s="451">
        <v>954899</v>
      </c>
      <c r="AP660" s="451">
        <v>251.42044999999999</v>
      </c>
      <c r="AQ660" s="451">
        <v>64479.288606999995</v>
      </c>
      <c r="AR660" s="451">
        <v>0.72950000000000004</v>
      </c>
    </row>
    <row r="661" spans="39:44">
      <c r="AM661" s="450">
        <v>45281</v>
      </c>
      <c r="AN661" s="451">
        <v>256.45999999999998</v>
      </c>
      <c r="AO661" s="451">
        <v>954899</v>
      </c>
      <c r="AP661" s="451">
        <v>251.42044999999999</v>
      </c>
      <c r="AQ661" s="451">
        <v>64479.288606999995</v>
      </c>
      <c r="AR661" s="451">
        <v>0.72950000000000004</v>
      </c>
    </row>
    <row r="662" spans="39:44">
      <c r="AM662" s="450">
        <v>45280</v>
      </c>
      <c r="AN662" s="451">
        <v>255.86</v>
      </c>
      <c r="AO662" s="451">
        <v>851688</v>
      </c>
      <c r="AP662" s="451">
        <v>251.42044999999999</v>
      </c>
      <c r="AQ662" s="451">
        <v>64328.436336999999</v>
      </c>
      <c r="AR662" s="451">
        <v>0.7278</v>
      </c>
    </row>
    <row r="663" spans="39:44">
      <c r="AM663" s="450">
        <v>45279</v>
      </c>
      <c r="AN663" s="451">
        <v>255.54</v>
      </c>
      <c r="AO663" s="451">
        <v>1201669</v>
      </c>
      <c r="AP663" s="451">
        <v>251.42044999999999</v>
      </c>
      <c r="AQ663" s="451">
        <v>64247.981792999992</v>
      </c>
      <c r="AR663" s="451">
        <v>0.72689999999999999</v>
      </c>
    </row>
    <row r="664" spans="39:44">
      <c r="AM664" s="450">
        <v>45278</v>
      </c>
      <c r="AN664" s="451">
        <v>255.95</v>
      </c>
      <c r="AO664" s="451">
        <v>1231410</v>
      </c>
      <c r="AP664" s="451">
        <v>251.42044999999999</v>
      </c>
      <c r="AQ664" s="451">
        <v>64351.064177499997</v>
      </c>
      <c r="AR664" s="451">
        <v>0.72809999999999997</v>
      </c>
    </row>
    <row r="665" spans="39:44">
      <c r="AM665" s="450">
        <v>45277</v>
      </c>
      <c r="AN665" s="451">
        <v>255.95</v>
      </c>
      <c r="AO665" s="451">
        <v>1231410</v>
      </c>
      <c r="AP665" s="451">
        <v>251.42044999999999</v>
      </c>
      <c r="AQ665" s="451">
        <v>64351.064177499997</v>
      </c>
      <c r="AR665" s="451">
        <v>0.72809999999999997</v>
      </c>
    </row>
    <row r="666" spans="39:44">
      <c r="AM666" s="450">
        <v>45276</v>
      </c>
      <c r="AN666" s="451">
        <v>255.95</v>
      </c>
      <c r="AO666" s="451">
        <v>1231410</v>
      </c>
      <c r="AP666" s="451">
        <v>251.42044999999999</v>
      </c>
      <c r="AQ666" s="451">
        <v>64351.064177499997</v>
      </c>
      <c r="AR666" s="451">
        <v>0.72809999999999997</v>
      </c>
    </row>
    <row r="667" spans="39:44">
      <c r="AM667" s="450">
        <v>45275</v>
      </c>
      <c r="AN667" s="451">
        <v>254.94</v>
      </c>
      <c r="AO667" s="451">
        <v>1496084</v>
      </c>
      <c r="AP667" s="451">
        <v>251.42044999999999</v>
      </c>
      <c r="AQ667" s="451">
        <v>64097.129522999996</v>
      </c>
      <c r="AR667" s="451">
        <v>0.72519999999999996</v>
      </c>
    </row>
    <row r="668" spans="39:44">
      <c r="AM668" s="450">
        <v>45274</v>
      </c>
      <c r="AN668" s="451">
        <v>257.42</v>
      </c>
      <c r="AO668" s="451">
        <v>2121863</v>
      </c>
      <c r="AP668" s="451">
        <v>251.42044999999999</v>
      </c>
      <c r="AQ668" s="451">
        <v>64720.652239000003</v>
      </c>
      <c r="AR668" s="451">
        <v>0.73229999999999995</v>
      </c>
    </row>
    <row r="669" spans="39:44">
      <c r="AM669" s="450">
        <v>45273</v>
      </c>
      <c r="AN669" s="451">
        <v>254.18</v>
      </c>
      <c r="AO669" s="451">
        <v>1899059</v>
      </c>
      <c r="AP669" s="451">
        <v>251.42044999999999</v>
      </c>
      <c r="AQ669" s="451">
        <v>63906.049980999996</v>
      </c>
      <c r="AR669" s="451">
        <v>0.72309999999999997</v>
      </c>
    </row>
    <row r="670" spans="39:44">
      <c r="AM670" s="450">
        <v>45272</v>
      </c>
      <c r="AN670" s="451">
        <v>245.39</v>
      </c>
      <c r="AO670" s="451">
        <v>946204</v>
      </c>
      <c r="AP670" s="451">
        <v>251.42044999999999</v>
      </c>
      <c r="AQ670" s="451">
        <v>61696.064225499991</v>
      </c>
      <c r="AR670" s="451">
        <v>0.69799999999999995</v>
      </c>
    </row>
    <row r="671" spans="39:44">
      <c r="AM671" s="450">
        <v>45271</v>
      </c>
      <c r="AN671" s="451">
        <v>246.03</v>
      </c>
      <c r="AO671" s="451">
        <v>1239465</v>
      </c>
      <c r="AP671" s="451">
        <v>251.42044999999999</v>
      </c>
      <c r="AQ671" s="451">
        <v>61856.973313499999</v>
      </c>
      <c r="AR671" s="451">
        <v>0.69989999999999997</v>
      </c>
    </row>
    <row r="672" spans="39:44">
      <c r="AM672" s="450">
        <v>45270</v>
      </c>
      <c r="AN672" s="451">
        <v>246.03</v>
      </c>
      <c r="AO672" s="451">
        <v>1239465</v>
      </c>
      <c r="AP672" s="451">
        <v>251.42044999999999</v>
      </c>
      <c r="AQ672" s="451">
        <v>61856.973313499999</v>
      </c>
      <c r="AR672" s="451">
        <v>0.69989999999999997</v>
      </c>
    </row>
    <row r="673" spans="39:44">
      <c r="AM673" s="450">
        <v>45269</v>
      </c>
      <c r="AN673" s="451">
        <v>246.03</v>
      </c>
      <c r="AO673" s="451">
        <v>1239465</v>
      </c>
      <c r="AP673" s="451">
        <v>251.42044999999999</v>
      </c>
      <c r="AQ673" s="451">
        <v>61856.973313499999</v>
      </c>
      <c r="AR673" s="451">
        <v>0.69989999999999997</v>
      </c>
    </row>
    <row r="674" spans="39:44">
      <c r="AM674" s="450">
        <v>45268</v>
      </c>
      <c r="AN674" s="451">
        <v>241.19</v>
      </c>
      <c r="AO674" s="451">
        <v>944195</v>
      </c>
      <c r="AP674" s="451">
        <v>251.42044999999999</v>
      </c>
      <c r="AQ674" s="451">
        <v>60640.098335499999</v>
      </c>
      <c r="AR674" s="451">
        <v>0.68610000000000004</v>
      </c>
    </row>
    <row r="675" spans="39:44">
      <c r="AM675" s="450">
        <v>45267</v>
      </c>
      <c r="AN675" s="451">
        <v>245.37</v>
      </c>
      <c r="AO675" s="451">
        <v>1104778</v>
      </c>
      <c r="AP675" s="451">
        <v>251.42044999999999</v>
      </c>
      <c r="AQ675" s="451">
        <v>61691.0358165</v>
      </c>
      <c r="AR675" s="451">
        <v>0.69799999999999995</v>
      </c>
    </row>
    <row r="676" spans="39:44">
      <c r="AM676" s="450">
        <v>45266</v>
      </c>
      <c r="AN676" s="451">
        <v>244.2</v>
      </c>
      <c r="AO676" s="451">
        <v>948660</v>
      </c>
      <c r="AP676" s="451">
        <v>251.42044999999999</v>
      </c>
      <c r="AQ676" s="451">
        <v>61396.873889999995</v>
      </c>
      <c r="AR676" s="451">
        <v>0.69469999999999998</v>
      </c>
    </row>
    <row r="677" spans="39:44">
      <c r="AM677" s="450">
        <v>45265</v>
      </c>
      <c r="AN677" s="451">
        <v>245.33</v>
      </c>
      <c r="AO677" s="451">
        <v>1016802</v>
      </c>
      <c r="AP677" s="451">
        <v>251.42044999999999</v>
      </c>
      <c r="AQ677" s="451">
        <v>61680.978998500002</v>
      </c>
      <c r="AR677" s="451">
        <v>0.69789999999999996</v>
      </c>
    </row>
    <row r="678" spans="39:44">
      <c r="AM678" s="450">
        <v>45264</v>
      </c>
      <c r="AN678" s="451">
        <v>247.14</v>
      </c>
      <c r="AO678" s="451">
        <v>1409478</v>
      </c>
      <c r="AP678" s="451">
        <v>251.42044999999999</v>
      </c>
      <c r="AQ678" s="451">
        <v>62136.050012999993</v>
      </c>
      <c r="AR678" s="451">
        <v>0.70299999999999996</v>
      </c>
    </row>
    <row r="679" spans="39:44">
      <c r="AM679" s="450">
        <v>45263</v>
      </c>
      <c r="AN679" s="451">
        <v>247.14</v>
      </c>
      <c r="AO679" s="451">
        <v>1409478</v>
      </c>
      <c r="AP679" s="451">
        <v>251.42044999999999</v>
      </c>
      <c r="AQ679" s="451">
        <v>62136.050012999993</v>
      </c>
      <c r="AR679" s="451">
        <v>0.70299999999999996</v>
      </c>
    </row>
    <row r="680" spans="39:44">
      <c r="AM680" s="450">
        <v>45262</v>
      </c>
      <c r="AN680" s="451">
        <v>247.14</v>
      </c>
      <c r="AO680" s="451">
        <v>1409478</v>
      </c>
      <c r="AP680" s="451">
        <v>251.42044999999999</v>
      </c>
      <c r="AQ680" s="451">
        <v>62136.050012999993</v>
      </c>
      <c r="AR680" s="451">
        <v>0.70299999999999996</v>
      </c>
    </row>
    <row r="681" spans="39:44">
      <c r="AM681" s="450">
        <v>45261</v>
      </c>
      <c r="AN681" s="451">
        <v>247.25</v>
      </c>
      <c r="AO681" s="451">
        <v>1490272</v>
      </c>
      <c r="AP681" s="451">
        <v>251.42044999999999</v>
      </c>
      <c r="AQ681" s="451">
        <v>62163.706262499996</v>
      </c>
      <c r="AR681" s="451">
        <v>0.70330000000000004</v>
      </c>
    </row>
    <row r="682" spans="39:44">
      <c r="AM682" s="450">
        <v>45260</v>
      </c>
      <c r="AN682" s="451">
        <v>243.23</v>
      </c>
      <c r="AO682" s="451">
        <v>2079373</v>
      </c>
      <c r="AP682" s="451">
        <v>251.42044999999999</v>
      </c>
      <c r="AQ682" s="451">
        <v>61152.996053499992</v>
      </c>
      <c r="AR682" s="451">
        <v>0.69189999999999996</v>
      </c>
    </row>
    <row r="683" spans="39:44">
      <c r="AM683" s="450">
        <v>45259</v>
      </c>
      <c r="AN683" s="451">
        <v>240.1</v>
      </c>
      <c r="AO683" s="451">
        <v>1550382</v>
      </c>
      <c r="AP683" s="451">
        <v>251.42044999999999</v>
      </c>
      <c r="AQ683" s="451">
        <v>60366.050044999996</v>
      </c>
      <c r="AR683" s="451">
        <v>0.68300000000000005</v>
      </c>
    </row>
    <row r="684" spans="39:44">
      <c r="AM684" s="450">
        <v>45258</v>
      </c>
      <c r="AN684" s="451">
        <v>236.82</v>
      </c>
      <c r="AO684" s="451">
        <v>2081657</v>
      </c>
      <c r="AP684" s="451">
        <v>251.42044999999999</v>
      </c>
      <c r="AQ684" s="451">
        <v>59541.390968999993</v>
      </c>
      <c r="AR684" s="451">
        <v>0.67369999999999997</v>
      </c>
    </row>
    <row r="685" spans="39:44">
      <c r="AM685" s="450">
        <v>45257</v>
      </c>
      <c r="AN685" s="451">
        <v>228.84</v>
      </c>
      <c r="AO685" s="451">
        <v>2004509</v>
      </c>
      <c r="AP685" s="451">
        <v>251.42044999999999</v>
      </c>
      <c r="AQ685" s="451">
        <v>57535.055778000002</v>
      </c>
      <c r="AR685" s="451">
        <v>0.65100000000000002</v>
      </c>
    </row>
    <row r="686" spans="39:44">
      <c r="AM686" s="450">
        <v>45256</v>
      </c>
      <c r="AN686" s="451">
        <v>228.84</v>
      </c>
      <c r="AO686" s="451">
        <v>2004509</v>
      </c>
      <c r="AP686" s="451">
        <v>251.42044999999999</v>
      </c>
      <c r="AQ686" s="451">
        <v>57535.055778000002</v>
      </c>
      <c r="AR686" s="451">
        <v>0.65100000000000002</v>
      </c>
    </row>
    <row r="687" spans="39:44">
      <c r="AM687" s="450">
        <v>45255</v>
      </c>
      <c r="AN687" s="451">
        <v>228.84</v>
      </c>
      <c r="AO687" s="451">
        <v>2004509</v>
      </c>
      <c r="AP687" s="451">
        <v>251.42044999999999</v>
      </c>
      <c r="AQ687" s="451">
        <v>57535.055778000002</v>
      </c>
      <c r="AR687" s="451">
        <v>0.65100000000000002</v>
      </c>
    </row>
    <row r="688" spans="39:44">
      <c r="AM688" s="450">
        <v>45254</v>
      </c>
      <c r="AN688" s="451">
        <v>227.93</v>
      </c>
      <c r="AO688" s="451">
        <v>2987911</v>
      </c>
      <c r="AP688" s="451">
        <v>251.42044999999999</v>
      </c>
      <c r="AQ688" s="451">
        <v>57306.263168500001</v>
      </c>
      <c r="AR688" s="451">
        <v>0.64839999999999998</v>
      </c>
    </row>
    <row r="689" spans="39:44">
      <c r="AM689" s="450">
        <v>45253</v>
      </c>
      <c r="AN689" s="451">
        <v>235.21</v>
      </c>
      <c r="AO689" s="451">
        <v>1612510</v>
      </c>
      <c r="AP689" s="451">
        <v>251.42044999999999</v>
      </c>
      <c r="AQ689" s="451">
        <v>59136.604044499996</v>
      </c>
      <c r="AR689" s="451">
        <v>0.66910000000000003</v>
      </c>
    </row>
    <row r="690" spans="39:44">
      <c r="AM690" s="450">
        <v>45252</v>
      </c>
      <c r="AN690" s="451">
        <v>241.68</v>
      </c>
      <c r="AO690" s="451">
        <v>1469512</v>
      </c>
      <c r="AP690" s="451">
        <v>251.42044999999999</v>
      </c>
      <c r="AQ690" s="451">
        <v>60763.294355999999</v>
      </c>
      <c r="AR690" s="451">
        <v>0.6875</v>
      </c>
    </row>
    <row r="691" spans="39:44">
      <c r="AM691" s="450">
        <v>45251</v>
      </c>
      <c r="AN691" s="451">
        <v>237.97</v>
      </c>
      <c r="AO691" s="451">
        <v>1342897</v>
      </c>
      <c r="AP691" s="451">
        <v>251.42044999999999</v>
      </c>
      <c r="AQ691" s="451">
        <v>59830.524486499999</v>
      </c>
      <c r="AR691" s="451">
        <v>0.67689999999999995</v>
      </c>
    </row>
    <row r="692" spans="39:44">
      <c r="AM692" s="450">
        <v>45250</v>
      </c>
      <c r="AN692" s="451">
        <v>240.62</v>
      </c>
      <c r="AO692" s="451">
        <v>1680263</v>
      </c>
      <c r="AP692" s="451">
        <v>251.42044999999999</v>
      </c>
      <c r="AQ692" s="451">
        <v>60496.788678999998</v>
      </c>
      <c r="AR692" s="451">
        <v>0.6845</v>
      </c>
    </row>
    <row r="693" spans="39:44">
      <c r="AM693" s="450">
        <v>45249</v>
      </c>
      <c r="AN693" s="451">
        <v>240.62</v>
      </c>
      <c r="AO693" s="451">
        <v>1680263</v>
      </c>
      <c r="AP693" s="451">
        <v>251.42044999999999</v>
      </c>
      <c r="AQ693" s="451">
        <v>60496.788678999998</v>
      </c>
      <c r="AR693" s="451">
        <v>0.6845</v>
      </c>
    </row>
    <row r="694" spans="39:44">
      <c r="AM694" s="450">
        <v>45248</v>
      </c>
      <c r="AN694" s="451">
        <v>240.62</v>
      </c>
      <c r="AO694" s="451">
        <v>1680263</v>
      </c>
      <c r="AP694" s="451">
        <v>251.42044999999999</v>
      </c>
      <c r="AQ694" s="451">
        <v>60496.788678999998</v>
      </c>
      <c r="AR694" s="451">
        <v>0.6845</v>
      </c>
    </row>
    <row r="695" spans="39:44">
      <c r="AM695" s="450">
        <v>45247</v>
      </c>
      <c r="AN695" s="451">
        <v>243.29</v>
      </c>
      <c r="AO695" s="451">
        <v>1388421</v>
      </c>
      <c r="AP695" s="451">
        <v>251.42044999999999</v>
      </c>
      <c r="AQ695" s="451">
        <v>61168.081280499995</v>
      </c>
      <c r="AR695" s="451">
        <v>0.69210000000000005</v>
      </c>
    </row>
    <row r="696" spans="39:44">
      <c r="AM696" s="450">
        <v>45246</v>
      </c>
      <c r="AN696" s="451">
        <v>243.61</v>
      </c>
      <c r="AO696" s="451">
        <v>1842422</v>
      </c>
      <c r="AP696" s="451">
        <v>251.42044999999999</v>
      </c>
      <c r="AQ696" s="451">
        <v>61248.535824500002</v>
      </c>
      <c r="AR696" s="451">
        <v>0.69299999999999995</v>
      </c>
    </row>
    <row r="697" spans="39:44">
      <c r="AM697" s="450">
        <v>45245</v>
      </c>
      <c r="AN697" s="451">
        <v>248.03</v>
      </c>
      <c r="AO697" s="451">
        <v>1462471</v>
      </c>
      <c r="AP697" s="451">
        <v>251.42044999999999</v>
      </c>
      <c r="AQ697" s="451">
        <v>62359.814213499994</v>
      </c>
      <c r="AR697" s="451">
        <v>0.7056</v>
      </c>
    </row>
    <row r="698" spans="39:44">
      <c r="AM698" s="450">
        <v>45244</v>
      </c>
      <c r="AN698" s="451">
        <v>247.56</v>
      </c>
      <c r="AO698" s="451">
        <v>2025882</v>
      </c>
      <c r="AP698" s="451">
        <v>251.42044999999999</v>
      </c>
      <c r="AQ698" s="451">
        <v>62241.646602000001</v>
      </c>
      <c r="AR698" s="451">
        <v>0.70420000000000005</v>
      </c>
    </row>
    <row r="699" spans="39:44">
      <c r="AM699" s="450">
        <v>45243</v>
      </c>
      <c r="AN699" s="451">
        <v>242.84</v>
      </c>
      <c r="AO699" s="451">
        <v>2920058</v>
      </c>
      <c r="AP699" s="451">
        <v>251.42044999999999</v>
      </c>
      <c r="AQ699" s="451">
        <v>61054.942078</v>
      </c>
      <c r="AR699" s="451">
        <v>0.69079999999999997</v>
      </c>
    </row>
    <row r="700" spans="39:44">
      <c r="AM700" s="450">
        <v>45242</v>
      </c>
      <c r="AN700" s="451">
        <v>242.84</v>
      </c>
      <c r="AO700" s="451">
        <v>2920058</v>
      </c>
      <c r="AP700" s="451">
        <v>251.42044999999999</v>
      </c>
      <c r="AQ700" s="451">
        <v>61054.942078</v>
      </c>
      <c r="AR700" s="451">
        <v>0.69079999999999997</v>
      </c>
    </row>
    <row r="701" spans="39:44">
      <c r="AM701" s="450">
        <v>45241</v>
      </c>
      <c r="AN701" s="451">
        <v>242.84</v>
      </c>
      <c r="AO701" s="451">
        <v>2920058</v>
      </c>
      <c r="AP701" s="451">
        <v>251.42044999999999</v>
      </c>
      <c r="AQ701" s="451">
        <v>61054.942078</v>
      </c>
      <c r="AR701" s="451">
        <v>0.69079999999999997</v>
      </c>
    </row>
    <row r="702" spans="39:44">
      <c r="AM702" s="450">
        <v>45240</v>
      </c>
      <c r="AN702" s="451">
        <v>252.04</v>
      </c>
      <c r="AO702" s="451">
        <v>2514859</v>
      </c>
      <c r="AP702" s="451">
        <v>251.42044999999999</v>
      </c>
      <c r="AQ702" s="451">
        <v>63368.010217999996</v>
      </c>
      <c r="AR702" s="451">
        <v>0.71699999999999997</v>
      </c>
    </row>
    <row r="703" spans="39:44">
      <c r="AM703" s="450">
        <v>45239</v>
      </c>
      <c r="AN703" s="451">
        <v>255.46</v>
      </c>
      <c r="AO703" s="451">
        <v>2149226</v>
      </c>
      <c r="AP703" s="451">
        <v>251.42044999999999</v>
      </c>
      <c r="AQ703" s="451">
        <v>64227.868156999997</v>
      </c>
      <c r="AR703" s="451">
        <v>0.72670000000000001</v>
      </c>
    </row>
    <row r="704" spans="39:44">
      <c r="AM704" s="450">
        <v>45238</v>
      </c>
      <c r="AN704" s="451">
        <v>256.79000000000002</v>
      </c>
      <c r="AO704" s="451">
        <v>1500990</v>
      </c>
      <c r="AP704" s="451">
        <v>251.42044999999999</v>
      </c>
      <c r="AQ704" s="451">
        <v>64562.257355500005</v>
      </c>
      <c r="AR704" s="451">
        <v>0.73050000000000004</v>
      </c>
    </row>
    <row r="705" spans="39:44">
      <c r="AM705" s="450">
        <v>45237</v>
      </c>
      <c r="AN705" s="451">
        <v>255.72</v>
      </c>
      <c r="AO705" s="451">
        <v>1725953</v>
      </c>
      <c r="AP705" s="451">
        <v>251.42044999999999</v>
      </c>
      <c r="AQ705" s="451">
        <v>64293.237473999994</v>
      </c>
      <c r="AR705" s="451">
        <v>0.72740000000000005</v>
      </c>
    </row>
    <row r="706" spans="39:44">
      <c r="AM706" s="450">
        <v>45236</v>
      </c>
      <c r="AN706" s="451">
        <v>257.89999999999998</v>
      </c>
      <c r="AO706" s="451">
        <v>1580572</v>
      </c>
      <c r="AP706" s="451">
        <v>251.42044999999999</v>
      </c>
      <c r="AQ706" s="451">
        <v>64841.334054999992</v>
      </c>
      <c r="AR706" s="451">
        <v>0.73360000000000003</v>
      </c>
    </row>
    <row r="707" spans="39:44">
      <c r="AM707" s="450">
        <v>45235</v>
      </c>
      <c r="AN707" s="451">
        <v>257.89999999999998</v>
      </c>
      <c r="AO707" s="451">
        <v>1580572</v>
      </c>
      <c r="AP707" s="451">
        <v>251.42044999999999</v>
      </c>
      <c r="AQ707" s="451">
        <v>64841.334054999992</v>
      </c>
      <c r="AR707" s="451">
        <v>0.73360000000000003</v>
      </c>
    </row>
    <row r="708" spans="39:44">
      <c r="AM708" s="450">
        <v>45234</v>
      </c>
      <c r="AN708" s="451">
        <v>257.89999999999998</v>
      </c>
      <c r="AO708" s="451">
        <v>1580572</v>
      </c>
      <c r="AP708" s="451">
        <v>251.42044999999999</v>
      </c>
      <c r="AQ708" s="451">
        <v>64841.334054999992</v>
      </c>
      <c r="AR708" s="451">
        <v>0.73360000000000003</v>
      </c>
    </row>
    <row r="709" spans="39:44">
      <c r="AM709" s="450">
        <v>45233</v>
      </c>
      <c r="AN709" s="451">
        <v>259.16000000000003</v>
      </c>
      <c r="AO709" s="451">
        <v>1460134</v>
      </c>
      <c r="AP709" s="451">
        <v>251.42044999999999</v>
      </c>
      <c r="AQ709" s="451">
        <v>65158.123822000001</v>
      </c>
      <c r="AR709" s="451">
        <v>0.73719999999999997</v>
      </c>
    </row>
    <row r="710" spans="39:44">
      <c r="AM710" s="450">
        <v>45232</v>
      </c>
      <c r="AN710" s="451">
        <v>260.05</v>
      </c>
      <c r="AO710" s="451">
        <v>2152659</v>
      </c>
      <c r="AP710" s="451">
        <v>251.42044999999999</v>
      </c>
      <c r="AQ710" s="451">
        <v>65381.888022500003</v>
      </c>
      <c r="AR710" s="451">
        <v>0.73970000000000002</v>
      </c>
    </row>
    <row r="711" spans="39:44">
      <c r="AM711" s="450">
        <v>45231</v>
      </c>
      <c r="AN711" s="451">
        <v>260.19</v>
      </c>
      <c r="AO711" s="451">
        <v>2090292</v>
      </c>
      <c r="AP711" s="451">
        <v>251.42044999999999</v>
      </c>
      <c r="AQ711" s="451">
        <v>65417.086885499994</v>
      </c>
      <c r="AR711" s="451">
        <v>0.74009999999999998</v>
      </c>
    </row>
    <row r="712" spans="39:44">
      <c r="AM712" s="450">
        <v>45230</v>
      </c>
      <c r="AN712" s="451">
        <v>265.11</v>
      </c>
      <c r="AO712" s="451">
        <v>1913038</v>
      </c>
      <c r="AP712" s="451">
        <v>251.42044999999999</v>
      </c>
      <c r="AQ712" s="451">
        <v>66654.075499500002</v>
      </c>
      <c r="AR712" s="451">
        <v>0.75409999999999999</v>
      </c>
    </row>
    <row r="713" spans="39:44">
      <c r="AM713" s="450">
        <v>45229</v>
      </c>
      <c r="AN713" s="451">
        <v>264.92</v>
      </c>
      <c r="AO713" s="451">
        <v>2374215</v>
      </c>
      <c r="AP713" s="451">
        <v>251.42044999999999</v>
      </c>
      <c r="AQ713" s="451">
        <v>66606.305613999997</v>
      </c>
      <c r="AR713" s="451">
        <v>0.75360000000000005</v>
      </c>
    </row>
    <row r="714" spans="39:44">
      <c r="AM714" s="450">
        <v>45228</v>
      </c>
      <c r="AN714" s="451">
        <v>264.92</v>
      </c>
      <c r="AO714" s="451">
        <v>2374215</v>
      </c>
      <c r="AP714" s="451">
        <v>251.42044999999999</v>
      </c>
      <c r="AQ714" s="451">
        <v>66606.305613999997</v>
      </c>
      <c r="AR714" s="451">
        <v>0.75360000000000005</v>
      </c>
    </row>
    <row r="715" spans="39:44">
      <c r="AM715" s="450">
        <v>45227</v>
      </c>
      <c r="AN715" s="451">
        <v>264.92</v>
      </c>
      <c r="AO715" s="451">
        <v>2374215</v>
      </c>
      <c r="AP715" s="451">
        <v>251.42044999999999</v>
      </c>
      <c r="AQ715" s="451">
        <v>66606.305613999997</v>
      </c>
      <c r="AR715" s="451">
        <v>0.75360000000000005</v>
      </c>
    </row>
    <row r="716" spans="39:44">
      <c r="AM716" s="450">
        <v>45226</v>
      </c>
      <c r="AN716" s="451">
        <v>266.44</v>
      </c>
      <c r="AO716" s="451">
        <v>2038531</v>
      </c>
      <c r="AP716" s="451">
        <v>251.42044999999999</v>
      </c>
      <c r="AQ716" s="451">
        <v>66988.464697999996</v>
      </c>
      <c r="AR716" s="451">
        <v>0.75790000000000002</v>
      </c>
    </row>
    <row r="717" spans="39:44">
      <c r="AM717" s="450">
        <v>45225</v>
      </c>
      <c r="AN717" s="451">
        <v>262.70999999999998</v>
      </c>
      <c r="AO717" s="451">
        <v>1885760</v>
      </c>
      <c r="AP717" s="451">
        <v>251.42044999999999</v>
      </c>
      <c r="AQ717" s="451">
        <v>66050.66641949999</v>
      </c>
      <c r="AR717" s="451">
        <v>0.74729999999999996</v>
      </c>
    </row>
    <row r="718" spans="39:44">
      <c r="AM718" s="450">
        <v>45224</v>
      </c>
      <c r="AN718" s="451">
        <v>261.39</v>
      </c>
      <c r="AO718" s="451">
        <v>2368325</v>
      </c>
      <c r="AP718" s="451">
        <v>251.42044999999999</v>
      </c>
      <c r="AQ718" s="451">
        <v>65718.791425499992</v>
      </c>
      <c r="AR718" s="451">
        <v>0.74360000000000004</v>
      </c>
    </row>
    <row r="719" spans="39:44">
      <c r="AM719" s="450">
        <v>45223</v>
      </c>
      <c r="AN719" s="451">
        <v>266.43</v>
      </c>
      <c r="AO719" s="451">
        <v>2356057</v>
      </c>
      <c r="AP719" s="451">
        <v>251.42044999999999</v>
      </c>
      <c r="AQ719" s="451">
        <v>66985.9504935</v>
      </c>
      <c r="AR719" s="451">
        <v>0.75790000000000002</v>
      </c>
    </row>
    <row r="720" spans="39:44">
      <c r="AM720" s="450">
        <v>45222</v>
      </c>
      <c r="AN720" s="451">
        <v>261.08999999999997</v>
      </c>
      <c r="AO720" s="451">
        <v>2826670</v>
      </c>
      <c r="AP720" s="451">
        <v>251.42044999999999</v>
      </c>
      <c r="AQ720" s="451">
        <v>65643.365290499991</v>
      </c>
      <c r="AR720" s="451">
        <v>0.74270000000000003</v>
      </c>
    </row>
    <row r="721" spans="39:44">
      <c r="AM721" s="450">
        <v>45221</v>
      </c>
      <c r="AN721" s="451">
        <v>261.08999999999997</v>
      </c>
      <c r="AO721" s="451">
        <v>2826670</v>
      </c>
      <c r="AP721" s="451">
        <v>251.42044999999999</v>
      </c>
      <c r="AQ721" s="451">
        <v>65643.365290499991</v>
      </c>
      <c r="AR721" s="451">
        <v>0.74270000000000003</v>
      </c>
    </row>
    <row r="722" spans="39:44">
      <c r="AM722" s="450">
        <v>45220</v>
      </c>
      <c r="AN722" s="451">
        <v>261.08999999999997</v>
      </c>
      <c r="AO722" s="451">
        <v>2826670</v>
      </c>
      <c r="AP722" s="451">
        <v>251.42044999999999</v>
      </c>
      <c r="AQ722" s="451">
        <v>65643.365290499991</v>
      </c>
      <c r="AR722" s="451">
        <v>0.74270000000000003</v>
      </c>
    </row>
    <row r="723" spans="39:44">
      <c r="AM723" s="450">
        <v>45219</v>
      </c>
      <c r="AN723" s="451">
        <v>261.85000000000002</v>
      </c>
      <c r="AO723" s="451">
        <v>7081171</v>
      </c>
      <c r="AP723" s="451">
        <v>251.42044999999999</v>
      </c>
      <c r="AQ723" s="451">
        <v>65834.444832499998</v>
      </c>
      <c r="AR723" s="451">
        <v>0.74490000000000001</v>
      </c>
    </row>
    <row r="724" spans="39:44">
      <c r="AM724" s="450">
        <v>45218</v>
      </c>
      <c r="AN724" s="451">
        <v>250.52</v>
      </c>
      <c r="AO724" s="451">
        <v>4014561</v>
      </c>
      <c r="AP724" s="451">
        <v>251.42044999999999</v>
      </c>
      <c r="AQ724" s="451">
        <v>62985.851133999997</v>
      </c>
      <c r="AR724" s="451">
        <v>0.71260000000000001</v>
      </c>
    </row>
    <row r="725" spans="39:44">
      <c r="AM725" s="450">
        <v>45217</v>
      </c>
      <c r="AN725" s="451">
        <v>249.99</v>
      </c>
      <c r="AO725" s="451">
        <v>2219715</v>
      </c>
      <c r="AP725" s="451">
        <v>251.5104</v>
      </c>
      <c r="AQ725" s="451">
        <v>62875.084896</v>
      </c>
      <c r="AR725" s="451">
        <v>0.71109999999999995</v>
      </c>
    </row>
    <row r="726" spans="39:44">
      <c r="AM726" s="450">
        <v>45216</v>
      </c>
      <c r="AN726" s="451">
        <v>249.3</v>
      </c>
      <c r="AO726" s="451">
        <v>1780498</v>
      </c>
      <c r="AP726" s="451">
        <v>251.5104</v>
      </c>
      <c r="AQ726" s="451">
        <v>62701.542720000005</v>
      </c>
      <c r="AR726" s="451">
        <v>0.70920000000000005</v>
      </c>
    </row>
    <row r="727" spans="39:44">
      <c r="AM727" s="450">
        <v>45215</v>
      </c>
      <c r="AN727" s="451">
        <v>254.08</v>
      </c>
      <c r="AO727" s="451">
        <v>2075270</v>
      </c>
      <c r="AP727" s="451">
        <v>251.5104</v>
      </c>
      <c r="AQ727" s="451">
        <v>63903.762432000003</v>
      </c>
      <c r="AR727" s="451">
        <v>0.7228</v>
      </c>
    </row>
    <row r="728" spans="39:44">
      <c r="AM728" s="450">
        <v>45214</v>
      </c>
      <c r="AN728" s="451">
        <v>254.08</v>
      </c>
      <c r="AO728" s="451">
        <v>2075270</v>
      </c>
      <c r="AP728" s="451">
        <v>251.5104</v>
      </c>
      <c r="AQ728" s="451">
        <v>63903.762432000003</v>
      </c>
      <c r="AR728" s="451">
        <v>0.7228</v>
      </c>
    </row>
    <row r="729" spans="39:44">
      <c r="AM729" s="450">
        <v>45213</v>
      </c>
      <c r="AN729" s="451">
        <v>254.08</v>
      </c>
      <c r="AO729" s="451">
        <v>2075270</v>
      </c>
      <c r="AP729" s="451">
        <v>251.5104</v>
      </c>
      <c r="AQ729" s="451">
        <v>63903.762432000003</v>
      </c>
      <c r="AR729" s="451">
        <v>0.7228</v>
      </c>
    </row>
    <row r="730" spans="39:44">
      <c r="AM730" s="450">
        <v>45212</v>
      </c>
      <c r="AN730" s="451">
        <v>257.02999999999997</v>
      </c>
      <c r="AO730" s="451">
        <v>1568059</v>
      </c>
      <c r="AP730" s="451">
        <v>251.5104</v>
      </c>
      <c r="AQ730" s="451">
        <v>64645.718111999995</v>
      </c>
      <c r="AR730" s="451">
        <v>0.73119999999999996</v>
      </c>
    </row>
    <row r="731" spans="39:44">
      <c r="AM731" s="450">
        <v>45211</v>
      </c>
      <c r="AN731" s="451">
        <v>252.16</v>
      </c>
      <c r="AO731" s="451">
        <v>1524786</v>
      </c>
      <c r="AP731" s="451">
        <v>251.5104</v>
      </c>
      <c r="AQ731" s="451">
        <v>63420.862463999998</v>
      </c>
      <c r="AR731" s="451">
        <v>0.71730000000000005</v>
      </c>
    </row>
    <row r="732" spans="39:44">
      <c r="AM732" s="450">
        <v>45210</v>
      </c>
      <c r="AN732" s="451">
        <v>251.47</v>
      </c>
      <c r="AO732" s="451">
        <v>1133838</v>
      </c>
      <c r="AP732" s="451">
        <v>251.5104</v>
      </c>
      <c r="AQ732" s="451">
        <v>63247.320288000003</v>
      </c>
      <c r="AR732" s="451">
        <v>0.71530000000000005</v>
      </c>
    </row>
    <row r="733" spans="39:44">
      <c r="AM733" s="450">
        <v>45209</v>
      </c>
      <c r="AN733" s="451">
        <v>254.7</v>
      </c>
      <c r="AO733" s="451">
        <v>1263746</v>
      </c>
      <c r="AP733" s="451">
        <v>251.5104</v>
      </c>
      <c r="AQ733" s="451">
        <v>64059.698879999996</v>
      </c>
      <c r="AR733" s="451">
        <v>0.72450000000000003</v>
      </c>
    </row>
    <row r="734" spans="39:44">
      <c r="AM734" s="450">
        <v>45208</v>
      </c>
      <c r="AN734" s="451">
        <v>253.31</v>
      </c>
      <c r="AO734" s="451">
        <v>1179725</v>
      </c>
      <c r="AP734" s="451">
        <v>251.5104</v>
      </c>
      <c r="AQ734" s="451">
        <v>63710.099424</v>
      </c>
      <c r="AR734" s="451">
        <v>0.72060000000000002</v>
      </c>
    </row>
    <row r="735" spans="39:44">
      <c r="AM735" s="450">
        <v>45207</v>
      </c>
      <c r="AN735" s="451">
        <v>253.31</v>
      </c>
      <c r="AO735" s="451">
        <v>1179725</v>
      </c>
      <c r="AP735" s="451">
        <v>251.5104</v>
      </c>
      <c r="AQ735" s="451">
        <v>63710.099424</v>
      </c>
      <c r="AR735" s="451">
        <v>0.72060000000000002</v>
      </c>
    </row>
    <row r="736" spans="39:44">
      <c r="AM736" s="450">
        <v>45206</v>
      </c>
      <c r="AN736" s="451">
        <v>253.31</v>
      </c>
      <c r="AO736" s="451">
        <v>1179725</v>
      </c>
      <c r="AP736" s="451">
        <v>251.5104</v>
      </c>
      <c r="AQ736" s="451">
        <v>63710.099424</v>
      </c>
      <c r="AR736" s="451">
        <v>0.72060000000000002</v>
      </c>
    </row>
    <row r="737" spans="39:44">
      <c r="AM737" s="450">
        <v>45205</v>
      </c>
      <c r="AN737" s="451">
        <v>256.16000000000003</v>
      </c>
      <c r="AO737" s="451">
        <v>1209055</v>
      </c>
      <c r="AP737" s="451">
        <v>251.5104</v>
      </c>
      <c r="AQ737" s="451">
        <v>64426.904064000009</v>
      </c>
      <c r="AR737" s="451">
        <v>0.72870000000000001</v>
      </c>
    </row>
    <row r="738" spans="39:44">
      <c r="AM738" s="450">
        <v>45204</v>
      </c>
      <c r="AN738" s="451">
        <v>257.47000000000003</v>
      </c>
      <c r="AO738" s="451">
        <v>1099898</v>
      </c>
      <c r="AP738" s="451">
        <v>251.5104</v>
      </c>
      <c r="AQ738" s="451">
        <v>64756.382688000005</v>
      </c>
      <c r="AR738" s="451">
        <v>0.73240000000000005</v>
      </c>
    </row>
    <row r="739" spans="39:44">
      <c r="AM739" s="450">
        <v>45203</v>
      </c>
      <c r="AN739" s="451">
        <v>256.62</v>
      </c>
      <c r="AO739" s="451">
        <v>1224923</v>
      </c>
      <c r="AP739" s="451">
        <v>251.5104</v>
      </c>
      <c r="AQ739" s="451">
        <v>64542.598848000001</v>
      </c>
      <c r="AR739" s="451">
        <v>0.73</v>
      </c>
    </row>
    <row r="740" spans="39:44">
      <c r="AM740" s="450">
        <v>45202</v>
      </c>
      <c r="AN740" s="451">
        <v>260.97000000000003</v>
      </c>
      <c r="AO740" s="451">
        <v>1436588</v>
      </c>
      <c r="AP740" s="451">
        <v>251.5104</v>
      </c>
      <c r="AQ740" s="451">
        <v>65636.66908800001</v>
      </c>
      <c r="AR740" s="451">
        <v>0.74239999999999995</v>
      </c>
    </row>
    <row r="741" spans="39:44">
      <c r="AM741" s="450">
        <v>45201</v>
      </c>
      <c r="AN741" s="451">
        <v>260.97000000000003</v>
      </c>
      <c r="AO741" s="451">
        <v>1436588</v>
      </c>
      <c r="AP741" s="451">
        <v>251.5104</v>
      </c>
      <c r="AQ741" s="451">
        <v>65636.66908800001</v>
      </c>
      <c r="AR741" s="451">
        <v>0.74239999999999995</v>
      </c>
    </row>
    <row r="742" spans="39:44">
      <c r="AM742" s="450">
        <v>45200</v>
      </c>
      <c r="AN742" s="451">
        <v>260.97000000000003</v>
      </c>
      <c r="AO742" s="451">
        <v>1436588</v>
      </c>
      <c r="AP742" s="451">
        <v>251.5104</v>
      </c>
      <c r="AQ742" s="451">
        <v>65636.66908800001</v>
      </c>
      <c r="AR742" s="451">
        <v>0.74239999999999995</v>
      </c>
    </row>
    <row r="743" spans="39:44">
      <c r="AM743" s="450">
        <v>45199</v>
      </c>
      <c r="AN743" s="451">
        <v>260.97000000000003</v>
      </c>
      <c r="AO743" s="451">
        <v>1436588</v>
      </c>
      <c r="AP743" s="451">
        <v>251.5104</v>
      </c>
      <c r="AQ743" s="451">
        <v>65636.66908800001</v>
      </c>
      <c r="AR743" s="451">
        <v>0.74239999999999995</v>
      </c>
    </row>
    <row r="744" spans="39:44">
      <c r="AM744" s="450">
        <v>45198</v>
      </c>
      <c r="AN744" s="451">
        <v>261.02</v>
      </c>
      <c r="AO744" s="451">
        <v>1524313</v>
      </c>
      <c r="AP744" s="451">
        <v>251.5104</v>
      </c>
      <c r="AQ744" s="451">
        <v>65649.244607999994</v>
      </c>
      <c r="AR744" s="451">
        <v>0.74250000000000005</v>
      </c>
    </row>
    <row r="745" spans="39:44">
      <c r="AM745" s="450">
        <v>45197</v>
      </c>
      <c r="AN745" s="451">
        <v>263.89</v>
      </c>
      <c r="AO745" s="451">
        <v>1524363</v>
      </c>
      <c r="AP745" s="451">
        <v>251.5104</v>
      </c>
      <c r="AQ745" s="451">
        <v>66371.079455999992</v>
      </c>
      <c r="AR745" s="451">
        <v>0.74360000000000004</v>
      </c>
    </row>
    <row r="746" spans="39:44">
      <c r="AM746" s="450">
        <v>45196</v>
      </c>
      <c r="AN746" s="451">
        <v>260.58</v>
      </c>
      <c r="AO746" s="451">
        <v>1793746</v>
      </c>
      <c r="AP746" s="451">
        <v>251.5104</v>
      </c>
      <c r="AQ746" s="451">
        <v>65538.580031999998</v>
      </c>
      <c r="AR746" s="451">
        <v>0.73419999999999996</v>
      </c>
    </row>
    <row r="747" spans="39:44">
      <c r="AM747" s="450">
        <v>45195</v>
      </c>
      <c r="AN747" s="451">
        <v>258.35000000000002</v>
      </c>
      <c r="AO747" s="451">
        <v>1059878</v>
      </c>
      <c r="AP747" s="451">
        <v>251.5104</v>
      </c>
      <c r="AQ747" s="451">
        <v>64977.711840000004</v>
      </c>
      <c r="AR747" s="451">
        <v>0.72799999999999998</v>
      </c>
    </row>
    <row r="748" spans="39:44">
      <c r="AM748" s="450">
        <v>45194</v>
      </c>
      <c r="AN748" s="451">
        <v>258.73</v>
      </c>
      <c r="AO748" s="451">
        <v>1415213</v>
      </c>
      <c r="AP748" s="451">
        <v>251.5104</v>
      </c>
      <c r="AQ748" s="451">
        <v>65073.285792000002</v>
      </c>
      <c r="AR748" s="451">
        <v>0.72899999999999998</v>
      </c>
    </row>
    <row r="749" spans="39:44">
      <c r="AM749" s="450">
        <v>45193</v>
      </c>
      <c r="AN749" s="451">
        <v>258.73</v>
      </c>
      <c r="AO749" s="451">
        <v>1415213</v>
      </c>
      <c r="AP749" s="451">
        <v>251.5104</v>
      </c>
      <c r="AQ749" s="451">
        <v>65073.285792000002</v>
      </c>
      <c r="AR749" s="451">
        <v>0.72899999999999998</v>
      </c>
    </row>
    <row r="750" spans="39:44">
      <c r="AM750" s="450">
        <v>45192</v>
      </c>
      <c r="AN750" s="451">
        <v>258.73</v>
      </c>
      <c r="AO750" s="451">
        <v>1415213</v>
      </c>
      <c r="AP750" s="451">
        <v>251.5104</v>
      </c>
      <c r="AQ750" s="451">
        <v>65073.285792000002</v>
      </c>
      <c r="AR750" s="451">
        <v>0.72899999999999998</v>
      </c>
    </row>
    <row r="751" spans="39:44">
      <c r="AM751" s="450">
        <v>45191</v>
      </c>
      <c r="AN751" s="451">
        <v>258.77999999999997</v>
      </c>
      <c r="AO751" s="451">
        <v>1795710</v>
      </c>
      <c r="AP751" s="451">
        <v>251.5104</v>
      </c>
      <c r="AQ751" s="451">
        <v>65085.861311999994</v>
      </c>
      <c r="AR751" s="451">
        <v>0.72919999999999996</v>
      </c>
    </row>
    <row r="752" spans="39:44">
      <c r="AM752" s="450">
        <v>45190</v>
      </c>
      <c r="AN752" s="451">
        <v>260.45</v>
      </c>
      <c r="AO752" s="451">
        <v>1653774</v>
      </c>
      <c r="AP752" s="451">
        <v>251.5104</v>
      </c>
      <c r="AQ752" s="451">
        <v>65505.883679999999</v>
      </c>
      <c r="AR752" s="451">
        <v>0.7339</v>
      </c>
    </row>
    <row r="753" spans="39:44">
      <c r="AM753" s="450">
        <v>45189</v>
      </c>
      <c r="AN753" s="451">
        <v>258.98</v>
      </c>
      <c r="AO753" s="451">
        <v>1473695</v>
      </c>
      <c r="AP753" s="451">
        <v>251.5104</v>
      </c>
      <c r="AQ753" s="451">
        <v>65136.163392000002</v>
      </c>
      <c r="AR753" s="451">
        <v>0.72970000000000002</v>
      </c>
    </row>
    <row r="754" spans="39:44">
      <c r="AM754" s="450">
        <v>45188</v>
      </c>
      <c r="AN754" s="451">
        <v>259.94</v>
      </c>
      <c r="AO754" s="451">
        <v>1628638</v>
      </c>
      <c r="AP754" s="451">
        <v>251.5104</v>
      </c>
      <c r="AQ754" s="451">
        <v>65377.613376000001</v>
      </c>
      <c r="AR754" s="451">
        <v>0.73240000000000005</v>
      </c>
    </row>
    <row r="755" spans="39:44">
      <c r="AM755" s="450">
        <v>45187</v>
      </c>
      <c r="AN755" s="451">
        <v>262.64999999999998</v>
      </c>
      <c r="AO755" s="451">
        <v>1972855</v>
      </c>
      <c r="AP755" s="451">
        <v>251.5104</v>
      </c>
      <c r="AQ755" s="451">
        <v>66059.206559999991</v>
      </c>
      <c r="AR755" s="451">
        <v>0.74009999999999998</v>
      </c>
    </row>
    <row r="756" spans="39:44">
      <c r="AM756" s="450">
        <v>45186</v>
      </c>
      <c r="AN756" s="451">
        <v>262.64999999999998</v>
      </c>
      <c r="AO756" s="451">
        <v>1972855</v>
      </c>
      <c r="AP756" s="451">
        <v>251.5104</v>
      </c>
      <c r="AQ756" s="451">
        <v>66059.206559999991</v>
      </c>
      <c r="AR756" s="451">
        <v>0.74009999999999998</v>
      </c>
    </row>
    <row r="757" spans="39:44">
      <c r="AM757" s="450">
        <v>45185</v>
      </c>
      <c r="AN757" s="451">
        <v>262.64999999999998</v>
      </c>
      <c r="AO757" s="451">
        <v>1972855</v>
      </c>
      <c r="AP757" s="451">
        <v>251.5104</v>
      </c>
      <c r="AQ757" s="451">
        <v>66059.206559999991</v>
      </c>
      <c r="AR757" s="451">
        <v>0.74009999999999998</v>
      </c>
    </row>
    <row r="758" spans="39:44">
      <c r="AM758" s="450">
        <v>45184</v>
      </c>
      <c r="AN758" s="451">
        <v>264.91000000000003</v>
      </c>
      <c r="AO758" s="451">
        <v>2194807</v>
      </c>
      <c r="AP758" s="451">
        <v>251.5104</v>
      </c>
      <c r="AQ758" s="451">
        <v>66627.620064000002</v>
      </c>
      <c r="AR758" s="451">
        <v>0.74639999999999995</v>
      </c>
    </row>
    <row r="759" spans="39:44">
      <c r="AM759" s="450">
        <v>45183</v>
      </c>
      <c r="AN759" s="451">
        <v>265.07</v>
      </c>
      <c r="AO759" s="451">
        <v>1475201</v>
      </c>
      <c r="AP759" s="451">
        <v>251.5104</v>
      </c>
      <c r="AQ759" s="451">
        <v>66667.861728000003</v>
      </c>
      <c r="AR759" s="451">
        <v>0.74690000000000001</v>
      </c>
    </row>
    <row r="760" spans="39:44">
      <c r="AM760" s="450">
        <v>45182</v>
      </c>
      <c r="AN760" s="451">
        <v>265.55</v>
      </c>
      <c r="AO760" s="451">
        <v>1391114</v>
      </c>
      <c r="AP760" s="451">
        <v>251.5104</v>
      </c>
      <c r="AQ760" s="451">
        <v>66788.586720000007</v>
      </c>
      <c r="AR760" s="451">
        <v>0.74819999999999998</v>
      </c>
    </row>
    <row r="761" spans="39:44">
      <c r="AM761" s="450">
        <v>45181</v>
      </c>
      <c r="AN761" s="451">
        <v>266.94</v>
      </c>
      <c r="AO761" s="451">
        <v>2207834</v>
      </c>
      <c r="AP761" s="451">
        <v>251.5104</v>
      </c>
      <c r="AQ761" s="451">
        <v>67138.186176000003</v>
      </c>
      <c r="AR761" s="451">
        <v>0.75219999999999998</v>
      </c>
    </row>
    <row r="762" spans="39:44">
      <c r="AM762" s="450">
        <v>45180</v>
      </c>
      <c r="AN762" s="451">
        <v>265.77</v>
      </c>
      <c r="AO762" s="451">
        <v>1204592</v>
      </c>
      <c r="AP762" s="451">
        <v>251.5104</v>
      </c>
      <c r="AQ762" s="451">
        <v>66843.919007999997</v>
      </c>
      <c r="AR762" s="451">
        <v>0.74890000000000001</v>
      </c>
    </row>
    <row r="763" spans="39:44">
      <c r="AM763" s="450">
        <v>45179</v>
      </c>
      <c r="AN763" s="451">
        <v>265.77</v>
      </c>
      <c r="AO763" s="451">
        <v>1204592</v>
      </c>
      <c r="AP763" s="451">
        <v>251.5104</v>
      </c>
      <c r="AQ763" s="451">
        <v>66843.919007999997</v>
      </c>
      <c r="AR763" s="451">
        <v>0.74890000000000001</v>
      </c>
    </row>
    <row r="764" spans="39:44">
      <c r="AM764" s="450">
        <v>45178</v>
      </c>
      <c r="AN764" s="451">
        <v>265.77</v>
      </c>
      <c r="AO764" s="451">
        <v>1204592</v>
      </c>
      <c r="AP764" s="451">
        <v>251.5104</v>
      </c>
      <c r="AQ764" s="451">
        <v>66843.919007999997</v>
      </c>
      <c r="AR764" s="451">
        <v>0.74890000000000001</v>
      </c>
    </row>
    <row r="765" spans="39:44">
      <c r="AM765" s="450">
        <v>45177</v>
      </c>
      <c r="AN765" s="451">
        <v>266.52999999999997</v>
      </c>
      <c r="AO765" s="451">
        <v>1039014</v>
      </c>
      <c r="AP765" s="451">
        <v>251.18724</v>
      </c>
      <c r="AQ765" s="451">
        <v>66948.935077199989</v>
      </c>
      <c r="AR765" s="451">
        <v>0.751</v>
      </c>
    </row>
    <row r="766" spans="39:44">
      <c r="AM766" s="450">
        <v>45176</v>
      </c>
      <c r="AN766" s="451">
        <v>265.48</v>
      </c>
      <c r="AO766" s="451">
        <v>1266320</v>
      </c>
      <c r="AP766" s="451">
        <v>251.18724</v>
      </c>
      <c r="AQ766" s="451">
        <v>66685.188475200004</v>
      </c>
      <c r="AR766" s="451">
        <v>0.748</v>
      </c>
    </row>
    <row r="767" spans="39:44">
      <c r="AM767" s="450">
        <v>45175</v>
      </c>
      <c r="AN767" s="451">
        <v>268.26</v>
      </c>
      <c r="AO767" s="451">
        <v>2050796</v>
      </c>
      <c r="AP767" s="451">
        <v>251.18724</v>
      </c>
      <c r="AQ767" s="451">
        <v>67383.489002400005</v>
      </c>
      <c r="AR767" s="451">
        <v>0.75590000000000002</v>
      </c>
    </row>
    <row r="768" spans="39:44">
      <c r="AM768" s="450">
        <v>45174</v>
      </c>
      <c r="AN768" s="451">
        <v>264.36</v>
      </c>
      <c r="AO768" s="451">
        <v>1494908</v>
      </c>
      <c r="AP768" s="451">
        <v>251.18724</v>
      </c>
      <c r="AQ768" s="451">
        <v>66403.858766400008</v>
      </c>
      <c r="AR768" s="451">
        <v>0.74490000000000001</v>
      </c>
    </row>
    <row r="769" spans="39:44">
      <c r="AM769" s="450">
        <v>45173</v>
      </c>
      <c r="AN769" s="451">
        <v>263</v>
      </c>
      <c r="AO769" s="451">
        <v>1593544</v>
      </c>
      <c r="AP769" s="451">
        <v>251.18724</v>
      </c>
      <c r="AQ769" s="451">
        <v>66062.244120000003</v>
      </c>
      <c r="AR769" s="451">
        <v>0.74109999999999998</v>
      </c>
    </row>
    <row r="770" spans="39:44">
      <c r="AM770" s="450">
        <v>45172</v>
      </c>
      <c r="AN770" s="451">
        <v>263</v>
      </c>
      <c r="AO770" s="451">
        <v>1593544</v>
      </c>
      <c r="AP770" s="451">
        <v>251.18724</v>
      </c>
      <c r="AQ770" s="451">
        <v>66062.244120000003</v>
      </c>
      <c r="AR770" s="451">
        <v>0.74109999999999998</v>
      </c>
    </row>
    <row r="771" spans="39:44">
      <c r="AM771" s="450">
        <v>45171</v>
      </c>
      <c r="AN771" s="451">
        <v>263</v>
      </c>
      <c r="AO771" s="451">
        <v>1593544</v>
      </c>
      <c r="AP771" s="451">
        <v>251.18724</v>
      </c>
      <c r="AQ771" s="451">
        <v>66062.244120000003</v>
      </c>
      <c r="AR771" s="451">
        <v>0.74109999999999998</v>
      </c>
    </row>
    <row r="772" spans="39:44">
      <c r="AM772" s="450">
        <v>45170</v>
      </c>
      <c r="AN772" s="451">
        <v>263.52</v>
      </c>
      <c r="AO772" s="451">
        <v>1810846</v>
      </c>
      <c r="AP772" s="451">
        <v>251.18724</v>
      </c>
      <c r="AQ772" s="451">
        <v>66192.8614848</v>
      </c>
      <c r="AR772" s="451">
        <v>0.74250000000000005</v>
      </c>
    </row>
    <row r="773" spans="39:44">
      <c r="AM773" s="450">
        <v>45169</v>
      </c>
      <c r="AN773" s="451">
        <v>265.45</v>
      </c>
      <c r="AO773" s="451">
        <v>1227646</v>
      </c>
      <c r="AP773" s="451">
        <v>251.18724</v>
      </c>
      <c r="AQ773" s="451">
        <v>66677.652858000001</v>
      </c>
      <c r="AR773" s="451">
        <v>0.748</v>
      </c>
    </row>
    <row r="774" spans="39:44">
      <c r="AM774" s="450">
        <v>45168</v>
      </c>
      <c r="AN774" s="451">
        <v>268.16000000000003</v>
      </c>
      <c r="AO774" s="451">
        <v>1252003</v>
      </c>
      <c r="AP774" s="451">
        <v>251.18724</v>
      </c>
      <c r="AQ774" s="451">
        <v>67358.370278400005</v>
      </c>
      <c r="AR774" s="451">
        <v>0.75560000000000005</v>
      </c>
    </row>
    <row r="775" spans="39:44">
      <c r="AM775" s="450">
        <v>45167</v>
      </c>
      <c r="AN775" s="451">
        <v>269.95</v>
      </c>
      <c r="AO775" s="451">
        <v>1055624</v>
      </c>
      <c r="AP775" s="451">
        <v>251.18724</v>
      </c>
      <c r="AQ775" s="451">
        <v>67807.995437999998</v>
      </c>
      <c r="AR775" s="451">
        <v>0.76060000000000005</v>
      </c>
    </row>
    <row r="776" spans="39:44">
      <c r="AM776" s="450">
        <v>45166</v>
      </c>
      <c r="AN776" s="451">
        <v>268.85000000000002</v>
      </c>
      <c r="AO776" s="451">
        <v>1058566</v>
      </c>
      <c r="AP776" s="451">
        <v>251.18724</v>
      </c>
      <c r="AQ776" s="451">
        <v>67531.689474000013</v>
      </c>
      <c r="AR776" s="451">
        <v>0.75749999999999995</v>
      </c>
    </row>
    <row r="777" spans="39:44">
      <c r="AM777" s="450">
        <v>45165</v>
      </c>
      <c r="AN777" s="451">
        <v>268.85000000000002</v>
      </c>
      <c r="AO777" s="451">
        <v>1058566</v>
      </c>
      <c r="AP777" s="451">
        <v>251.18724</v>
      </c>
      <c r="AQ777" s="451">
        <v>67531.689474000013</v>
      </c>
      <c r="AR777" s="451">
        <v>0.75749999999999995</v>
      </c>
    </row>
    <row r="778" spans="39:44">
      <c r="AM778" s="450">
        <v>45164</v>
      </c>
      <c r="AN778" s="451">
        <v>268.85000000000002</v>
      </c>
      <c r="AO778" s="451">
        <v>1058566</v>
      </c>
      <c r="AP778" s="451">
        <v>251.18724</v>
      </c>
      <c r="AQ778" s="451">
        <v>67531.689474000013</v>
      </c>
      <c r="AR778" s="451">
        <v>0.75749999999999995</v>
      </c>
    </row>
    <row r="779" spans="39:44">
      <c r="AM779" s="450">
        <v>45163</v>
      </c>
      <c r="AN779" s="451">
        <v>265.37</v>
      </c>
      <c r="AO779" s="451">
        <v>1945131</v>
      </c>
      <c r="AP779" s="451">
        <v>251.18724</v>
      </c>
      <c r="AQ779" s="451">
        <v>66657.557878799998</v>
      </c>
      <c r="AR779" s="451">
        <v>0.74770000000000003</v>
      </c>
    </row>
    <row r="780" spans="39:44">
      <c r="AM780" s="450">
        <v>45162</v>
      </c>
      <c r="AN780" s="451">
        <v>268.13</v>
      </c>
      <c r="AO780" s="451">
        <v>2751324</v>
      </c>
      <c r="AP780" s="451">
        <v>251.18724</v>
      </c>
      <c r="AQ780" s="451">
        <v>67350.834661200002</v>
      </c>
      <c r="AR780" s="451">
        <v>0.75549999999999995</v>
      </c>
    </row>
    <row r="781" spans="39:44">
      <c r="AM781" s="450">
        <v>45161</v>
      </c>
      <c r="AN781" s="451">
        <v>259.66000000000003</v>
      </c>
      <c r="AO781" s="451">
        <v>2363658</v>
      </c>
      <c r="AP781" s="451">
        <v>251.18724</v>
      </c>
      <c r="AQ781" s="451">
        <v>65223.278738400004</v>
      </c>
      <c r="AR781" s="451">
        <v>0.73160000000000003</v>
      </c>
    </row>
    <row r="782" spans="39:44">
      <c r="AM782" s="450">
        <v>45160</v>
      </c>
      <c r="AN782" s="451">
        <v>258.77</v>
      </c>
      <c r="AO782" s="451">
        <v>2010433</v>
      </c>
      <c r="AP782" s="451">
        <v>251.18724</v>
      </c>
      <c r="AQ782" s="451">
        <v>64999.722094799996</v>
      </c>
      <c r="AR782" s="451">
        <v>0.72909999999999997</v>
      </c>
    </row>
    <row r="783" spans="39:44">
      <c r="AM783" s="450">
        <v>45159</v>
      </c>
      <c r="AN783" s="451">
        <v>259.67</v>
      </c>
      <c r="AO783" s="451">
        <v>1786800</v>
      </c>
      <c r="AP783" s="451">
        <v>251.18724</v>
      </c>
      <c r="AQ783" s="451">
        <v>65225.790610800002</v>
      </c>
      <c r="AR783" s="451">
        <v>0.73170000000000002</v>
      </c>
    </row>
    <row r="784" spans="39:44">
      <c r="AM784" s="450">
        <v>45158</v>
      </c>
      <c r="AN784" s="451">
        <v>259.67</v>
      </c>
      <c r="AO784" s="451">
        <v>1786800</v>
      </c>
      <c r="AP784" s="451">
        <v>251.18724</v>
      </c>
      <c r="AQ784" s="451">
        <v>65225.790610800002</v>
      </c>
      <c r="AR784" s="451">
        <v>0.73170000000000002</v>
      </c>
    </row>
    <row r="785" spans="39:44">
      <c r="AM785" s="450">
        <v>45157</v>
      </c>
      <c r="AN785" s="451">
        <v>259.67</v>
      </c>
      <c r="AO785" s="451">
        <v>1786800</v>
      </c>
      <c r="AP785" s="451">
        <v>251.18724</v>
      </c>
      <c r="AQ785" s="451">
        <v>65225.790610800002</v>
      </c>
      <c r="AR785" s="451">
        <v>0.73170000000000002</v>
      </c>
    </row>
    <row r="786" spans="39:44">
      <c r="AM786" s="450">
        <v>45156</v>
      </c>
      <c r="AN786" s="451">
        <v>263.54000000000002</v>
      </c>
      <c r="AO786" s="451">
        <v>2138598</v>
      </c>
      <c r="AP786" s="451">
        <v>251.18724</v>
      </c>
      <c r="AQ786" s="451">
        <v>66197.885229600011</v>
      </c>
      <c r="AR786" s="451">
        <v>0.74260000000000004</v>
      </c>
    </row>
    <row r="787" spans="39:44">
      <c r="AM787" s="450">
        <v>45155</v>
      </c>
      <c r="AN787" s="451">
        <v>260.26</v>
      </c>
      <c r="AO787" s="451">
        <v>2655710</v>
      </c>
      <c r="AP787" s="451">
        <v>251.18724</v>
      </c>
      <c r="AQ787" s="451">
        <v>65373.991082399996</v>
      </c>
      <c r="AR787" s="451">
        <v>0.73329999999999995</v>
      </c>
    </row>
    <row r="788" spans="39:44">
      <c r="AM788" s="450">
        <v>45154</v>
      </c>
      <c r="AN788" s="451">
        <v>261.97000000000003</v>
      </c>
      <c r="AO788" s="451">
        <v>2766873</v>
      </c>
      <c r="AP788" s="451">
        <v>251.18724</v>
      </c>
      <c r="AQ788" s="451">
        <v>65803.521262800001</v>
      </c>
      <c r="AR788" s="451">
        <v>0.73819999999999997</v>
      </c>
    </row>
    <row r="789" spans="39:44">
      <c r="AM789" s="450">
        <v>45153</v>
      </c>
      <c r="AN789" s="451">
        <v>254.73</v>
      </c>
      <c r="AO789" s="451">
        <v>1494504</v>
      </c>
      <c r="AP789" s="451">
        <v>251.18724</v>
      </c>
      <c r="AQ789" s="451">
        <v>63984.925645199997</v>
      </c>
      <c r="AR789" s="451">
        <v>0.71779999999999999</v>
      </c>
    </row>
    <row r="790" spans="39:44">
      <c r="AM790" s="450">
        <v>45152</v>
      </c>
      <c r="AN790" s="451">
        <v>257.45</v>
      </c>
      <c r="AO790" s="451">
        <v>1044531</v>
      </c>
      <c r="AP790" s="451">
        <v>251.35194000000001</v>
      </c>
      <c r="AQ790" s="451">
        <v>64710.556952999999</v>
      </c>
      <c r="AR790" s="451">
        <v>0.72540000000000004</v>
      </c>
    </row>
    <row r="791" spans="39:44">
      <c r="AM791" s="450">
        <v>45151</v>
      </c>
      <c r="AN791" s="451">
        <v>257.45</v>
      </c>
      <c r="AO791" s="451">
        <v>1044531</v>
      </c>
      <c r="AP791" s="451">
        <v>251.35194000000001</v>
      </c>
      <c r="AQ791" s="451">
        <v>64710.556952999999</v>
      </c>
      <c r="AR791" s="451">
        <v>0.72540000000000004</v>
      </c>
    </row>
    <row r="792" spans="39:44">
      <c r="AM792" s="450">
        <v>45150</v>
      </c>
      <c r="AN792" s="451">
        <v>257.45</v>
      </c>
      <c r="AO792" s="451">
        <v>1044531</v>
      </c>
      <c r="AP792" s="451">
        <v>251.35194000000001</v>
      </c>
      <c r="AQ792" s="451">
        <v>64710.556952999999</v>
      </c>
      <c r="AR792" s="451">
        <v>0.72540000000000004</v>
      </c>
    </row>
    <row r="793" spans="39:44">
      <c r="AM793" s="450">
        <v>45149</v>
      </c>
      <c r="AN793" s="451">
        <v>258.45999999999998</v>
      </c>
      <c r="AO793" s="451">
        <v>1747619</v>
      </c>
      <c r="AP793" s="451">
        <v>251.35194000000001</v>
      </c>
      <c r="AQ793" s="451">
        <v>64964.422412399996</v>
      </c>
      <c r="AR793" s="451">
        <v>0.72829999999999995</v>
      </c>
    </row>
    <row r="794" spans="39:44">
      <c r="AM794" s="450">
        <v>45148</v>
      </c>
      <c r="AN794" s="451">
        <v>261.61</v>
      </c>
      <c r="AO794" s="451">
        <v>2068540</v>
      </c>
      <c r="AP794" s="451">
        <v>251.35194000000001</v>
      </c>
      <c r="AQ794" s="451">
        <v>65756.1810234</v>
      </c>
      <c r="AR794" s="451">
        <v>0.73709999999999998</v>
      </c>
    </row>
    <row r="795" spans="39:44">
      <c r="AM795" s="450">
        <v>45147</v>
      </c>
      <c r="AN795" s="451">
        <v>258.39999999999998</v>
      </c>
      <c r="AO795" s="451">
        <v>3039703</v>
      </c>
      <c r="AP795" s="451">
        <v>251.35194000000001</v>
      </c>
      <c r="AQ795" s="451">
        <v>64949.341295999999</v>
      </c>
      <c r="AR795" s="451">
        <v>0.72809999999999997</v>
      </c>
    </row>
    <row r="796" spans="39:44">
      <c r="AM796" s="450">
        <v>45146</v>
      </c>
      <c r="AN796" s="451">
        <v>251.69</v>
      </c>
      <c r="AO796" s="451">
        <v>1573047</v>
      </c>
      <c r="AP796" s="451">
        <v>251.35194000000001</v>
      </c>
      <c r="AQ796" s="451">
        <v>63262.769778600006</v>
      </c>
      <c r="AR796" s="451">
        <v>0.70920000000000005</v>
      </c>
    </row>
    <row r="797" spans="39:44">
      <c r="AM797" s="450">
        <v>45145</v>
      </c>
      <c r="AN797" s="451">
        <v>251.25</v>
      </c>
      <c r="AO797" s="451">
        <v>2423720</v>
      </c>
      <c r="AP797" s="451">
        <v>251.35194000000001</v>
      </c>
      <c r="AQ797" s="451">
        <v>63152.174925000007</v>
      </c>
      <c r="AR797" s="451">
        <v>0.70799999999999996</v>
      </c>
    </row>
    <row r="798" spans="39:44">
      <c r="AM798" s="450">
        <v>45144</v>
      </c>
      <c r="AN798" s="451">
        <v>251.25</v>
      </c>
      <c r="AO798" s="451">
        <v>2423720</v>
      </c>
      <c r="AP798" s="451">
        <v>251.35194000000001</v>
      </c>
      <c r="AQ798" s="451">
        <v>63152.174925000007</v>
      </c>
      <c r="AR798" s="451">
        <v>0.70799999999999996</v>
      </c>
    </row>
    <row r="799" spans="39:44">
      <c r="AM799" s="450">
        <v>45143</v>
      </c>
      <c r="AN799" s="451">
        <v>251.25</v>
      </c>
      <c r="AO799" s="451">
        <v>2423720</v>
      </c>
      <c r="AP799" s="451">
        <v>251.35194000000001</v>
      </c>
      <c r="AQ799" s="451">
        <v>63152.174925000007</v>
      </c>
      <c r="AR799" s="451">
        <v>0.70799999999999996</v>
      </c>
    </row>
    <row r="800" spans="39:44">
      <c r="AM800" s="450">
        <v>45142</v>
      </c>
      <c r="AN800" s="451">
        <v>247.67</v>
      </c>
      <c r="AO800" s="451">
        <v>1713002</v>
      </c>
      <c r="AP800" s="451">
        <v>251.35194000000001</v>
      </c>
      <c r="AQ800" s="451">
        <v>62252.334979799998</v>
      </c>
      <c r="AR800" s="451">
        <v>0.69789999999999996</v>
      </c>
    </row>
    <row r="801" spans="39:44">
      <c r="AM801" s="450">
        <v>45141</v>
      </c>
      <c r="AN801" s="451">
        <v>248.32</v>
      </c>
      <c r="AO801" s="451">
        <v>1613434</v>
      </c>
      <c r="AP801" s="451">
        <v>251.35194000000001</v>
      </c>
      <c r="AQ801" s="451">
        <v>62415.713740799998</v>
      </c>
      <c r="AR801" s="451">
        <v>0.69969999999999999</v>
      </c>
    </row>
    <row r="802" spans="39:44">
      <c r="AM802" s="450">
        <v>45140</v>
      </c>
      <c r="AN802" s="451">
        <v>247.55</v>
      </c>
      <c r="AO802" s="451">
        <v>1281635</v>
      </c>
      <c r="AP802" s="451">
        <v>251.35194000000001</v>
      </c>
      <c r="AQ802" s="451">
        <v>62222.172747000004</v>
      </c>
      <c r="AR802" s="451">
        <v>0.69750000000000001</v>
      </c>
    </row>
    <row r="803" spans="39:44">
      <c r="AM803" s="450">
        <v>45139</v>
      </c>
      <c r="AN803" s="451">
        <v>247.55</v>
      </c>
      <c r="AO803" s="451">
        <v>1281635</v>
      </c>
      <c r="AP803" s="451">
        <v>251.35194000000001</v>
      </c>
      <c r="AQ803" s="451">
        <v>62222.172747000004</v>
      </c>
      <c r="AR803" s="451">
        <v>0.69750000000000001</v>
      </c>
    </row>
    <row r="804" spans="39:44">
      <c r="AM804" s="450">
        <v>45138</v>
      </c>
      <c r="AN804" s="451">
        <v>247.9</v>
      </c>
      <c r="AO804" s="451">
        <v>2604289</v>
      </c>
      <c r="AP804" s="451">
        <v>251.35194000000001</v>
      </c>
      <c r="AQ804" s="451">
        <v>62310.145926000005</v>
      </c>
      <c r="AR804" s="451">
        <v>0.69850000000000001</v>
      </c>
    </row>
    <row r="805" spans="39:44">
      <c r="AM805" s="450">
        <v>45137</v>
      </c>
      <c r="AN805" s="451">
        <v>247.9</v>
      </c>
      <c r="AO805" s="451">
        <v>2604289</v>
      </c>
      <c r="AP805" s="451">
        <v>251.35194000000001</v>
      </c>
      <c r="AQ805" s="451">
        <v>62310.145926000005</v>
      </c>
      <c r="AR805" s="451">
        <v>0.69850000000000001</v>
      </c>
    </row>
    <row r="806" spans="39:44">
      <c r="AM806" s="450">
        <v>45136</v>
      </c>
      <c r="AN806" s="451">
        <v>247.9</v>
      </c>
      <c r="AO806" s="451">
        <v>2604289</v>
      </c>
      <c r="AP806" s="451">
        <v>251.35194000000001</v>
      </c>
      <c r="AQ806" s="451">
        <v>62310.145926000005</v>
      </c>
      <c r="AR806" s="451">
        <v>0.69850000000000001</v>
      </c>
    </row>
    <row r="807" spans="39:44">
      <c r="AM807" s="450">
        <v>45135</v>
      </c>
      <c r="AN807" s="451">
        <v>249.98</v>
      </c>
      <c r="AO807" s="451">
        <v>2314402</v>
      </c>
      <c r="AP807" s="451">
        <v>251.35194000000001</v>
      </c>
      <c r="AQ807" s="451">
        <v>62832.957961200002</v>
      </c>
      <c r="AR807" s="451">
        <v>0.70440000000000003</v>
      </c>
    </row>
    <row r="808" spans="39:44">
      <c r="AM808" s="450">
        <v>45134</v>
      </c>
      <c r="AN808" s="451">
        <v>248.44</v>
      </c>
      <c r="AO808" s="451">
        <v>2980810</v>
      </c>
      <c r="AP808" s="451">
        <v>251.35194000000001</v>
      </c>
      <c r="AQ808" s="451">
        <v>62445.875973599999</v>
      </c>
      <c r="AR808" s="451">
        <v>0.7</v>
      </c>
    </row>
    <row r="809" spans="39:44">
      <c r="AM809" s="450">
        <v>45133</v>
      </c>
      <c r="AN809" s="451">
        <v>246.76</v>
      </c>
      <c r="AO809" s="451">
        <v>4161964</v>
      </c>
      <c r="AP809" s="451">
        <v>251.35194000000001</v>
      </c>
      <c r="AQ809" s="451">
        <v>62023.604714400004</v>
      </c>
      <c r="AR809" s="451">
        <v>0.69530000000000003</v>
      </c>
    </row>
    <row r="810" spans="39:44">
      <c r="AM810" s="450">
        <v>45132</v>
      </c>
      <c r="AN810" s="451">
        <v>234.93</v>
      </c>
      <c r="AO810" s="451">
        <v>2205843</v>
      </c>
      <c r="AP810" s="451">
        <v>251.35194000000001</v>
      </c>
      <c r="AQ810" s="451">
        <v>59050.111264200008</v>
      </c>
      <c r="AR810" s="451">
        <v>0.66200000000000003</v>
      </c>
    </row>
    <row r="811" spans="39:44">
      <c r="AM811" s="450">
        <v>45131</v>
      </c>
      <c r="AN811" s="451">
        <v>232.34</v>
      </c>
      <c r="AO811" s="451">
        <v>3027997</v>
      </c>
      <c r="AP811" s="451">
        <v>251.35194000000001</v>
      </c>
      <c r="AQ811" s="451">
        <v>58399.109739600004</v>
      </c>
      <c r="AR811" s="451">
        <v>0.65469999999999995</v>
      </c>
    </row>
    <row r="812" spans="39:44">
      <c r="AM812" s="450">
        <v>45130</v>
      </c>
      <c r="AN812" s="451">
        <v>232.34</v>
      </c>
      <c r="AO812" s="451">
        <v>3027997</v>
      </c>
      <c r="AP812" s="451">
        <v>251.35194000000001</v>
      </c>
      <c r="AQ812" s="451">
        <v>58399.109739600004</v>
      </c>
      <c r="AR812" s="451">
        <v>0.65469999999999995</v>
      </c>
    </row>
    <row r="813" spans="39:44">
      <c r="AM813" s="450">
        <v>45129</v>
      </c>
      <c r="AN813" s="451">
        <v>232.34</v>
      </c>
      <c r="AO813" s="451">
        <v>3027997</v>
      </c>
      <c r="AP813" s="451">
        <v>251.35194000000001</v>
      </c>
      <c r="AQ813" s="451">
        <v>58399.109739600004</v>
      </c>
      <c r="AR813" s="451">
        <v>0.65469999999999995</v>
      </c>
    </row>
    <row r="814" spans="39:44">
      <c r="AM814" s="450">
        <v>45128</v>
      </c>
      <c r="AN814" s="451">
        <v>232.93</v>
      </c>
      <c r="AO814" s="451">
        <v>3595572</v>
      </c>
      <c r="AP814" s="451">
        <v>251.35194000000001</v>
      </c>
      <c r="AQ814" s="451">
        <v>58547.407384200007</v>
      </c>
      <c r="AR814" s="451">
        <v>0.65629999999999999</v>
      </c>
    </row>
    <row r="815" spans="39:44">
      <c r="AM815" s="450">
        <v>45127</v>
      </c>
      <c r="AN815" s="451">
        <v>225.84</v>
      </c>
      <c r="AO815" s="451">
        <v>7125987</v>
      </c>
      <c r="AP815" s="451">
        <v>251.35194000000001</v>
      </c>
      <c r="AQ815" s="451">
        <v>56765.322129600005</v>
      </c>
      <c r="AR815" s="451">
        <v>0.63639999999999997</v>
      </c>
    </row>
    <row r="816" spans="39:44">
      <c r="AM816" s="450">
        <v>45126</v>
      </c>
      <c r="AN816" s="451">
        <v>231.65</v>
      </c>
      <c r="AO816" s="451">
        <v>5215821</v>
      </c>
      <c r="AP816" s="451">
        <v>251.35194000000001</v>
      </c>
      <c r="AQ816" s="451">
        <v>58225.676901000006</v>
      </c>
      <c r="AR816" s="451">
        <v>0.65269999999999995</v>
      </c>
    </row>
    <row r="817" spans="39:44">
      <c r="AM817" s="450">
        <v>45125</v>
      </c>
      <c r="AN817" s="451">
        <v>233.46</v>
      </c>
      <c r="AO817" s="451">
        <v>3293620</v>
      </c>
      <c r="AP817" s="451">
        <v>251.35194000000001</v>
      </c>
      <c r="AQ817" s="451">
        <v>58680.623912400006</v>
      </c>
      <c r="AR817" s="451">
        <v>0.65780000000000005</v>
      </c>
    </row>
    <row r="818" spans="39:44">
      <c r="AM818" s="450">
        <v>45124</v>
      </c>
      <c r="AN818" s="451">
        <v>233.46</v>
      </c>
      <c r="AO818" s="451">
        <v>3293620</v>
      </c>
      <c r="AP818" s="451">
        <v>251.35194000000001</v>
      </c>
      <c r="AQ818" s="451">
        <v>58680.623912400006</v>
      </c>
      <c r="AR818" s="451">
        <v>0.65780000000000005</v>
      </c>
    </row>
    <row r="819" spans="39:44">
      <c r="AM819" s="450">
        <v>45123</v>
      </c>
      <c r="AN819" s="451">
        <v>233.46</v>
      </c>
      <c r="AO819" s="451">
        <v>3293620</v>
      </c>
      <c r="AP819" s="451">
        <v>251.35194000000001</v>
      </c>
      <c r="AQ819" s="451">
        <v>58680.623912400006</v>
      </c>
      <c r="AR819" s="451">
        <v>0.65780000000000005</v>
      </c>
    </row>
    <row r="820" spans="39:44">
      <c r="AM820" s="450">
        <v>45122</v>
      </c>
      <c r="AN820" s="451">
        <v>233.46</v>
      </c>
      <c r="AO820" s="451">
        <v>3293620</v>
      </c>
      <c r="AP820" s="451">
        <v>251.35194000000001</v>
      </c>
      <c r="AQ820" s="451">
        <v>58680.623912400006</v>
      </c>
      <c r="AR820" s="451">
        <v>0.65780000000000005</v>
      </c>
    </row>
    <row r="821" spans="39:44">
      <c r="AM821" s="450">
        <v>45121</v>
      </c>
      <c r="AN821" s="451">
        <v>236.44</v>
      </c>
      <c r="AO821" s="451">
        <v>2321584</v>
      </c>
      <c r="AP821" s="451">
        <v>251.35194000000001</v>
      </c>
      <c r="AQ821" s="451">
        <v>59429.652693600001</v>
      </c>
      <c r="AR821" s="451">
        <v>0.66620000000000001</v>
      </c>
    </row>
    <row r="822" spans="39:44">
      <c r="AM822" s="450">
        <v>45120</v>
      </c>
      <c r="AN822" s="451">
        <v>229.67</v>
      </c>
      <c r="AO822" s="451">
        <v>2091239</v>
      </c>
      <c r="AP822" s="451">
        <v>251.35194000000001</v>
      </c>
      <c r="AQ822" s="451">
        <v>57728.000059799997</v>
      </c>
      <c r="AR822" s="451">
        <v>0.64710000000000001</v>
      </c>
    </row>
    <row r="823" spans="39:44">
      <c r="AM823" s="450">
        <v>45119</v>
      </c>
      <c r="AN823" s="451">
        <v>228.87</v>
      </c>
      <c r="AO823" s="451">
        <v>2341930</v>
      </c>
      <c r="AP823" s="451">
        <v>251.35194000000001</v>
      </c>
      <c r="AQ823" s="451">
        <v>57526.918507800001</v>
      </c>
      <c r="AR823" s="451">
        <v>0.64490000000000003</v>
      </c>
    </row>
    <row r="824" spans="39:44">
      <c r="AM824" s="450">
        <v>45118</v>
      </c>
      <c r="AN824" s="451">
        <v>224.55</v>
      </c>
      <c r="AO824" s="451">
        <v>1437078</v>
      </c>
      <c r="AP824" s="451">
        <v>251.35194000000001</v>
      </c>
      <c r="AQ824" s="451">
        <v>56441.078127000008</v>
      </c>
      <c r="AR824" s="451">
        <v>0.63270000000000004</v>
      </c>
    </row>
    <row r="825" spans="39:44">
      <c r="AM825" s="450">
        <v>45117</v>
      </c>
      <c r="AN825" s="451">
        <v>223.76</v>
      </c>
      <c r="AO825" s="451">
        <v>1654297</v>
      </c>
      <c r="AP825" s="451">
        <v>251.35194000000001</v>
      </c>
      <c r="AQ825" s="451">
        <v>56242.510094400001</v>
      </c>
      <c r="AR825" s="451">
        <v>0.63049999999999995</v>
      </c>
    </row>
    <row r="826" spans="39:44">
      <c r="AM826" s="450">
        <v>45116</v>
      </c>
      <c r="AN826" s="451">
        <v>223.76</v>
      </c>
      <c r="AO826" s="451">
        <v>1654297</v>
      </c>
      <c r="AP826" s="451">
        <v>251.35194000000001</v>
      </c>
      <c r="AQ826" s="451">
        <v>56242.510094400001</v>
      </c>
      <c r="AR826" s="451">
        <v>0.63049999999999995</v>
      </c>
    </row>
    <row r="827" spans="39:44">
      <c r="AM827" s="450">
        <v>45115</v>
      </c>
      <c r="AN827" s="451">
        <v>223.76</v>
      </c>
      <c r="AO827" s="451">
        <v>1654297</v>
      </c>
      <c r="AP827" s="451">
        <v>251.35194000000001</v>
      </c>
      <c r="AQ827" s="451">
        <v>56242.510094400001</v>
      </c>
      <c r="AR827" s="451">
        <v>0.63049999999999995</v>
      </c>
    </row>
    <row r="828" spans="39:44">
      <c r="AM828" s="450">
        <v>45114</v>
      </c>
      <c r="AN828" s="451">
        <v>225.01</v>
      </c>
      <c r="AO828" s="451">
        <v>1633063</v>
      </c>
      <c r="AP828" s="451">
        <v>251.35194000000001</v>
      </c>
      <c r="AQ828" s="451">
        <v>56556.700019399999</v>
      </c>
      <c r="AR828" s="451">
        <v>0.63400000000000001</v>
      </c>
    </row>
    <row r="829" spans="39:44">
      <c r="AM829" s="450">
        <v>45113</v>
      </c>
      <c r="AN829" s="451">
        <v>224.6</v>
      </c>
      <c r="AO829" s="451">
        <v>2141470</v>
      </c>
      <c r="AP829" s="451">
        <v>251.35194000000001</v>
      </c>
      <c r="AQ829" s="451">
        <v>56453.645724000002</v>
      </c>
      <c r="AR829" s="451">
        <v>0.63290000000000002</v>
      </c>
    </row>
    <row r="830" spans="39:44">
      <c r="AM830" s="450">
        <v>45112</v>
      </c>
      <c r="AN830" s="451">
        <v>219.5</v>
      </c>
      <c r="AO830" s="451">
        <v>1474689</v>
      </c>
      <c r="AP830" s="451">
        <v>251.35194000000001</v>
      </c>
      <c r="AQ830" s="451">
        <v>55171.750830000004</v>
      </c>
      <c r="AR830" s="451">
        <v>0.61850000000000005</v>
      </c>
    </row>
    <row r="831" spans="39:44">
      <c r="AM831" s="450">
        <v>45111</v>
      </c>
      <c r="AN831" s="451">
        <v>221.08</v>
      </c>
      <c r="AO831" s="451">
        <v>1531037</v>
      </c>
      <c r="AP831" s="451">
        <v>251.35194000000001</v>
      </c>
      <c r="AQ831" s="451">
        <v>55568.886895200005</v>
      </c>
      <c r="AR831" s="451">
        <v>0.62290000000000001</v>
      </c>
    </row>
    <row r="832" spans="39:44">
      <c r="AM832" s="450">
        <v>45110</v>
      </c>
      <c r="AN832" s="451">
        <v>221.74</v>
      </c>
      <c r="AO832" s="451">
        <v>1541576</v>
      </c>
      <c r="AP832" s="451">
        <v>251.35194000000001</v>
      </c>
      <c r="AQ832" s="451">
        <v>55734.779175600008</v>
      </c>
      <c r="AR832" s="451">
        <v>0.62480000000000002</v>
      </c>
    </row>
    <row r="833" spans="39:44">
      <c r="AM833" s="450">
        <v>45109</v>
      </c>
      <c r="AN833" s="451">
        <v>221.74</v>
      </c>
      <c r="AO833" s="451">
        <v>1541576</v>
      </c>
      <c r="AP833" s="451">
        <v>251.35194000000001</v>
      </c>
      <c r="AQ833" s="451">
        <v>55734.779175600008</v>
      </c>
      <c r="AR833" s="451">
        <v>0.62480000000000002</v>
      </c>
    </row>
    <row r="834" spans="39:44">
      <c r="AM834" s="450">
        <v>45108</v>
      </c>
      <c r="AN834" s="451">
        <v>221.74</v>
      </c>
      <c r="AO834" s="451">
        <v>1541576</v>
      </c>
      <c r="AP834" s="451">
        <v>251.35194000000001</v>
      </c>
      <c r="AQ834" s="451">
        <v>55734.779175600008</v>
      </c>
      <c r="AR834" s="451">
        <v>0.62480000000000002</v>
      </c>
    </row>
    <row r="835" spans="39:44">
      <c r="AM835" s="450">
        <v>45107</v>
      </c>
      <c r="AN835" s="451">
        <v>217.29</v>
      </c>
      <c r="AO835" s="451">
        <v>2170638</v>
      </c>
      <c r="AP835" s="451">
        <v>251.35194000000001</v>
      </c>
      <c r="AQ835" s="451">
        <v>54616.263042600003</v>
      </c>
      <c r="AR835" s="451">
        <v>0.61229999999999996</v>
      </c>
    </row>
    <row r="836" spans="39:44">
      <c r="AM836" s="450">
        <v>45106</v>
      </c>
      <c r="AN836" s="451">
        <v>217.98</v>
      </c>
      <c r="AO836" s="451">
        <v>3001833</v>
      </c>
      <c r="AP836" s="451">
        <v>251.35194000000001</v>
      </c>
      <c r="AQ836" s="451">
        <v>54789.695881200001</v>
      </c>
      <c r="AR836" s="451">
        <v>0.61419999999999997</v>
      </c>
    </row>
    <row r="837" spans="39:44">
      <c r="AM837" s="450">
        <v>45105</v>
      </c>
      <c r="AN837" s="451">
        <v>226.14</v>
      </c>
      <c r="AO837" s="451">
        <v>2073685</v>
      </c>
      <c r="AP837" s="451">
        <v>251.35194000000001</v>
      </c>
      <c r="AQ837" s="451">
        <v>56840.727711599997</v>
      </c>
      <c r="AR837" s="451">
        <v>0.62639999999999996</v>
      </c>
    </row>
    <row r="838" spans="39:44">
      <c r="AM838" s="450">
        <v>45104</v>
      </c>
      <c r="AN838" s="451">
        <v>224.15</v>
      </c>
      <c r="AO838" s="451">
        <v>1218025</v>
      </c>
      <c r="AP838" s="451">
        <v>251.35194000000001</v>
      </c>
      <c r="AQ838" s="451">
        <v>56340.537351000006</v>
      </c>
      <c r="AR838" s="451">
        <v>0.62090000000000001</v>
      </c>
    </row>
    <row r="839" spans="39:44">
      <c r="AM839" s="450">
        <v>45103</v>
      </c>
      <c r="AN839" s="451">
        <v>224.15</v>
      </c>
      <c r="AO839" s="451">
        <v>1218025</v>
      </c>
      <c r="AP839" s="451">
        <v>251.35194000000001</v>
      </c>
      <c r="AQ839" s="451">
        <v>56340.537351000006</v>
      </c>
      <c r="AR839" s="451">
        <v>0.62090000000000001</v>
      </c>
    </row>
    <row r="840" spans="39:44">
      <c r="AM840" s="450">
        <v>45102</v>
      </c>
      <c r="AN840" s="451">
        <v>224.15</v>
      </c>
      <c r="AO840" s="451">
        <v>1218025</v>
      </c>
      <c r="AP840" s="451">
        <v>251.35194000000001</v>
      </c>
      <c r="AQ840" s="451">
        <v>56340.537351000006</v>
      </c>
      <c r="AR840" s="451">
        <v>0.62090000000000001</v>
      </c>
    </row>
    <row r="841" spans="39:44">
      <c r="AM841" s="450">
        <v>45101</v>
      </c>
      <c r="AN841" s="451">
        <v>224.15</v>
      </c>
      <c r="AO841" s="451">
        <v>1218025</v>
      </c>
      <c r="AP841" s="451">
        <v>251.35194000000001</v>
      </c>
      <c r="AQ841" s="451">
        <v>56340.537351000006</v>
      </c>
      <c r="AR841" s="451">
        <v>0.62090000000000001</v>
      </c>
    </row>
    <row r="842" spans="39:44">
      <c r="AM842" s="450">
        <v>45100</v>
      </c>
      <c r="AN842" s="451">
        <v>225.08</v>
      </c>
      <c r="AO842" s="451">
        <v>1015473</v>
      </c>
      <c r="AP842" s="451">
        <v>251.35194000000001</v>
      </c>
      <c r="AQ842" s="451">
        <v>56574.294655200007</v>
      </c>
      <c r="AR842" s="451">
        <v>0.62350000000000005</v>
      </c>
    </row>
    <row r="843" spans="39:44">
      <c r="AM843" s="450">
        <v>45099</v>
      </c>
      <c r="AN843" s="451">
        <v>223.55</v>
      </c>
      <c r="AO843" s="451">
        <v>1031865</v>
      </c>
      <c r="AP843" s="451">
        <v>251.35194000000001</v>
      </c>
      <c r="AQ843" s="451">
        <v>56189.726187000007</v>
      </c>
      <c r="AR843" s="451">
        <v>0.61929999999999996</v>
      </c>
    </row>
    <row r="844" spans="39:44">
      <c r="AM844" s="450">
        <v>45098</v>
      </c>
      <c r="AN844" s="451">
        <v>226.64</v>
      </c>
      <c r="AO844" s="451">
        <v>898151</v>
      </c>
      <c r="AP844" s="451">
        <v>251.35194000000001</v>
      </c>
      <c r="AQ844" s="451">
        <v>56966.403681600001</v>
      </c>
      <c r="AR844" s="451">
        <v>0.62780000000000002</v>
      </c>
    </row>
    <row r="845" spans="39:44">
      <c r="AM845" s="450">
        <v>45097</v>
      </c>
      <c r="AN845" s="451">
        <v>228.68</v>
      </c>
      <c r="AO845" s="451">
        <v>1024429</v>
      </c>
      <c r="AP845" s="451">
        <v>251.35194000000001</v>
      </c>
      <c r="AQ845" s="451">
        <v>57479.161639200007</v>
      </c>
      <c r="AR845" s="451">
        <v>0.63349999999999995</v>
      </c>
    </row>
    <row r="846" spans="39:44">
      <c r="AM846" s="450">
        <v>45096</v>
      </c>
      <c r="AN846" s="451">
        <v>229.08</v>
      </c>
      <c r="AO846" s="451">
        <v>1584100</v>
      </c>
      <c r="AP846" s="451">
        <v>251.35194000000001</v>
      </c>
      <c r="AQ846" s="451">
        <v>57579.702415200009</v>
      </c>
      <c r="AR846" s="451">
        <v>0.63460000000000005</v>
      </c>
    </row>
    <row r="847" spans="39:44">
      <c r="AM847" s="450">
        <v>45095</v>
      </c>
      <c r="AN847" s="451">
        <v>229.08</v>
      </c>
      <c r="AO847" s="451">
        <v>1584100</v>
      </c>
      <c r="AP847" s="451">
        <v>251.35194000000001</v>
      </c>
      <c r="AQ847" s="451">
        <v>57579.702415200009</v>
      </c>
      <c r="AR847" s="451">
        <v>0.63460000000000005</v>
      </c>
    </row>
    <row r="848" spans="39:44">
      <c r="AM848" s="450">
        <v>45094</v>
      </c>
      <c r="AN848" s="451">
        <v>229.08</v>
      </c>
      <c r="AO848" s="451">
        <v>1584100</v>
      </c>
      <c r="AP848" s="451">
        <v>251.35194000000001</v>
      </c>
      <c r="AQ848" s="451">
        <v>57579.702415200009</v>
      </c>
      <c r="AR848" s="451">
        <v>0.63460000000000005</v>
      </c>
    </row>
    <row r="849" spans="39:44">
      <c r="AM849" s="450">
        <v>45093</v>
      </c>
      <c r="AN849" s="451">
        <v>230.43</v>
      </c>
      <c r="AO849" s="451">
        <v>2560639</v>
      </c>
      <c r="AP849" s="451">
        <v>251.35194000000001</v>
      </c>
      <c r="AQ849" s="451">
        <v>57919.027534200002</v>
      </c>
      <c r="AR849" s="451">
        <v>0.63829999999999998</v>
      </c>
    </row>
    <row r="850" spans="39:44">
      <c r="AM850" s="450">
        <v>45092</v>
      </c>
      <c r="AN850" s="451">
        <v>225.89</v>
      </c>
      <c r="AO850" s="451">
        <v>2702427</v>
      </c>
      <c r="AP850" s="451">
        <v>251.35194000000001</v>
      </c>
      <c r="AQ850" s="451">
        <v>56777.889726599999</v>
      </c>
      <c r="AR850" s="451">
        <v>0.62580000000000002</v>
      </c>
    </row>
    <row r="851" spans="39:44">
      <c r="AM851" s="450">
        <v>45091</v>
      </c>
      <c r="AN851" s="451">
        <v>221.27</v>
      </c>
      <c r="AO851" s="451">
        <v>1529671</v>
      </c>
      <c r="AP851" s="451">
        <v>251.35194000000001</v>
      </c>
      <c r="AQ851" s="451">
        <v>55616.643763800006</v>
      </c>
      <c r="AR851" s="451">
        <v>0.61299999999999999</v>
      </c>
    </row>
    <row r="852" spans="39:44">
      <c r="AM852" s="450">
        <v>45090</v>
      </c>
      <c r="AN852" s="451">
        <v>222.42</v>
      </c>
      <c r="AO852" s="451">
        <v>1863893</v>
      </c>
      <c r="AP852" s="451">
        <v>251.35194000000001</v>
      </c>
      <c r="AQ852" s="451">
        <v>55905.698494800003</v>
      </c>
      <c r="AR852" s="451">
        <v>0.61609999999999998</v>
      </c>
    </row>
    <row r="853" spans="39:44">
      <c r="AM853" s="450">
        <v>45089</v>
      </c>
      <c r="AN853" s="451">
        <v>222.93</v>
      </c>
      <c r="AO853" s="451">
        <v>1641833</v>
      </c>
      <c r="AP853" s="451">
        <v>251.35194000000001</v>
      </c>
      <c r="AQ853" s="451">
        <v>56033.887984200002</v>
      </c>
      <c r="AR853" s="451">
        <v>0.61760000000000004</v>
      </c>
    </row>
    <row r="854" spans="39:44">
      <c r="AM854" s="450">
        <v>45088</v>
      </c>
      <c r="AN854" s="451">
        <v>222.93</v>
      </c>
      <c r="AO854" s="451">
        <v>1641833</v>
      </c>
      <c r="AP854" s="451">
        <v>251.35194000000001</v>
      </c>
      <c r="AQ854" s="451">
        <v>56033.887984200002</v>
      </c>
      <c r="AR854" s="451">
        <v>0.61760000000000004</v>
      </c>
    </row>
    <row r="855" spans="39:44">
      <c r="AM855" s="450">
        <v>45087</v>
      </c>
      <c r="AN855" s="451">
        <v>222.93</v>
      </c>
      <c r="AO855" s="451">
        <v>1641833</v>
      </c>
      <c r="AP855" s="451">
        <v>251.35194000000001</v>
      </c>
      <c r="AQ855" s="451">
        <v>56033.887984200002</v>
      </c>
      <c r="AR855" s="451">
        <v>0.61760000000000004</v>
      </c>
    </row>
    <row r="856" spans="39:44">
      <c r="AM856" s="450">
        <v>45086</v>
      </c>
      <c r="AN856" s="451">
        <v>224.84</v>
      </c>
      <c r="AO856" s="451">
        <v>1286236</v>
      </c>
      <c r="AP856" s="451">
        <v>251.35194000000001</v>
      </c>
      <c r="AQ856" s="451">
        <v>56513.970189600004</v>
      </c>
      <c r="AR856" s="451">
        <v>0.62280000000000002</v>
      </c>
    </row>
    <row r="857" spans="39:44">
      <c r="AM857" s="450">
        <v>45085</v>
      </c>
      <c r="AN857" s="451">
        <v>226.33</v>
      </c>
      <c r="AO857" s="451">
        <v>1480856</v>
      </c>
      <c r="AP857" s="451">
        <v>251.35194000000001</v>
      </c>
      <c r="AQ857" s="451">
        <v>56888.484580200005</v>
      </c>
      <c r="AR857" s="451">
        <v>0.627</v>
      </c>
    </row>
    <row r="858" spans="39:44">
      <c r="AM858" s="450">
        <v>45084</v>
      </c>
      <c r="AN858" s="451">
        <v>228.63</v>
      </c>
      <c r="AO858" s="451">
        <v>969490</v>
      </c>
      <c r="AP858" s="451">
        <v>251.35194000000001</v>
      </c>
      <c r="AQ858" s="451">
        <v>57466.594042199999</v>
      </c>
      <c r="AR858" s="451">
        <v>0.63329999999999997</v>
      </c>
    </row>
    <row r="859" spans="39:44">
      <c r="AM859" s="450">
        <v>45083</v>
      </c>
      <c r="AN859" s="451">
        <v>230.73</v>
      </c>
      <c r="AO859" s="451">
        <v>1058154</v>
      </c>
      <c r="AP859" s="451">
        <v>251.35194000000001</v>
      </c>
      <c r="AQ859" s="451">
        <v>57994.433116200002</v>
      </c>
      <c r="AR859" s="451">
        <v>0.63919999999999999</v>
      </c>
    </row>
    <row r="860" spans="39:44">
      <c r="AM860" s="450">
        <v>45082</v>
      </c>
      <c r="AN860" s="451">
        <v>229.3</v>
      </c>
      <c r="AO860" s="451">
        <v>1157944</v>
      </c>
      <c r="AP860" s="451">
        <v>251.35194000000001</v>
      </c>
      <c r="AQ860" s="451">
        <v>57634.999842000005</v>
      </c>
      <c r="AR860" s="451">
        <v>0.63519999999999999</v>
      </c>
    </row>
    <row r="861" spans="39:44">
      <c r="AM861" s="450">
        <v>45081</v>
      </c>
      <c r="AN861" s="451">
        <v>229.3</v>
      </c>
      <c r="AO861" s="451">
        <v>1157944</v>
      </c>
      <c r="AP861" s="451">
        <v>251.35194000000001</v>
      </c>
      <c r="AQ861" s="451">
        <v>57634.999842000005</v>
      </c>
      <c r="AR861" s="451">
        <v>0.63519999999999999</v>
      </c>
    </row>
    <row r="862" spans="39:44">
      <c r="AM862" s="450">
        <v>45080</v>
      </c>
      <c r="AN862" s="451">
        <v>229.3</v>
      </c>
      <c r="AO862" s="451">
        <v>1157944</v>
      </c>
      <c r="AP862" s="451">
        <v>251.35194000000001</v>
      </c>
      <c r="AQ862" s="451">
        <v>57634.999842000005</v>
      </c>
      <c r="AR862" s="451">
        <v>0.63519999999999999</v>
      </c>
    </row>
    <row r="863" spans="39:44">
      <c r="AM863" s="450">
        <v>45079</v>
      </c>
      <c r="AN863" s="451">
        <v>226.37</v>
      </c>
      <c r="AO863" s="451">
        <v>955141</v>
      </c>
      <c r="AP863" s="451">
        <v>251.35194000000001</v>
      </c>
      <c r="AQ863" s="451">
        <v>56898.538657800003</v>
      </c>
      <c r="AR863" s="451">
        <v>0.62709999999999999</v>
      </c>
    </row>
    <row r="864" spans="39:44">
      <c r="AM864" s="450">
        <v>45078</v>
      </c>
      <c r="AN864" s="451">
        <v>228.52</v>
      </c>
      <c r="AO864" s="451">
        <v>1356578</v>
      </c>
      <c r="AP864" s="451">
        <v>251.35194000000001</v>
      </c>
      <c r="AQ864" s="451">
        <v>57438.945328800008</v>
      </c>
      <c r="AR864" s="451">
        <v>0.63300000000000001</v>
      </c>
    </row>
    <row r="865" spans="39:44">
      <c r="AM865" s="450">
        <v>45077</v>
      </c>
      <c r="AN865" s="451">
        <v>228.4</v>
      </c>
      <c r="AO865" s="451">
        <v>1102183</v>
      </c>
      <c r="AP865" s="451">
        <v>251.35194000000001</v>
      </c>
      <c r="AQ865" s="451">
        <v>57408.783096000006</v>
      </c>
      <c r="AR865" s="451">
        <v>0.63270000000000004</v>
      </c>
    </row>
    <row r="866" spans="39:44">
      <c r="AM866" s="450">
        <v>45076</v>
      </c>
      <c r="AN866" s="451">
        <v>230.58</v>
      </c>
      <c r="AO866" s="451">
        <v>1122115</v>
      </c>
      <c r="AP866" s="451">
        <v>251.35194000000001</v>
      </c>
      <c r="AQ866" s="451">
        <v>57956.730325200006</v>
      </c>
      <c r="AR866" s="451">
        <v>0.63870000000000005</v>
      </c>
    </row>
    <row r="867" spans="39:44">
      <c r="AM867" s="450">
        <v>45075</v>
      </c>
      <c r="AN867" s="451">
        <v>227.78</v>
      </c>
      <c r="AO867" s="451">
        <v>1608519</v>
      </c>
      <c r="AP867" s="451">
        <v>251.35194000000001</v>
      </c>
      <c r="AQ867" s="451">
        <v>57252.944893200001</v>
      </c>
      <c r="AR867" s="451">
        <v>0.63100000000000001</v>
      </c>
    </row>
    <row r="868" spans="39:44">
      <c r="AM868" s="450">
        <v>45074</v>
      </c>
      <c r="AN868" s="451">
        <v>227.78</v>
      </c>
      <c r="AO868" s="451">
        <v>1608519</v>
      </c>
      <c r="AP868" s="451">
        <v>251.35194000000001</v>
      </c>
      <c r="AQ868" s="451">
        <v>57252.944893200001</v>
      </c>
      <c r="AR868" s="451">
        <v>0.63100000000000001</v>
      </c>
    </row>
    <row r="869" spans="39:44">
      <c r="AM869" s="450">
        <v>45073</v>
      </c>
      <c r="AN869" s="451">
        <v>227.78</v>
      </c>
      <c r="AO869" s="451">
        <v>1608519</v>
      </c>
      <c r="AP869" s="451">
        <v>251.35194000000001</v>
      </c>
      <c r="AQ869" s="451">
        <v>57252.944893200001</v>
      </c>
      <c r="AR869" s="451">
        <v>0.63100000000000001</v>
      </c>
    </row>
    <row r="870" spans="39:44">
      <c r="AM870" s="450">
        <v>45072</v>
      </c>
      <c r="AN870" s="451">
        <v>225.94</v>
      </c>
      <c r="AO870" s="451">
        <v>1535192</v>
      </c>
      <c r="AP870" s="451">
        <v>251.35194000000001</v>
      </c>
      <c r="AQ870" s="451">
        <v>56790.4573236</v>
      </c>
      <c r="AR870" s="451">
        <v>0.62590000000000001</v>
      </c>
    </row>
    <row r="871" spans="39:44">
      <c r="AM871" s="450">
        <v>45071</v>
      </c>
      <c r="AN871" s="451">
        <v>222.77</v>
      </c>
      <c r="AO871" s="451">
        <v>1813523</v>
      </c>
      <c r="AP871" s="451">
        <v>251.35194000000001</v>
      </c>
      <c r="AQ871" s="451">
        <v>55993.671673800003</v>
      </c>
      <c r="AR871" s="451">
        <v>0.61709999999999998</v>
      </c>
    </row>
    <row r="872" spans="39:44">
      <c r="AM872" s="450">
        <v>45070</v>
      </c>
      <c r="AN872" s="451">
        <v>225.47</v>
      </c>
      <c r="AO872" s="451">
        <v>2201362</v>
      </c>
      <c r="AP872" s="451">
        <v>251.35194000000001</v>
      </c>
      <c r="AQ872" s="451">
        <v>56672.321911800005</v>
      </c>
      <c r="AR872" s="451">
        <v>0.62460000000000004</v>
      </c>
    </row>
    <row r="873" spans="39:44">
      <c r="AM873" s="450">
        <v>45069</v>
      </c>
      <c r="AN873" s="451">
        <v>232.16</v>
      </c>
      <c r="AO873" s="451">
        <v>1374278</v>
      </c>
      <c r="AP873" s="451">
        <v>251.35194000000001</v>
      </c>
      <c r="AQ873" s="451">
        <v>58353.866390399999</v>
      </c>
      <c r="AR873" s="451">
        <v>0.6431</v>
      </c>
    </row>
    <row r="874" spans="39:44">
      <c r="AM874" s="450">
        <v>45068</v>
      </c>
      <c r="AN874" s="451">
        <v>230.44</v>
      </c>
      <c r="AO874" s="451">
        <v>2180092</v>
      </c>
      <c r="AP874" s="451">
        <v>251.35194000000001</v>
      </c>
      <c r="AQ874" s="451">
        <v>57921.541053600005</v>
      </c>
      <c r="AR874" s="451">
        <v>0.63839999999999997</v>
      </c>
    </row>
    <row r="875" spans="39:44">
      <c r="AM875" s="450">
        <v>45067</v>
      </c>
      <c r="AN875" s="451">
        <v>230.44</v>
      </c>
      <c r="AO875" s="451">
        <v>2180092</v>
      </c>
      <c r="AP875" s="451">
        <v>251.35194000000001</v>
      </c>
      <c r="AQ875" s="451">
        <v>57921.541053600005</v>
      </c>
      <c r="AR875" s="451">
        <v>0.63839999999999997</v>
      </c>
    </row>
    <row r="876" spans="39:44">
      <c r="AM876" s="450">
        <v>45066</v>
      </c>
      <c r="AN876" s="451">
        <v>230.44</v>
      </c>
      <c r="AO876" s="451">
        <v>2180092</v>
      </c>
      <c r="AP876" s="451">
        <v>251.35194000000001</v>
      </c>
      <c r="AQ876" s="451">
        <v>57921.541053600005</v>
      </c>
      <c r="AR876" s="451">
        <v>0.63839999999999997</v>
      </c>
    </row>
    <row r="877" spans="39:44">
      <c r="AM877" s="450">
        <v>45065</v>
      </c>
      <c r="AN877" s="451">
        <v>229.38</v>
      </c>
      <c r="AO877" s="451">
        <v>1314924</v>
      </c>
      <c r="AP877" s="451">
        <v>251.35194000000001</v>
      </c>
      <c r="AQ877" s="451">
        <v>57655.107997200001</v>
      </c>
      <c r="AR877" s="451">
        <v>0.63539999999999996</v>
      </c>
    </row>
    <row r="878" spans="39:44">
      <c r="AM878" s="450">
        <v>45064</v>
      </c>
      <c r="AN878" s="451">
        <v>229.49</v>
      </c>
      <c r="AO878" s="451">
        <v>1340939</v>
      </c>
      <c r="AP878" s="451">
        <v>251.35194000000001</v>
      </c>
      <c r="AQ878" s="451">
        <v>57682.756710600006</v>
      </c>
      <c r="AR878" s="451">
        <v>0.63570000000000004</v>
      </c>
    </row>
    <row r="879" spans="39:44">
      <c r="AM879" s="450">
        <v>45063</v>
      </c>
      <c r="AN879" s="451">
        <v>229.21</v>
      </c>
      <c r="AO879" s="451">
        <v>1282880</v>
      </c>
      <c r="AP879" s="451">
        <v>251.35194000000001</v>
      </c>
      <c r="AQ879" s="451">
        <v>57612.378167400006</v>
      </c>
      <c r="AR879" s="451">
        <v>0.63490000000000002</v>
      </c>
    </row>
    <row r="880" spans="39:44">
      <c r="AM880" s="450">
        <v>45062</v>
      </c>
      <c r="AN880" s="451">
        <v>229.31</v>
      </c>
      <c r="AO880" s="451">
        <v>1535414</v>
      </c>
      <c r="AP880" s="451">
        <v>251.35194000000001</v>
      </c>
      <c r="AQ880" s="451">
        <v>57637.513361400001</v>
      </c>
      <c r="AR880" s="451">
        <v>0.63519999999999999</v>
      </c>
    </row>
    <row r="881" spans="39:44">
      <c r="AM881" s="450">
        <v>45061</v>
      </c>
      <c r="AN881" s="451">
        <v>230.69</v>
      </c>
      <c r="AO881" s="451">
        <v>1525839</v>
      </c>
      <c r="AP881" s="451">
        <v>251.35194000000001</v>
      </c>
      <c r="AQ881" s="451">
        <v>57984.379038600004</v>
      </c>
      <c r="AR881" s="451">
        <v>0.63900000000000001</v>
      </c>
    </row>
    <row r="882" spans="39:44">
      <c r="AM882" s="450">
        <v>45060</v>
      </c>
      <c r="AN882" s="451">
        <v>230.69</v>
      </c>
      <c r="AO882" s="451">
        <v>1525839</v>
      </c>
      <c r="AP882" s="451">
        <v>251.35194000000001</v>
      </c>
      <c r="AQ882" s="451">
        <v>57984.379038600004</v>
      </c>
      <c r="AR882" s="451">
        <v>0.63900000000000001</v>
      </c>
    </row>
    <row r="883" spans="39:44">
      <c r="AM883" s="450">
        <v>45059</v>
      </c>
      <c r="AN883" s="451">
        <v>230.69</v>
      </c>
      <c r="AO883" s="451">
        <v>1525839</v>
      </c>
      <c r="AP883" s="451">
        <v>251.35194000000001</v>
      </c>
      <c r="AQ883" s="451">
        <v>57984.379038600004</v>
      </c>
      <c r="AR883" s="451">
        <v>0.63900000000000001</v>
      </c>
    </row>
    <row r="884" spans="39:44">
      <c r="AM884" s="450">
        <v>45058</v>
      </c>
      <c r="AN884" s="451">
        <v>231.07</v>
      </c>
      <c r="AO884" s="451">
        <v>1797879</v>
      </c>
      <c r="AP884" s="451">
        <v>251.35194000000001</v>
      </c>
      <c r="AQ884" s="451">
        <v>58079.892775799999</v>
      </c>
      <c r="AR884" s="451">
        <v>0.6401</v>
      </c>
    </row>
    <row r="885" spans="39:44">
      <c r="AM885" s="450">
        <v>45057</v>
      </c>
      <c r="AN885" s="451">
        <v>229.47</v>
      </c>
      <c r="AO885" s="451">
        <v>2507674</v>
      </c>
      <c r="AP885" s="451">
        <v>251.35194000000001</v>
      </c>
      <c r="AQ885" s="451">
        <v>57677.7296718</v>
      </c>
      <c r="AR885" s="451">
        <v>0.63570000000000004</v>
      </c>
    </row>
    <row r="886" spans="39:44">
      <c r="AM886" s="450">
        <v>45056</v>
      </c>
      <c r="AN886" s="451">
        <v>231.53</v>
      </c>
      <c r="AO886" s="451">
        <v>1971633</v>
      </c>
      <c r="AP886" s="451">
        <v>251.35194000000001</v>
      </c>
      <c r="AQ886" s="451">
        <v>58195.514668200005</v>
      </c>
      <c r="AR886" s="451">
        <v>0.64139999999999997</v>
      </c>
    </row>
    <row r="887" spans="39:44">
      <c r="AM887" s="450">
        <v>45055</v>
      </c>
      <c r="AN887" s="451">
        <v>231.6</v>
      </c>
      <c r="AO887" s="451">
        <v>1881100</v>
      </c>
      <c r="AP887" s="451">
        <v>251.35194000000001</v>
      </c>
      <c r="AQ887" s="451">
        <v>58213.109304000005</v>
      </c>
      <c r="AR887" s="451">
        <v>0.64159999999999995</v>
      </c>
    </row>
    <row r="888" spans="39:44">
      <c r="AM888" s="450">
        <v>45054</v>
      </c>
      <c r="AN888" s="451">
        <v>232.1</v>
      </c>
      <c r="AO888" s="451">
        <v>3675742</v>
      </c>
      <c r="AP888" s="451">
        <v>251.352</v>
      </c>
      <c r="AQ888" s="451">
        <v>58338.799200000001</v>
      </c>
      <c r="AR888" s="451">
        <v>0.64300000000000002</v>
      </c>
    </row>
    <row r="889" spans="39:44">
      <c r="AM889" s="450">
        <v>45053</v>
      </c>
      <c r="AN889" s="451">
        <v>232.1</v>
      </c>
      <c r="AO889" s="451">
        <v>3675742</v>
      </c>
      <c r="AP889" s="451">
        <v>251.352</v>
      </c>
      <c r="AQ889" s="451">
        <v>58338.799200000001</v>
      </c>
      <c r="AR889" s="451">
        <v>0.64300000000000002</v>
      </c>
    </row>
    <row r="890" spans="39:44">
      <c r="AM890" s="450">
        <v>45052</v>
      </c>
      <c r="AN890" s="451">
        <v>232.1</v>
      </c>
      <c r="AO890" s="451">
        <v>3675742</v>
      </c>
      <c r="AP890" s="451">
        <v>251.352</v>
      </c>
      <c r="AQ890" s="451">
        <v>58338.799200000001</v>
      </c>
      <c r="AR890" s="451">
        <v>0.64300000000000002</v>
      </c>
    </row>
    <row r="891" spans="39:44">
      <c r="AM891" s="450">
        <v>45051</v>
      </c>
      <c r="AN891" s="451">
        <v>232.1</v>
      </c>
      <c r="AO891" s="451">
        <v>3675742</v>
      </c>
      <c r="AP891" s="451">
        <v>251.352</v>
      </c>
      <c r="AQ891" s="451">
        <v>58338.799200000001</v>
      </c>
      <c r="AR891" s="451">
        <v>0.64300000000000002</v>
      </c>
    </row>
    <row r="892" spans="39:44">
      <c r="AM892" s="450">
        <v>45050</v>
      </c>
      <c r="AN892" s="451">
        <v>229.93</v>
      </c>
      <c r="AO892" s="451">
        <v>6601284</v>
      </c>
      <c r="AP892" s="451">
        <v>251.35194000000001</v>
      </c>
      <c r="AQ892" s="451">
        <v>57793.351564200006</v>
      </c>
      <c r="AR892" s="451">
        <v>0.63690000000000002</v>
      </c>
    </row>
    <row r="893" spans="39:44">
      <c r="AM893" s="450">
        <v>45049</v>
      </c>
      <c r="AN893" s="451">
        <v>226.49</v>
      </c>
      <c r="AO893" s="451">
        <v>1753537</v>
      </c>
      <c r="AP893" s="451">
        <v>251.35194000000001</v>
      </c>
      <c r="AQ893" s="451">
        <v>56928.700890600005</v>
      </c>
      <c r="AR893" s="451">
        <v>0.62739999999999996</v>
      </c>
    </row>
    <row r="894" spans="39:44">
      <c r="AM894" s="450">
        <v>45048</v>
      </c>
      <c r="AN894" s="451">
        <v>228.84</v>
      </c>
      <c r="AO894" s="451">
        <v>1980892</v>
      </c>
      <c r="AP894" s="451">
        <v>251.35194000000001</v>
      </c>
      <c r="AQ894" s="451">
        <v>57519.377949600006</v>
      </c>
      <c r="AR894" s="451">
        <v>0.63390000000000002</v>
      </c>
    </row>
    <row r="895" spans="39:44">
      <c r="AM895" s="450">
        <v>45047</v>
      </c>
      <c r="AN895" s="451">
        <v>228.49</v>
      </c>
      <c r="AO895" s="451">
        <v>1654502</v>
      </c>
      <c r="AP895" s="451">
        <v>251.35194000000001</v>
      </c>
      <c r="AQ895" s="451">
        <v>57431.404770600006</v>
      </c>
      <c r="AR895" s="451">
        <v>0.63300000000000001</v>
      </c>
    </row>
    <row r="896" spans="39:44">
      <c r="AM896" s="450">
        <v>45046</v>
      </c>
      <c r="AN896" s="451">
        <v>228.49</v>
      </c>
      <c r="AO896" s="451">
        <v>1654502</v>
      </c>
      <c r="AP896" s="451">
        <v>251.35194000000001</v>
      </c>
      <c r="AQ896" s="451">
        <v>57431.404770600006</v>
      </c>
      <c r="AR896" s="451">
        <v>0.63300000000000001</v>
      </c>
    </row>
    <row r="897" spans="39:44">
      <c r="AM897" s="450">
        <v>45045</v>
      </c>
      <c r="AN897" s="451">
        <v>228.49</v>
      </c>
      <c r="AO897" s="451">
        <v>1654502</v>
      </c>
      <c r="AP897" s="451">
        <v>251.35194000000001</v>
      </c>
      <c r="AQ897" s="451">
        <v>57431.404770600006</v>
      </c>
      <c r="AR897" s="451">
        <v>0.63300000000000001</v>
      </c>
    </row>
    <row r="898" spans="39:44">
      <c r="AM898" s="450">
        <v>45044</v>
      </c>
      <c r="AN898" s="451">
        <v>224.4</v>
      </c>
      <c r="AO898" s="451">
        <v>1647103</v>
      </c>
      <c r="AP898" s="451">
        <v>251.35194000000001</v>
      </c>
      <c r="AQ898" s="451">
        <v>56403.375336000005</v>
      </c>
      <c r="AR898" s="451">
        <v>0.62160000000000004</v>
      </c>
    </row>
    <row r="899" spans="39:44">
      <c r="AM899" s="450">
        <v>45043</v>
      </c>
      <c r="AN899" s="451">
        <v>223.65</v>
      </c>
      <c r="AO899" s="451">
        <v>1674925</v>
      </c>
      <c r="AP899" s="451">
        <v>251.35194000000001</v>
      </c>
      <c r="AQ899" s="451">
        <v>56214.861381000002</v>
      </c>
      <c r="AR899" s="451">
        <v>0.61950000000000005</v>
      </c>
    </row>
    <row r="900" spans="39:44">
      <c r="AM900" s="450">
        <v>45042</v>
      </c>
      <c r="AN900" s="451">
        <v>220.44</v>
      </c>
      <c r="AO900" s="451">
        <v>1357963</v>
      </c>
      <c r="AP900" s="451">
        <v>251.35194000000001</v>
      </c>
      <c r="AQ900" s="451">
        <v>55408.021653600001</v>
      </c>
      <c r="AR900" s="451">
        <v>0.61070000000000002</v>
      </c>
    </row>
    <row r="901" spans="39:44">
      <c r="AM901" s="450">
        <v>45041</v>
      </c>
      <c r="AN901" s="451">
        <v>219.82</v>
      </c>
      <c r="AO901" s="451">
        <v>1870135</v>
      </c>
      <c r="AP901" s="451">
        <v>251.35194000000001</v>
      </c>
      <c r="AQ901" s="451">
        <v>55252.183450800003</v>
      </c>
      <c r="AR901" s="451">
        <v>0.6089</v>
      </c>
    </row>
    <row r="902" spans="39:44">
      <c r="AM902" s="450">
        <v>45040</v>
      </c>
      <c r="AN902" s="451">
        <v>217.6</v>
      </c>
      <c r="AO902" s="451">
        <v>1772688</v>
      </c>
      <c r="AP902" s="451">
        <v>251.35194000000001</v>
      </c>
      <c r="AQ902" s="451">
        <v>54694.182143999999</v>
      </c>
      <c r="AR902" s="451">
        <v>0.6028</v>
      </c>
    </row>
    <row r="903" spans="39:44">
      <c r="AM903" s="450">
        <v>45039</v>
      </c>
      <c r="AN903" s="451">
        <v>217.6</v>
      </c>
      <c r="AO903" s="451">
        <v>1772688</v>
      </c>
      <c r="AP903" s="451">
        <v>251.35194000000001</v>
      </c>
      <c r="AQ903" s="451">
        <v>54694.182143999999</v>
      </c>
      <c r="AR903" s="451">
        <v>0.6028</v>
      </c>
    </row>
    <row r="904" spans="39:44">
      <c r="AM904" s="450">
        <v>45038</v>
      </c>
      <c r="AN904" s="451">
        <v>217.6</v>
      </c>
      <c r="AO904" s="451">
        <v>1772688</v>
      </c>
      <c r="AP904" s="451">
        <v>251.35194000000001</v>
      </c>
      <c r="AQ904" s="451">
        <v>54694.182143999999</v>
      </c>
      <c r="AR904" s="451">
        <v>0.6028</v>
      </c>
    </row>
    <row r="905" spans="39:44">
      <c r="AM905" s="450">
        <v>45037</v>
      </c>
      <c r="AN905" s="451">
        <v>216.92</v>
      </c>
      <c r="AO905" s="451">
        <v>2583777</v>
      </c>
      <c r="AP905" s="451">
        <v>251.35194000000001</v>
      </c>
      <c r="AQ905" s="451">
        <v>54523.262824799996</v>
      </c>
      <c r="AR905" s="451">
        <v>0.60089999999999999</v>
      </c>
    </row>
    <row r="906" spans="39:44">
      <c r="AM906" s="450">
        <v>45036</v>
      </c>
      <c r="AN906" s="451">
        <v>217.06</v>
      </c>
      <c r="AO906" s="451">
        <v>2190990</v>
      </c>
      <c r="AP906" s="451">
        <v>251.35194000000001</v>
      </c>
      <c r="AQ906" s="451">
        <v>54558.452096400004</v>
      </c>
      <c r="AR906" s="451">
        <v>0.60129999999999995</v>
      </c>
    </row>
    <row r="907" spans="39:44">
      <c r="AM907" s="450">
        <v>45035</v>
      </c>
      <c r="AN907" s="451">
        <v>219.83</v>
      </c>
      <c r="AO907" s="451">
        <v>2006873</v>
      </c>
      <c r="AP907" s="451">
        <v>251.35194000000001</v>
      </c>
      <c r="AQ907" s="451">
        <v>55254.696970200006</v>
      </c>
      <c r="AR907" s="451">
        <v>0.60899999999999999</v>
      </c>
    </row>
    <row r="908" spans="39:44">
      <c r="AM908" s="450">
        <v>45034</v>
      </c>
      <c r="AN908" s="451">
        <v>216.24</v>
      </c>
      <c r="AO908" s="451">
        <v>3336372</v>
      </c>
      <c r="AP908" s="451">
        <v>251.35194000000001</v>
      </c>
      <c r="AQ908" s="451">
        <v>54352.343505600002</v>
      </c>
      <c r="AR908" s="451">
        <v>0.59899999999999998</v>
      </c>
    </row>
    <row r="909" spans="39:44">
      <c r="AM909" s="450">
        <v>45033</v>
      </c>
      <c r="AN909" s="451">
        <v>220.31</v>
      </c>
      <c r="AO909" s="451">
        <v>12660474</v>
      </c>
      <c r="AP909" s="451">
        <v>251.35194000000001</v>
      </c>
      <c r="AQ909" s="451">
        <v>55375.345901400004</v>
      </c>
      <c r="AR909" s="451">
        <v>0.61029999999999995</v>
      </c>
    </row>
    <row r="910" spans="39:44">
      <c r="AM910" s="450">
        <v>45032</v>
      </c>
      <c r="AN910" s="451">
        <v>220.31</v>
      </c>
      <c r="AO910" s="451">
        <v>12660474</v>
      </c>
      <c r="AP910" s="451">
        <v>251.35194000000001</v>
      </c>
      <c r="AQ910" s="451">
        <v>55375.345901400004</v>
      </c>
      <c r="AR910" s="451">
        <v>0.61029999999999995</v>
      </c>
    </row>
    <row r="911" spans="39:44">
      <c r="AM911" s="450">
        <v>45031</v>
      </c>
      <c r="AN911" s="451">
        <v>220.31</v>
      </c>
      <c r="AO911" s="451">
        <v>12660474</v>
      </c>
      <c r="AP911" s="451">
        <v>251.35194000000001</v>
      </c>
      <c r="AQ911" s="451">
        <v>55375.345901400004</v>
      </c>
      <c r="AR911" s="451">
        <v>0.61029999999999995</v>
      </c>
    </row>
    <row r="912" spans="39:44">
      <c r="AM912" s="450">
        <v>45030</v>
      </c>
      <c r="AN912" s="451">
        <v>204.05</v>
      </c>
      <c r="AO912" s="451">
        <v>5147312</v>
      </c>
      <c r="AP912" s="451">
        <v>251.35194000000001</v>
      </c>
      <c r="AQ912" s="451">
        <v>51288.363357000002</v>
      </c>
      <c r="AR912" s="451">
        <v>0.56530000000000002</v>
      </c>
    </row>
    <row r="913" spans="39:44">
      <c r="AM913" s="450">
        <v>45029</v>
      </c>
      <c r="AN913" s="451">
        <v>195.3</v>
      </c>
      <c r="AO913" s="451">
        <v>2674290</v>
      </c>
      <c r="AP913" s="451">
        <v>252.39714000000001</v>
      </c>
      <c r="AQ913" s="451">
        <v>49293.161442000004</v>
      </c>
      <c r="AR913" s="451">
        <v>0.54100000000000004</v>
      </c>
    </row>
    <row r="914" spans="39:44">
      <c r="AM914" s="450">
        <v>45028</v>
      </c>
      <c r="AN914" s="451">
        <v>197.89</v>
      </c>
      <c r="AO914" s="451">
        <v>2582814</v>
      </c>
      <c r="AP914" s="451">
        <v>252.39714000000001</v>
      </c>
      <c r="AQ914" s="451">
        <v>49946.870034599997</v>
      </c>
      <c r="AR914" s="451">
        <v>0.54820000000000002</v>
      </c>
    </row>
    <row r="915" spans="39:44">
      <c r="AM915" s="450">
        <v>45027</v>
      </c>
      <c r="AN915" s="451">
        <v>197.39</v>
      </c>
      <c r="AO915" s="451">
        <v>2268127</v>
      </c>
      <c r="AP915" s="451">
        <v>252.39714000000001</v>
      </c>
      <c r="AQ915" s="451">
        <v>49820.671464599996</v>
      </c>
      <c r="AR915" s="451">
        <v>0.54679999999999995</v>
      </c>
    </row>
    <row r="916" spans="39:44">
      <c r="AM916" s="450">
        <v>45026</v>
      </c>
      <c r="AN916" s="451">
        <v>201.19</v>
      </c>
      <c r="AO916" s="451">
        <v>2537873</v>
      </c>
      <c r="AP916" s="451">
        <v>252.39714000000001</v>
      </c>
      <c r="AQ916" s="451">
        <v>50779.780596600001</v>
      </c>
      <c r="AR916" s="451">
        <v>0.55730000000000002</v>
      </c>
    </row>
    <row r="917" spans="39:44">
      <c r="AM917" s="450">
        <v>45025</v>
      </c>
      <c r="AN917" s="451">
        <v>201.19</v>
      </c>
      <c r="AO917" s="451">
        <v>2537873</v>
      </c>
      <c r="AP917" s="451">
        <v>252.39714000000001</v>
      </c>
      <c r="AQ917" s="451">
        <v>50779.780596600001</v>
      </c>
      <c r="AR917" s="451">
        <v>0.55730000000000002</v>
      </c>
    </row>
    <row r="918" spans="39:44">
      <c r="AM918" s="450">
        <v>45024</v>
      </c>
      <c r="AN918" s="451">
        <v>201.19</v>
      </c>
      <c r="AO918" s="451">
        <v>2537873</v>
      </c>
      <c r="AP918" s="451">
        <v>252.39714000000001</v>
      </c>
      <c r="AQ918" s="451">
        <v>50779.780596600001</v>
      </c>
      <c r="AR918" s="451">
        <v>0.55730000000000002</v>
      </c>
    </row>
    <row r="919" spans="39:44">
      <c r="AM919" s="450">
        <v>45023</v>
      </c>
      <c r="AN919" s="451">
        <v>207.83</v>
      </c>
      <c r="AO919" s="451">
        <v>1954685</v>
      </c>
      <c r="AP919" s="451">
        <v>252.39714000000001</v>
      </c>
      <c r="AQ919" s="451">
        <v>52455.697606200003</v>
      </c>
      <c r="AR919" s="451">
        <v>0.57569999999999999</v>
      </c>
    </row>
    <row r="920" spans="39:44">
      <c r="AM920" s="450">
        <v>45022</v>
      </c>
      <c r="AN920" s="451">
        <v>209.54</v>
      </c>
      <c r="AO920" s="451">
        <v>1073890</v>
      </c>
      <c r="AP920" s="451">
        <v>252.39714000000001</v>
      </c>
      <c r="AQ920" s="451">
        <v>52887.296715600001</v>
      </c>
      <c r="AR920" s="451">
        <v>0.58050000000000002</v>
      </c>
    </row>
    <row r="921" spans="39:44">
      <c r="AM921" s="450">
        <v>45021</v>
      </c>
      <c r="AN921" s="451">
        <v>206.32</v>
      </c>
      <c r="AO921" s="451">
        <v>1527138</v>
      </c>
      <c r="AP921" s="451">
        <v>252.39714000000001</v>
      </c>
      <c r="AQ921" s="451">
        <v>52074.577924799996</v>
      </c>
      <c r="AR921" s="451">
        <v>0.57150000000000001</v>
      </c>
    </row>
    <row r="922" spans="39:44">
      <c r="AM922" s="450">
        <v>45020</v>
      </c>
      <c r="AN922" s="451">
        <v>210.13</v>
      </c>
      <c r="AO922" s="451">
        <v>2148072</v>
      </c>
      <c r="AP922" s="451">
        <v>252.39714000000001</v>
      </c>
      <c r="AQ922" s="451">
        <v>53036.211028199999</v>
      </c>
      <c r="AR922" s="451">
        <v>0.58209999999999995</v>
      </c>
    </row>
    <row r="923" spans="39:44">
      <c r="AM923" s="450">
        <v>45019</v>
      </c>
      <c r="AN923" s="451">
        <v>209.08</v>
      </c>
      <c r="AO923" s="451">
        <v>1612507</v>
      </c>
      <c r="AP923" s="451">
        <v>252.39714000000001</v>
      </c>
      <c r="AQ923" s="451">
        <v>52771.194031200008</v>
      </c>
      <c r="AR923" s="451">
        <v>0.57920000000000005</v>
      </c>
    </row>
    <row r="924" spans="39:44">
      <c r="AM924" s="450">
        <v>45018</v>
      </c>
      <c r="AN924" s="451">
        <v>209.08</v>
      </c>
      <c r="AO924" s="451">
        <v>1612507</v>
      </c>
      <c r="AP924" s="451">
        <v>252.39714000000001</v>
      </c>
      <c r="AQ924" s="451">
        <v>52771.194031200008</v>
      </c>
      <c r="AR924" s="451">
        <v>0.57920000000000005</v>
      </c>
    </row>
    <row r="925" spans="39:44">
      <c r="AM925" s="450">
        <v>45017</v>
      </c>
      <c r="AN925" s="451">
        <v>209.08</v>
      </c>
      <c r="AO925" s="451">
        <v>1612507</v>
      </c>
      <c r="AP925" s="451">
        <v>252.39714000000001</v>
      </c>
      <c r="AQ925" s="451">
        <v>52771.194031200008</v>
      </c>
      <c r="AR925" s="451">
        <v>0.57920000000000005</v>
      </c>
    </row>
    <row r="926" spans="39:44">
      <c r="AM926" s="450">
        <v>45016</v>
      </c>
      <c r="AN926" s="451">
        <v>206.93</v>
      </c>
      <c r="AO926" s="451">
        <v>1092554</v>
      </c>
      <c r="AP926" s="451">
        <v>252.39714000000001</v>
      </c>
      <c r="AQ926" s="451">
        <v>52228.540180200005</v>
      </c>
      <c r="AR926" s="451">
        <v>0.57320000000000004</v>
      </c>
    </row>
    <row r="927" spans="39:44">
      <c r="AM927" s="450">
        <v>45015</v>
      </c>
      <c r="AN927" s="451">
        <v>204.33</v>
      </c>
      <c r="AO927" s="451">
        <v>1179821</v>
      </c>
      <c r="AP927" s="451">
        <v>252.39714000000001</v>
      </c>
      <c r="AQ927" s="451">
        <v>51572.307616200007</v>
      </c>
      <c r="AR927" s="451">
        <v>0.56599999999999995</v>
      </c>
    </row>
    <row r="928" spans="39:44">
      <c r="AM928" s="450">
        <v>45014</v>
      </c>
      <c r="AN928" s="451">
        <v>203.22</v>
      </c>
      <c r="AO928" s="451">
        <v>1464094</v>
      </c>
      <c r="AP928" s="451">
        <v>252.39714000000001</v>
      </c>
      <c r="AQ928" s="451">
        <v>51292.146790799998</v>
      </c>
      <c r="AR928" s="451">
        <v>0.56299999999999994</v>
      </c>
    </row>
    <row r="929" spans="39:44">
      <c r="AM929" s="450">
        <v>45013</v>
      </c>
      <c r="AN929" s="451">
        <v>204.06</v>
      </c>
      <c r="AO929" s="451">
        <v>1324195</v>
      </c>
      <c r="AP929" s="451">
        <v>252.39714000000001</v>
      </c>
      <c r="AQ929" s="451">
        <v>51504.1603884</v>
      </c>
      <c r="AR929" s="451">
        <v>0.56179999999999997</v>
      </c>
    </row>
    <row r="930" spans="39:44">
      <c r="AM930" s="450">
        <v>45012</v>
      </c>
      <c r="AN930" s="451">
        <v>203.28</v>
      </c>
      <c r="AO930" s="451">
        <v>1387626</v>
      </c>
      <c r="AP930" s="451">
        <v>252.39714000000001</v>
      </c>
      <c r="AQ930" s="451">
        <v>51307.290619200001</v>
      </c>
      <c r="AR930" s="451">
        <v>0.55959999999999999</v>
      </c>
    </row>
    <row r="931" spans="39:44">
      <c r="AM931" s="450">
        <v>45011</v>
      </c>
      <c r="AN931" s="451">
        <v>203.28</v>
      </c>
      <c r="AO931" s="451">
        <v>1387626</v>
      </c>
      <c r="AP931" s="451">
        <v>252.39714000000001</v>
      </c>
      <c r="AQ931" s="451">
        <v>51307.290619200001</v>
      </c>
      <c r="AR931" s="451">
        <v>0.55959999999999999</v>
      </c>
    </row>
    <row r="932" spans="39:44">
      <c r="AM932" s="450">
        <v>45010</v>
      </c>
      <c r="AN932" s="451">
        <v>203.28</v>
      </c>
      <c r="AO932" s="451">
        <v>1387626</v>
      </c>
      <c r="AP932" s="451">
        <v>252.39714000000001</v>
      </c>
      <c r="AQ932" s="451">
        <v>51307.290619200001</v>
      </c>
      <c r="AR932" s="451">
        <v>0.55959999999999999</v>
      </c>
    </row>
    <row r="933" spans="39:44">
      <c r="AM933" s="450">
        <v>45009</v>
      </c>
      <c r="AN933" s="451">
        <v>205.18</v>
      </c>
      <c r="AO933" s="451">
        <v>1344966</v>
      </c>
      <c r="AP933" s="451">
        <v>252.39714000000001</v>
      </c>
      <c r="AQ933" s="451">
        <v>51786.8451852</v>
      </c>
      <c r="AR933" s="451">
        <v>0.56489999999999996</v>
      </c>
    </row>
    <row r="934" spans="39:44">
      <c r="AM934" s="450">
        <v>45008</v>
      </c>
      <c r="AN934" s="451">
        <v>202.83</v>
      </c>
      <c r="AO934" s="451">
        <v>2388936</v>
      </c>
      <c r="AP934" s="451">
        <v>252.39714000000001</v>
      </c>
      <c r="AQ934" s="451">
        <v>51193.711906200006</v>
      </c>
      <c r="AR934" s="451">
        <v>0.55840000000000001</v>
      </c>
    </row>
    <row r="935" spans="39:44">
      <c r="AM935" s="450">
        <v>45007</v>
      </c>
      <c r="AN935" s="451">
        <v>205.65</v>
      </c>
      <c r="AO935" s="451">
        <v>1715949</v>
      </c>
      <c r="AP935" s="451">
        <v>252.39714000000001</v>
      </c>
      <c r="AQ935" s="451">
        <v>51905.471841000006</v>
      </c>
      <c r="AR935" s="451">
        <v>0.56610000000000005</v>
      </c>
    </row>
    <row r="936" spans="39:44">
      <c r="AM936" s="450">
        <v>45006</v>
      </c>
      <c r="AN936" s="451">
        <v>210.3</v>
      </c>
      <c r="AO936" s="451">
        <v>993348</v>
      </c>
      <c r="AP936" s="451">
        <v>252.39714000000001</v>
      </c>
      <c r="AQ936" s="451">
        <v>53079.118542000004</v>
      </c>
      <c r="AR936" s="451">
        <v>0.57889999999999997</v>
      </c>
    </row>
    <row r="937" spans="39:44">
      <c r="AM937" s="450">
        <v>45005</v>
      </c>
      <c r="AN937" s="451">
        <v>210.3</v>
      </c>
      <c r="AO937" s="451">
        <v>993348</v>
      </c>
      <c r="AP937" s="451">
        <v>252.39714000000001</v>
      </c>
      <c r="AQ937" s="451">
        <v>53079.118542000004</v>
      </c>
      <c r="AR937" s="451">
        <v>0.57889999999999997</v>
      </c>
    </row>
    <row r="938" spans="39:44">
      <c r="AM938" s="450">
        <v>45004</v>
      </c>
      <c r="AN938" s="451">
        <v>210.3</v>
      </c>
      <c r="AO938" s="451">
        <v>993348</v>
      </c>
      <c r="AP938" s="451">
        <v>252.39714000000001</v>
      </c>
      <c r="AQ938" s="451">
        <v>53079.118542000004</v>
      </c>
      <c r="AR938" s="451">
        <v>0.57889999999999997</v>
      </c>
    </row>
    <row r="939" spans="39:44">
      <c r="AM939" s="450">
        <v>45003</v>
      </c>
      <c r="AN939" s="451">
        <v>210.3</v>
      </c>
      <c r="AO939" s="451">
        <v>993348</v>
      </c>
      <c r="AP939" s="451">
        <v>252.39714000000001</v>
      </c>
      <c r="AQ939" s="451">
        <v>53079.118542000004</v>
      </c>
      <c r="AR939" s="451">
        <v>0.57889999999999997</v>
      </c>
    </row>
    <row r="940" spans="39:44">
      <c r="AM940" s="450">
        <v>45002</v>
      </c>
      <c r="AN940" s="451">
        <v>211.67</v>
      </c>
      <c r="AO940" s="451">
        <v>1278571</v>
      </c>
      <c r="AP940" s="451">
        <v>252.39714000000001</v>
      </c>
      <c r="AQ940" s="451">
        <v>53424.902623800001</v>
      </c>
      <c r="AR940" s="451">
        <v>0.5827</v>
      </c>
    </row>
    <row r="941" spans="39:44">
      <c r="AM941" s="450">
        <v>45001</v>
      </c>
      <c r="AN941" s="451">
        <v>213.04</v>
      </c>
      <c r="AO941" s="451">
        <v>953149</v>
      </c>
      <c r="AP941" s="451">
        <v>252.39714000000001</v>
      </c>
      <c r="AQ941" s="451">
        <v>53770.686705599997</v>
      </c>
      <c r="AR941" s="451">
        <v>0.58650000000000002</v>
      </c>
    </row>
    <row r="942" spans="39:44">
      <c r="AM942" s="450">
        <v>45000</v>
      </c>
      <c r="AN942" s="451">
        <v>212.67</v>
      </c>
      <c r="AO942" s="451">
        <v>1101959</v>
      </c>
      <c r="AP942" s="451">
        <v>252.39714000000001</v>
      </c>
      <c r="AQ942" s="451">
        <v>53677.299763800002</v>
      </c>
      <c r="AR942" s="451">
        <v>0.58550000000000002</v>
      </c>
    </row>
    <row r="943" spans="39:44">
      <c r="AM943" s="450">
        <v>44999</v>
      </c>
      <c r="AN943" s="451">
        <v>211.66</v>
      </c>
      <c r="AO943" s="451">
        <v>1159559</v>
      </c>
      <c r="AP943" s="451">
        <v>252.39714000000001</v>
      </c>
      <c r="AQ943" s="451">
        <v>53422.378652400002</v>
      </c>
      <c r="AR943" s="451">
        <v>0.5827</v>
      </c>
    </row>
    <row r="944" spans="39:44">
      <c r="AM944" s="450">
        <v>44998</v>
      </c>
      <c r="AN944" s="451">
        <v>209.37</v>
      </c>
      <c r="AO944" s="451">
        <v>1286719</v>
      </c>
      <c r="AP944" s="451">
        <v>252.39714000000001</v>
      </c>
      <c r="AQ944" s="451">
        <v>52844.389201800004</v>
      </c>
      <c r="AR944" s="451">
        <v>0.57640000000000002</v>
      </c>
    </row>
    <row r="945" spans="39:44">
      <c r="AM945" s="450">
        <v>44997</v>
      </c>
      <c r="AN945" s="451">
        <v>209.37</v>
      </c>
      <c r="AO945" s="451">
        <v>1286719</v>
      </c>
      <c r="AP945" s="451">
        <v>252.39714000000001</v>
      </c>
      <c r="AQ945" s="451">
        <v>52844.389201800004</v>
      </c>
      <c r="AR945" s="451">
        <v>0.57640000000000002</v>
      </c>
    </row>
    <row r="946" spans="39:44">
      <c r="AM946" s="450">
        <v>44996</v>
      </c>
      <c r="AN946" s="451">
        <v>209.37</v>
      </c>
      <c r="AO946" s="451">
        <v>1286719</v>
      </c>
      <c r="AP946" s="451">
        <v>252.39714000000001</v>
      </c>
      <c r="AQ946" s="451">
        <v>52844.389201800004</v>
      </c>
      <c r="AR946" s="451">
        <v>0.57640000000000002</v>
      </c>
    </row>
    <row r="947" spans="39:44">
      <c r="AM947" s="450">
        <v>44995</v>
      </c>
      <c r="AN947" s="451">
        <v>208.62</v>
      </c>
      <c r="AO947" s="451">
        <v>1245365</v>
      </c>
      <c r="AP947" s="451">
        <v>252.39714000000001</v>
      </c>
      <c r="AQ947" s="451">
        <v>52655.0913468</v>
      </c>
      <c r="AR947" s="451">
        <v>0.57430000000000003</v>
      </c>
    </row>
    <row r="948" spans="39:44">
      <c r="AM948" s="450">
        <v>44994</v>
      </c>
      <c r="AN948" s="451">
        <v>209.48</v>
      </c>
      <c r="AO948" s="451">
        <v>1425860</v>
      </c>
      <c r="AP948" s="451">
        <v>252.39714000000001</v>
      </c>
      <c r="AQ948" s="451">
        <v>52872.152887199998</v>
      </c>
      <c r="AR948" s="451">
        <v>0.57669999999999999</v>
      </c>
    </row>
    <row r="949" spans="39:44">
      <c r="AM949" s="450">
        <v>44993</v>
      </c>
      <c r="AN949" s="451">
        <v>209.91</v>
      </c>
      <c r="AO949" s="451">
        <v>1822296</v>
      </c>
      <c r="AP949" s="451">
        <v>252.39714000000001</v>
      </c>
      <c r="AQ949" s="451">
        <v>52980.683657399997</v>
      </c>
      <c r="AR949" s="451">
        <v>0.57789999999999997</v>
      </c>
    </row>
    <row r="950" spans="39:44">
      <c r="AM950" s="450">
        <v>44992</v>
      </c>
      <c r="AN950" s="451">
        <v>210.59</v>
      </c>
      <c r="AO950" s="451">
        <v>1890037</v>
      </c>
      <c r="AP950" s="451">
        <v>252.39714000000001</v>
      </c>
      <c r="AQ950" s="451">
        <v>53152.3137126</v>
      </c>
      <c r="AR950" s="451">
        <v>0.57969999999999999</v>
      </c>
    </row>
    <row r="951" spans="39:44">
      <c r="AM951" s="450">
        <v>44991</v>
      </c>
      <c r="AN951" s="451">
        <v>214.67</v>
      </c>
      <c r="AO951" s="451">
        <v>2255091</v>
      </c>
      <c r="AP951" s="451">
        <v>252.39714000000001</v>
      </c>
      <c r="AQ951" s="451">
        <v>54182.094043799996</v>
      </c>
      <c r="AR951" s="451">
        <v>0.59099999999999997</v>
      </c>
    </row>
    <row r="952" spans="39:44">
      <c r="AM952" s="450">
        <v>44990</v>
      </c>
      <c r="AN952" s="451">
        <v>214.67</v>
      </c>
      <c r="AO952" s="451">
        <v>2255091</v>
      </c>
      <c r="AP952" s="451">
        <v>252.39714000000001</v>
      </c>
      <c r="AQ952" s="451">
        <v>54182.094043799996</v>
      </c>
      <c r="AR952" s="451">
        <v>0.59099999999999997</v>
      </c>
    </row>
    <row r="953" spans="39:44">
      <c r="AM953" s="450">
        <v>44989</v>
      </c>
      <c r="AN953" s="451">
        <v>214.67</v>
      </c>
      <c r="AO953" s="451">
        <v>2255091</v>
      </c>
      <c r="AP953" s="451">
        <v>252.39714000000001</v>
      </c>
      <c r="AQ953" s="451">
        <v>54182.094043799996</v>
      </c>
      <c r="AR953" s="451">
        <v>0.59099999999999997</v>
      </c>
    </row>
    <row r="954" spans="39:44">
      <c r="AM954" s="450">
        <v>44988</v>
      </c>
      <c r="AN954" s="451">
        <v>214.5</v>
      </c>
      <c r="AO954" s="451">
        <v>3836529</v>
      </c>
      <c r="AP954" s="451">
        <v>252.39714000000001</v>
      </c>
      <c r="AQ954" s="451">
        <v>54139.186529999999</v>
      </c>
      <c r="AR954" s="451">
        <v>0.59050000000000002</v>
      </c>
    </row>
    <row r="955" spans="39:44">
      <c r="AM955" s="450">
        <v>44987</v>
      </c>
      <c r="AN955" s="451">
        <v>202.11</v>
      </c>
      <c r="AO955" s="451">
        <v>5262068</v>
      </c>
      <c r="AP955" s="451">
        <v>252.39714000000001</v>
      </c>
      <c r="AQ955" s="451">
        <v>51011.985965400003</v>
      </c>
      <c r="AR955" s="451">
        <v>0.55640000000000001</v>
      </c>
    </row>
    <row r="956" spans="39:44">
      <c r="AM956" s="450">
        <v>44986</v>
      </c>
      <c r="AN956" s="451">
        <v>193.86</v>
      </c>
      <c r="AO956" s="451">
        <v>2423172</v>
      </c>
      <c r="AP956" s="451">
        <v>252.39714000000001</v>
      </c>
      <c r="AQ956" s="451">
        <v>48929.709560400006</v>
      </c>
      <c r="AR956" s="451">
        <v>0.53369999999999995</v>
      </c>
    </row>
    <row r="957" spans="39:44">
      <c r="AM957" s="450">
        <v>44985</v>
      </c>
      <c r="AN957" s="451">
        <v>184.08</v>
      </c>
      <c r="AO957" s="451">
        <v>2091759</v>
      </c>
      <c r="AP957" s="451">
        <v>252.39714000000001</v>
      </c>
      <c r="AQ957" s="451">
        <v>46461.265531200006</v>
      </c>
      <c r="AR957" s="451">
        <v>0.50680000000000003</v>
      </c>
    </row>
    <row r="958" spans="39:44">
      <c r="AM958" s="450">
        <v>44984</v>
      </c>
      <c r="AN958" s="451">
        <v>190.56</v>
      </c>
      <c r="AO958" s="451">
        <v>1435920</v>
      </c>
      <c r="AP958" s="451">
        <v>252.39714000000001</v>
      </c>
      <c r="AQ958" s="451">
        <v>48096.798998400001</v>
      </c>
      <c r="AR958" s="451">
        <v>0.52459999999999996</v>
      </c>
    </row>
    <row r="959" spans="39:44">
      <c r="AM959" s="450">
        <v>44983</v>
      </c>
      <c r="AN959" s="451">
        <v>190.56</v>
      </c>
      <c r="AO959" s="451">
        <v>1435920</v>
      </c>
      <c r="AP959" s="451">
        <v>252.39714000000001</v>
      </c>
      <c r="AQ959" s="451">
        <v>48096.798998400001</v>
      </c>
      <c r="AR959" s="451">
        <v>0.52459999999999996</v>
      </c>
    </row>
    <row r="960" spans="39:44">
      <c r="AM960" s="450">
        <v>44982</v>
      </c>
      <c r="AN960" s="451">
        <v>190.56</v>
      </c>
      <c r="AO960" s="451">
        <v>1435920</v>
      </c>
      <c r="AP960" s="451">
        <v>252.39714000000001</v>
      </c>
      <c r="AQ960" s="451">
        <v>48096.798998400001</v>
      </c>
      <c r="AR960" s="451">
        <v>0.52459999999999996</v>
      </c>
    </row>
    <row r="961" spans="39:44">
      <c r="AM961" s="450">
        <v>44981</v>
      </c>
      <c r="AN961" s="451">
        <v>190.14</v>
      </c>
      <c r="AO961" s="451">
        <v>1045755</v>
      </c>
      <c r="AP961" s="451">
        <v>252.39714000000001</v>
      </c>
      <c r="AQ961" s="451">
        <v>47990.7921996</v>
      </c>
      <c r="AR961" s="451">
        <v>0.52339999999999998</v>
      </c>
    </row>
    <row r="962" spans="39:44">
      <c r="AM962" s="450">
        <v>44980</v>
      </c>
      <c r="AN962" s="451">
        <v>187.81</v>
      </c>
      <c r="AO962" s="451">
        <v>1020614</v>
      </c>
      <c r="AP962" s="451">
        <v>252.39714000000001</v>
      </c>
      <c r="AQ962" s="451">
        <v>47402.706863400002</v>
      </c>
      <c r="AR962" s="451">
        <v>0.51700000000000002</v>
      </c>
    </row>
    <row r="963" spans="39:44">
      <c r="AM963" s="450">
        <v>44979</v>
      </c>
      <c r="AN963" s="451">
        <v>189.25</v>
      </c>
      <c r="AO963" s="451">
        <v>1238866</v>
      </c>
      <c r="AP963" s="451">
        <v>252.39714000000001</v>
      </c>
      <c r="AQ963" s="451">
        <v>47766.158745000001</v>
      </c>
      <c r="AR963" s="451">
        <v>0.52100000000000002</v>
      </c>
    </row>
    <row r="964" spans="39:44">
      <c r="AM964" s="450">
        <v>44978</v>
      </c>
      <c r="AN964" s="451">
        <v>191.15</v>
      </c>
      <c r="AO964" s="451">
        <v>1642266</v>
      </c>
      <c r="AP964" s="451">
        <v>252.39714000000001</v>
      </c>
      <c r="AQ964" s="451">
        <v>48245.713311</v>
      </c>
      <c r="AR964" s="451">
        <v>0.5262</v>
      </c>
    </row>
    <row r="965" spans="39:44">
      <c r="AM965" s="450">
        <v>44977</v>
      </c>
      <c r="AN965" s="451">
        <v>186.88</v>
      </c>
      <c r="AO965" s="451">
        <v>1595873</v>
      </c>
      <c r="AP965" s="451">
        <v>252.39714000000001</v>
      </c>
      <c r="AQ965" s="451">
        <v>47167.977523200003</v>
      </c>
      <c r="AR965" s="451">
        <v>0.51449999999999996</v>
      </c>
    </row>
    <row r="966" spans="39:44">
      <c r="AM966" s="450">
        <v>44976</v>
      </c>
      <c r="AN966" s="451">
        <v>186.88</v>
      </c>
      <c r="AO966" s="451">
        <v>1595873</v>
      </c>
      <c r="AP966" s="451">
        <v>252.39714000000001</v>
      </c>
      <c r="AQ966" s="451">
        <v>47167.977523200003</v>
      </c>
      <c r="AR966" s="451">
        <v>0.51449999999999996</v>
      </c>
    </row>
    <row r="967" spans="39:44">
      <c r="AM967" s="450">
        <v>44975</v>
      </c>
      <c r="AN967" s="451">
        <v>186.88</v>
      </c>
      <c r="AO967" s="451">
        <v>1595873</v>
      </c>
      <c r="AP967" s="451">
        <v>252.39714000000001</v>
      </c>
      <c r="AQ967" s="451">
        <v>47167.977523200003</v>
      </c>
      <c r="AR967" s="451">
        <v>0.51449999999999996</v>
      </c>
    </row>
    <row r="968" spans="39:44">
      <c r="AM968" s="450">
        <v>44974</v>
      </c>
      <c r="AN968" s="451">
        <v>184.23</v>
      </c>
      <c r="AO968" s="451">
        <v>1321238</v>
      </c>
      <c r="AP968" s="451">
        <v>252.39714000000001</v>
      </c>
      <c r="AQ968" s="451">
        <v>46499.1251022</v>
      </c>
      <c r="AR968" s="451">
        <v>0.50719999999999998</v>
      </c>
    </row>
    <row r="969" spans="39:44">
      <c r="AM969" s="450">
        <v>44973</v>
      </c>
      <c r="AN969" s="451">
        <v>187.67</v>
      </c>
      <c r="AO969" s="451">
        <v>1337994</v>
      </c>
      <c r="AP969" s="451">
        <v>252.39714000000001</v>
      </c>
      <c r="AQ969" s="451">
        <v>47367.3712638</v>
      </c>
      <c r="AR969" s="451">
        <v>0.51659999999999995</v>
      </c>
    </row>
    <row r="970" spans="39:44">
      <c r="AM970" s="450">
        <v>44972</v>
      </c>
      <c r="AN970" s="451">
        <v>188.13</v>
      </c>
      <c r="AO970" s="451">
        <v>1853546</v>
      </c>
      <c r="AP970" s="451">
        <v>252.39714000000001</v>
      </c>
      <c r="AQ970" s="451">
        <v>47483.4739482</v>
      </c>
      <c r="AR970" s="451">
        <v>0.51790000000000003</v>
      </c>
    </row>
    <row r="971" spans="39:44">
      <c r="AM971" s="450">
        <v>44971</v>
      </c>
      <c r="AN971" s="451">
        <v>188.63</v>
      </c>
      <c r="AO971" s="451">
        <v>1343863</v>
      </c>
      <c r="AP971" s="451">
        <v>252.39714000000001</v>
      </c>
      <c r="AQ971" s="451">
        <v>47609.672518200001</v>
      </c>
      <c r="AR971" s="451">
        <v>0.51929999999999998</v>
      </c>
    </row>
    <row r="972" spans="39:44">
      <c r="AM972" s="450">
        <v>44970</v>
      </c>
      <c r="AN972" s="451">
        <v>188.63</v>
      </c>
      <c r="AO972" s="451">
        <v>1343863</v>
      </c>
      <c r="AP972" s="451">
        <v>252.39714000000001</v>
      </c>
      <c r="AQ972" s="451">
        <v>47609.672518200001</v>
      </c>
      <c r="AR972" s="451">
        <v>0.51929999999999998</v>
      </c>
    </row>
    <row r="973" spans="39:44">
      <c r="AM973" s="450">
        <v>44969</v>
      </c>
      <c r="AN973" s="451">
        <v>188.63</v>
      </c>
      <c r="AO973" s="451">
        <v>1343863</v>
      </c>
      <c r="AP973" s="451">
        <v>252.39714000000001</v>
      </c>
      <c r="AQ973" s="451">
        <v>47609.672518200001</v>
      </c>
      <c r="AR973" s="451">
        <v>0.51929999999999998</v>
      </c>
    </row>
    <row r="974" spans="39:44">
      <c r="AM974" s="450">
        <v>44968</v>
      </c>
      <c r="AN974" s="451">
        <v>188.63</v>
      </c>
      <c r="AO974" s="451">
        <v>1343863</v>
      </c>
      <c r="AP974" s="451">
        <v>252.39714000000001</v>
      </c>
      <c r="AQ974" s="451">
        <v>47609.672518200001</v>
      </c>
      <c r="AR974" s="451">
        <v>0.51929999999999998</v>
      </c>
    </row>
    <row r="975" spans="39:44">
      <c r="AM975" s="450">
        <v>44967</v>
      </c>
      <c r="AN975" s="451">
        <v>191.89</v>
      </c>
      <c r="AO975" s="451">
        <v>1560732</v>
      </c>
      <c r="AP975" s="451">
        <v>252.39714000000001</v>
      </c>
      <c r="AQ975" s="451">
        <v>48432.487194599998</v>
      </c>
      <c r="AR975" s="451">
        <v>0.52829999999999999</v>
      </c>
    </row>
    <row r="976" spans="39:44">
      <c r="AM976" s="450">
        <v>44966</v>
      </c>
      <c r="AN976" s="451">
        <v>192.2</v>
      </c>
      <c r="AO976" s="451">
        <v>1913178</v>
      </c>
      <c r="AP976" s="451">
        <v>252.39714000000001</v>
      </c>
      <c r="AQ976" s="451">
        <v>48510.730307999998</v>
      </c>
      <c r="AR976" s="451">
        <v>0.52910000000000001</v>
      </c>
    </row>
    <row r="977" spans="39:44">
      <c r="AM977" s="450">
        <v>44965</v>
      </c>
      <c r="AN977" s="451">
        <v>188.74</v>
      </c>
      <c r="AO977" s="451">
        <v>1694376</v>
      </c>
      <c r="AP977" s="451">
        <v>252.39714000000001</v>
      </c>
      <c r="AQ977" s="451">
        <v>47637.436203600002</v>
      </c>
      <c r="AR977" s="451">
        <v>0.51959999999999995</v>
      </c>
    </row>
    <row r="978" spans="39:44">
      <c r="AM978" s="450">
        <v>44964</v>
      </c>
      <c r="AN978" s="451">
        <v>189.74</v>
      </c>
      <c r="AO978" s="451">
        <v>2894256</v>
      </c>
      <c r="AP978" s="451">
        <v>252.39714000000001</v>
      </c>
      <c r="AQ978" s="451">
        <v>47889.833343600003</v>
      </c>
      <c r="AR978" s="451">
        <v>0.52229999999999999</v>
      </c>
    </row>
    <row r="979" spans="39:44">
      <c r="AM979" s="450">
        <v>44963</v>
      </c>
      <c r="AN979" s="451">
        <v>185.77</v>
      </c>
      <c r="AO979" s="451">
        <v>2039639</v>
      </c>
      <c r="AP979" s="451">
        <v>252.39714000000001</v>
      </c>
      <c r="AQ979" s="451">
        <v>46887.816697800001</v>
      </c>
      <c r="AR979" s="451">
        <v>0.51139999999999997</v>
      </c>
    </row>
    <row r="980" spans="39:44">
      <c r="AM980" s="450">
        <v>44962</v>
      </c>
      <c r="AN980" s="451">
        <v>185.77</v>
      </c>
      <c r="AO980" s="451">
        <v>2039639</v>
      </c>
      <c r="AP980" s="451">
        <v>252.39714000000001</v>
      </c>
      <c r="AQ980" s="451">
        <v>46887.816697800001</v>
      </c>
      <c r="AR980" s="451">
        <v>0.51139999999999997</v>
      </c>
    </row>
    <row r="981" spans="39:44">
      <c r="AM981" s="450">
        <v>44961</v>
      </c>
      <c r="AN981" s="451">
        <v>185.77</v>
      </c>
      <c r="AO981" s="451">
        <v>2039639</v>
      </c>
      <c r="AP981" s="451">
        <v>252.39714000000001</v>
      </c>
      <c r="AQ981" s="451">
        <v>46887.816697800001</v>
      </c>
      <c r="AR981" s="451">
        <v>0.51139999999999997</v>
      </c>
    </row>
    <row r="982" spans="39:44">
      <c r="AM982" s="450">
        <v>44960</v>
      </c>
      <c r="AN982" s="451">
        <v>181.28</v>
      </c>
      <c r="AO982" s="451">
        <v>2441705</v>
      </c>
      <c r="AP982" s="451">
        <v>252.39714000000001</v>
      </c>
      <c r="AQ982" s="451">
        <v>45754.553539200002</v>
      </c>
      <c r="AR982" s="451">
        <v>0.49909999999999999</v>
      </c>
    </row>
    <row r="983" spans="39:44">
      <c r="AM983" s="450">
        <v>44959</v>
      </c>
      <c r="AN983" s="451">
        <v>181.45</v>
      </c>
      <c r="AO983" s="451">
        <v>2286168</v>
      </c>
      <c r="AP983" s="451">
        <v>252.39714000000001</v>
      </c>
      <c r="AQ983" s="451">
        <v>45797.461052999999</v>
      </c>
      <c r="AR983" s="451">
        <v>0.4995</v>
      </c>
    </row>
    <row r="984" spans="39:44">
      <c r="AM984" s="450">
        <v>44958</v>
      </c>
      <c r="AN984" s="451">
        <v>177.27</v>
      </c>
      <c r="AO984" s="451">
        <v>2193929</v>
      </c>
      <c r="AP984" s="451">
        <v>252.39714000000001</v>
      </c>
      <c r="AQ984" s="451">
        <v>44742.441007800007</v>
      </c>
      <c r="AR984" s="451">
        <v>0.48799999999999999</v>
      </c>
    </row>
    <row r="985" spans="39:44">
      <c r="AM985" s="450">
        <v>44957</v>
      </c>
      <c r="AN985" s="451">
        <v>173.2</v>
      </c>
      <c r="AO985" s="451">
        <v>1558536</v>
      </c>
      <c r="AP985" s="451">
        <v>252.39714000000001</v>
      </c>
      <c r="AQ985" s="451">
        <v>43715.184647999995</v>
      </c>
      <c r="AR985" s="451">
        <v>0.4768</v>
      </c>
    </row>
    <row r="986" spans="39:44">
      <c r="AM986" s="450">
        <v>44956</v>
      </c>
      <c r="AN986" s="451">
        <v>173.2</v>
      </c>
      <c r="AO986" s="451">
        <v>1558536</v>
      </c>
      <c r="AP986" s="451">
        <v>252.39714000000001</v>
      </c>
      <c r="AQ986" s="451">
        <v>43715.184647999995</v>
      </c>
      <c r="AR986" s="451">
        <v>0.4768</v>
      </c>
    </row>
    <row r="987" spans="39:44">
      <c r="AM987" s="450">
        <v>44955</v>
      </c>
      <c r="AN987" s="451">
        <v>173.2</v>
      </c>
      <c r="AO987" s="451">
        <v>1558536</v>
      </c>
      <c r="AP987" s="451">
        <v>252.39714000000001</v>
      </c>
      <c r="AQ987" s="451">
        <v>43715.184647999995</v>
      </c>
      <c r="AR987" s="451">
        <v>0.4768</v>
      </c>
    </row>
    <row r="988" spans="39:44">
      <c r="AM988" s="450">
        <v>44954</v>
      </c>
      <c r="AN988" s="451">
        <v>173.2</v>
      </c>
      <c r="AO988" s="451">
        <v>1558536</v>
      </c>
      <c r="AP988" s="451">
        <v>252.39714000000001</v>
      </c>
      <c r="AQ988" s="451">
        <v>43715.184647999995</v>
      </c>
      <c r="AR988" s="451">
        <v>0.4768</v>
      </c>
    </row>
    <row r="989" spans="39:44">
      <c r="AM989" s="450">
        <v>44953</v>
      </c>
      <c r="AN989" s="451">
        <v>175.55</v>
      </c>
      <c r="AO989" s="451">
        <v>1363011</v>
      </c>
      <c r="AP989" s="451">
        <v>252.39714000000001</v>
      </c>
      <c r="AQ989" s="451">
        <v>44308.317927000004</v>
      </c>
      <c r="AR989" s="451">
        <v>0.48330000000000001</v>
      </c>
    </row>
    <row r="990" spans="39:44">
      <c r="AM990" s="450">
        <v>44952</v>
      </c>
      <c r="AN990" s="451">
        <v>173.05</v>
      </c>
      <c r="AO990" s="451">
        <v>1705229</v>
      </c>
      <c r="AP990" s="451">
        <v>252.39714000000001</v>
      </c>
      <c r="AQ990" s="451">
        <v>43677.325077000001</v>
      </c>
      <c r="AR990" s="451">
        <v>0.47639999999999999</v>
      </c>
    </row>
    <row r="991" spans="39:44">
      <c r="AM991" s="450">
        <v>44951</v>
      </c>
      <c r="AN991" s="451">
        <v>177.05</v>
      </c>
      <c r="AO991" s="451">
        <v>1936799</v>
      </c>
      <c r="AP991" s="451">
        <v>252.39714000000001</v>
      </c>
      <c r="AQ991" s="451">
        <v>44686.913637000005</v>
      </c>
      <c r="AR991" s="451">
        <v>0.4874</v>
      </c>
    </row>
    <row r="992" spans="39:44">
      <c r="AM992" s="450">
        <v>44950</v>
      </c>
      <c r="AN992" s="451">
        <v>175.93</v>
      </c>
      <c r="AO992" s="451">
        <v>3035904</v>
      </c>
      <c r="AP992" s="451">
        <v>252.39714000000001</v>
      </c>
      <c r="AQ992" s="451">
        <v>44404.228840200005</v>
      </c>
      <c r="AR992" s="451">
        <v>0.48430000000000001</v>
      </c>
    </row>
    <row r="993" spans="39:44">
      <c r="AM993" s="450">
        <v>44949</v>
      </c>
      <c r="AN993" s="451">
        <v>175.93</v>
      </c>
      <c r="AO993" s="451">
        <v>3035904</v>
      </c>
      <c r="AP993" s="451">
        <v>252.39714000000001</v>
      </c>
      <c r="AQ993" s="451">
        <v>44404.228840200005</v>
      </c>
      <c r="AR993" s="451">
        <v>0.48430000000000001</v>
      </c>
    </row>
    <row r="994" spans="39:44">
      <c r="AM994" s="450">
        <v>44948</v>
      </c>
      <c r="AN994" s="451">
        <v>175.93</v>
      </c>
      <c r="AO994" s="451">
        <v>3035904</v>
      </c>
      <c r="AP994" s="451">
        <v>252.39714000000001</v>
      </c>
      <c r="AQ994" s="451">
        <v>44404.228840200005</v>
      </c>
      <c r="AR994" s="451">
        <v>0.48430000000000001</v>
      </c>
    </row>
    <row r="995" spans="39:44">
      <c r="AM995" s="450">
        <v>44947</v>
      </c>
      <c r="AN995" s="451">
        <v>175.93</v>
      </c>
      <c r="AO995" s="451">
        <v>3035904</v>
      </c>
      <c r="AP995" s="451">
        <v>252.39714000000001</v>
      </c>
      <c r="AQ995" s="451">
        <v>44404.228840200005</v>
      </c>
      <c r="AR995" s="451">
        <v>0.48430000000000001</v>
      </c>
    </row>
    <row r="996" spans="39:44">
      <c r="AM996" s="450">
        <v>44946</v>
      </c>
      <c r="AN996" s="451">
        <v>175.69</v>
      </c>
      <c r="AO996" s="451">
        <v>5122853</v>
      </c>
      <c r="AP996" s="451">
        <v>252.39714000000001</v>
      </c>
      <c r="AQ996" s="451">
        <v>44343.653526599999</v>
      </c>
      <c r="AR996" s="451">
        <v>0.48370000000000002</v>
      </c>
    </row>
    <row r="997" spans="39:44">
      <c r="AM997" s="450">
        <v>44945</v>
      </c>
      <c r="AN997" s="451">
        <v>169.99</v>
      </c>
      <c r="AO997" s="451">
        <v>7904800</v>
      </c>
      <c r="AP997" s="451">
        <v>252.39714000000001</v>
      </c>
      <c r="AQ997" s="451">
        <v>42904.989828600003</v>
      </c>
      <c r="AR997" s="451">
        <v>0.46800000000000003</v>
      </c>
    </row>
    <row r="998" spans="39:44">
      <c r="AM998" s="450">
        <v>44944</v>
      </c>
      <c r="AN998" s="451">
        <v>164.35</v>
      </c>
      <c r="AO998" s="451">
        <v>5451448</v>
      </c>
      <c r="AP998" s="451">
        <v>252.39714000000001</v>
      </c>
      <c r="AQ998" s="451">
        <v>41481.469959000002</v>
      </c>
      <c r="AR998" s="451">
        <v>0.45240000000000002</v>
      </c>
    </row>
    <row r="999" spans="39:44">
      <c r="AM999" s="450">
        <v>44943</v>
      </c>
      <c r="AN999" s="451">
        <v>168.78</v>
      </c>
      <c r="AO999" s="451">
        <v>2783770</v>
      </c>
      <c r="AP999" s="451">
        <v>260.21978999999999</v>
      </c>
      <c r="AQ999" s="451">
        <v>43919.896156199997</v>
      </c>
      <c r="AR999" s="451">
        <v>0.46460000000000001</v>
      </c>
    </row>
    <row r="1000" spans="39:44">
      <c r="AM1000" s="450">
        <v>44942</v>
      </c>
      <c r="AN1000" s="451">
        <v>171.72</v>
      </c>
      <c r="AO1000" s="451">
        <v>3383692</v>
      </c>
      <c r="AP1000" s="451">
        <v>260.21978999999999</v>
      </c>
      <c r="AQ1000" s="451">
        <v>44684.9423388</v>
      </c>
      <c r="AR1000" s="451">
        <v>0.47270000000000001</v>
      </c>
    </row>
    <row r="1001" spans="39:44">
      <c r="AM1001" s="450">
        <v>44941</v>
      </c>
      <c r="AN1001" s="451">
        <v>171.72</v>
      </c>
      <c r="AO1001" s="451">
        <v>3383692</v>
      </c>
      <c r="AP1001" s="451">
        <v>260.21978999999999</v>
      </c>
      <c r="AQ1001" s="451">
        <v>44684.9423388</v>
      </c>
      <c r="AR1001" s="451">
        <v>0.47270000000000001</v>
      </c>
    </row>
    <row r="1002" spans="39:44">
      <c r="AM1002" s="450">
        <v>44940</v>
      </c>
      <c r="AN1002" s="451">
        <v>171.72</v>
      </c>
      <c r="AO1002" s="451">
        <v>3383692</v>
      </c>
      <c r="AP1002" s="451">
        <v>260.21978999999999</v>
      </c>
      <c r="AQ1002" s="451">
        <v>44684.9423388</v>
      </c>
      <c r="AR1002" s="451">
        <v>0.47270000000000001</v>
      </c>
    </row>
    <row r="1003" spans="39:44">
      <c r="AM1003" s="450">
        <v>44939</v>
      </c>
      <c r="AN1003" s="451">
        <v>173.17</v>
      </c>
      <c r="AO1003" s="451">
        <v>1802809</v>
      </c>
      <c r="AP1003" s="451">
        <v>260.21978999999999</v>
      </c>
      <c r="AQ1003" s="451">
        <v>45062.261034299998</v>
      </c>
      <c r="AR1003" s="451">
        <v>0.47670000000000001</v>
      </c>
    </row>
    <row r="1004" spans="39:44">
      <c r="AM1004" s="450">
        <v>44938</v>
      </c>
      <c r="AN1004" s="451">
        <v>178.07</v>
      </c>
      <c r="AO1004" s="451">
        <v>1611665</v>
      </c>
      <c r="AP1004" s="451">
        <v>260.21978999999999</v>
      </c>
      <c r="AQ1004" s="451">
        <v>46337.338005299993</v>
      </c>
      <c r="AR1004" s="451">
        <v>0.49020000000000002</v>
      </c>
    </row>
    <row r="1005" spans="39:44">
      <c r="AM1005" s="450">
        <v>44937</v>
      </c>
      <c r="AN1005" s="451">
        <v>176.88</v>
      </c>
      <c r="AO1005" s="451">
        <v>2754324</v>
      </c>
      <c r="AP1005" s="451">
        <v>260.21978999999999</v>
      </c>
      <c r="AQ1005" s="451">
        <v>46027.676455199995</v>
      </c>
      <c r="AR1005" s="451">
        <v>0.4869</v>
      </c>
    </row>
    <row r="1006" spans="39:44">
      <c r="AM1006" s="450">
        <v>44936</v>
      </c>
      <c r="AN1006" s="451">
        <v>177.37</v>
      </c>
      <c r="AO1006" s="451">
        <v>2461604</v>
      </c>
      <c r="AP1006" s="451">
        <v>260.21978999999999</v>
      </c>
      <c r="AQ1006" s="451">
        <v>46155.184152299997</v>
      </c>
      <c r="AR1006" s="451">
        <v>0.48830000000000001</v>
      </c>
    </row>
    <row r="1007" spans="39:44">
      <c r="AM1007" s="450">
        <v>44935</v>
      </c>
      <c r="AN1007" s="451">
        <v>172.33</v>
      </c>
      <c r="AO1007" s="451">
        <v>1475223</v>
      </c>
      <c r="AP1007" s="451">
        <v>260.21978999999999</v>
      </c>
      <c r="AQ1007" s="451">
        <v>44843.676410699998</v>
      </c>
      <c r="AR1007" s="451">
        <v>0.47439999999999999</v>
      </c>
    </row>
    <row r="1008" spans="39:44">
      <c r="AM1008" s="450">
        <v>44934</v>
      </c>
      <c r="AN1008" s="451">
        <v>172.33</v>
      </c>
      <c r="AO1008" s="451">
        <v>1475223</v>
      </c>
      <c r="AP1008" s="451">
        <v>260.21978999999999</v>
      </c>
      <c r="AQ1008" s="451">
        <v>44843.676410699998</v>
      </c>
      <c r="AR1008" s="451">
        <v>0.47439999999999999</v>
      </c>
    </row>
    <row r="1009" spans="39:44">
      <c r="AM1009" s="450">
        <v>44933</v>
      </c>
      <c r="AN1009" s="451">
        <v>172.33</v>
      </c>
      <c r="AO1009" s="451">
        <v>1475223</v>
      </c>
      <c r="AP1009" s="451">
        <v>260.21978999999999</v>
      </c>
      <c r="AQ1009" s="451">
        <v>44843.676410699998</v>
      </c>
      <c r="AR1009" s="451">
        <v>0.47439999999999999</v>
      </c>
    </row>
    <row r="1010" spans="39:44">
      <c r="AM1010" s="450">
        <v>44932</v>
      </c>
      <c r="AN1010" s="451">
        <v>171.91</v>
      </c>
      <c r="AO1010" s="451">
        <v>2229569</v>
      </c>
      <c r="AP1010" s="451">
        <v>260.21978999999999</v>
      </c>
      <c r="AQ1010" s="451">
        <v>44734.384098899995</v>
      </c>
      <c r="AR1010" s="451">
        <v>0.4733</v>
      </c>
    </row>
    <row r="1011" spans="39:44">
      <c r="AM1011" s="450">
        <v>44931</v>
      </c>
      <c r="AN1011" s="451">
        <v>172.28</v>
      </c>
      <c r="AO1011" s="451">
        <v>1500178</v>
      </c>
      <c r="AP1011" s="451">
        <v>260.21978999999999</v>
      </c>
      <c r="AQ1011" s="451">
        <v>44830.665421199999</v>
      </c>
      <c r="AR1011" s="451">
        <v>0.4743</v>
      </c>
    </row>
    <row r="1012" spans="39:44">
      <c r="AM1012" s="450">
        <v>44930</v>
      </c>
      <c r="AN1012" s="451">
        <v>173.05</v>
      </c>
      <c r="AO1012" s="451">
        <v>2064145</v>
      </c>
      <c r="AP1012" s="451">
        <v>260.21978999999999</v>
      </c>
      <c r="AQ1012" s="451">
        <v>45031.034659500001</v>
      </c>
      <c r="AR1012" s="451">
        <v>0.47639999999999999</v>
      </c>
    </row>
    <row r="1013" spans="39:44">
      <c r="AM1013" s="450">
        <v>44929</v>
      </c>
      <c r="AN1013" s="451">
        <v>176.6</v>
      </c>
      <c r="AO1013" s="451">
        <v>1560719</v>
      </c>
      <c r="AP1013" s="451">
        <v>260.21978999999999</v>
      </c>
      <c r="AQ1013" s="451">
        <v>45954.814913999995</v>
      </c>
      <c r="AR1013" s="451">
        <v>0.48620000000000002</v>
      </c>
    </row>
    <row r="1014" spans="39:44">
      <c r="AM1014" s="450">
        <v>44928</v>
      </c>
      <c r="AN1014" s="451">
        <v>181.41</v>
      </c>
      <c r="AO1014" s="451">
        <v>2060261</v>
      </c>
      <c r="AP1014" s="451">
        <v>260.21978999999999</v>
      </c>
      <c r="AQ1014" s="451">
        <v>47206.4721039</v>
      </c>
      <c r="AR1014" s="451">
        <v>0.49940000000000001</v>
      </c>
    </row>
    <row r="1015" spans="39:44">
      <c r="AM1015" s="450">
        <v>44927</v>
      </c>
      <c r="AN1015" s="451">
        <v>181.41</v>
      </c>
      <c r="AO1015" s="451">
        <v>2060261</v>
      </c>
      <c r="AP1015" s="451">
        <v>260.21978999999999</v>
      </c>
      <c r="AQ1015" s="451">
        <v>47206.4721039</v>
      </c>
      <c r="AR1015" s="451">
        <v>0.49940000000000001</v>
      </c>
    </row>
    <row r="1016" spans="39:44">
      <c r="AM1016" s="450">
        <v>44926</v>
      </c>
      <c r="AN1016" s="451">
        <v>181.41</v>
      </c>
      <c r="AO1016" s="451">
        <v>2060261</v>
      </c>
      <c r="AP1016" s="451">
        <v>260.21978999999999</v>
      </c>
      <c r="AQ1016" s="451">
        <v>47206.4721039</v>
      </c>
      <c r="AR1016" s="451">
        <v>0.49940000000000001</v>
      </c>
    </row>
    <row r="1017" spans="39:44">
      <c r="AM1017" s="450">
        <v>44925</v>
      </c>
      <c r="AN1017" s="451">
        <v>180.45</v>
      </c>
      <c r="AO1017" s="451">
        <v>1562454</v>
      </c>
      <c r="AP1017" s="451">
        <v>260.21978999999999</v>
      </c>
      <c r="AQ1017" s="451">
        <v>46956.661105499996</v>
      </c>
      <c r="AR1017" s="451">
        <v>0.49680000000000002</v>
      </c>
    </row>
    <row r="1018" spans="39:44">
      <c r="AM1018" s="450">
        <v>44924</v>
      </c>
      <c r="AN1018" s="451">
        <v>182.22</v>
      </c>
      <c r="AO1018" s="451">
        <v>5014486</v>
      </c>
      <c r="AP1018" s="451">
        <v>260.21978999999999</v>
      </c>
      <c r="AQ1018" s="451">
        <v>47417.2501338</v>
      </c>
      <c r="AR1018" s="451">
        <v>0.50160000000000005</v>
      </c>
    </row>
    <row r="1019" spans="39:44">
      <c r="AM1019" s="450">
        <v>44923</v>
      </c>
      <c r="AN1019" s="451">
        <v>177.82</v>
      </c>
      <c r="AO1019" s="451">
        <v>1663144</v>
      </c>
      <c r="AP1019" s="451">
        <v>260.21978999999999</v>
      </c>
      <c r="AQ1019" s="451">
        <v>46272.283057799999</v>
      </c>
      <c r="AR1019" s="451">
        <v>0.49070000000000003</v>
      </c>
    </row>
    <row r="1020" spans="39:44">
      <c r="AM1020" s="450">
        <v>44922</v>
      </c>
      <c r="AN1020" s="451">
        <v>173.21</v>
      </c>
      <c r="AO1020" s="451">
        <v>2656980</v>
      </c>
      <c r="AP1020" s="451">
        <v>260.21978999999999</v>
      </c>
      <c r="AQ1020" s="451">
        <v>45072.669825899997</v>
      </c>
      <c r="AR1020" s="451">
        <v>0.47799999999999998</v>
      </c>
    </row>
    <row r="1021" spans="39:44">
      <c r="AM1021" s="450">
        <v>44921</v>
      </c>
      <c r="AN1021" s="451">
        <v>176.7</v>
      </c>
      <c r="AO1021" s="451">
        <v>445291</v>
      </c>
      <c r="AP1021" s="451">
        <v>260.21978999999999</v>
      </c>
      <c r="AQ1021" s="451">
        <v>45980.836892999992</v>
      </c>
      <c r="AR1021" s="451">
        <v>0.48759999999999998</v>
      </c>
    </row>
    <row r="1022" spans="39:44">
      <c r="AM1022" s="450">
        <v>44920</v>
      </c>
      <c r="AN1022" s="451">
        <v>176.7</v>
      </c>
      <c r="AO1022" s="451">
        <v>445291</v>
      </c>
      <c r="AP1022" s="451">
        <v>260.21978999999999</v>
      </c>
      <c r="AQ1022" s="451">
        <v>45980.836892999992</v>
      </c>
      <c r="AR1022" s="451">
        <v>0.48759999999999998</v>
      </c>
    </row>
    <row r="1023" spans="39:44">
      <c r="AM1023" s="450">
        <v>44919</v>
      </c>
      <c r="AN1023" s="451">
        <v>176.7</v>
      </c>
      <c r="AO1023" s="451">
        <v>445291</v>
      </c>
      <c r="AP1023" s="451">
        <v>260.21978999999999</v>
      </c>
      <c r="AQ1023" s="451">
        <v>45980.836892999992</v>
      </c>
      <c r="AR1023" s="451">
        <v>0.48759999999999998</v>
      </c>
    </row>
    <row r="1024" spans="39:44">
      <c r="AM1024" s="450">
        <v>44918</v>
      </c>
      <c r="AN1024" s="451">
        <v>176.36</v>
      </c>
      <c r="AO1024" s="451">
        <v>1758209</v>
      </c>
      <c r="AP1024" s="451">
        <v>260.21978999999999</v>
      </c>
      <c r="AQ1024" s="451">
        <v>45892.362164400001</v>
      </c>
      <c r="AR1024" s="451">
        <v>0.48670000000000002</v>
      </c>
    </row>
    <row r="1025" spans="39:44">
      <c r="AM1025" s="450">
        <v>44917</v>
      </c>
      <c r="AN1025" s="451">
        <v>176.36</v>
      </c>
      <c r="AO1025" s="451">
        <v>1758209</v>
      </c>
      <c r="AP1025" s="451">
        <v>260.21978999999999</v>
      </c>
      <c r="AQ1025" s="451">
        <v>45892.362164400001</v>
      </c>
      <c r="AR1025" s="451">
        <v>0.48670000000000002</v>
      </c>
    </row>
    <row r="1026" spans="39:44">
      <c r="AM1026" s="450">
        <v>44916</v>
      </c>
      <c r="AN1026" s="451">
        <v>175.67</v>
      </c>
      <c r="AO1026" s="451">
        <v>1457323</v>
      </c>
      <c r="AP1026" s="451">
        <v>260.21978999999999</v>
      </c>
      <c r="AQ1026" s="451">
        <v>45712.810509299998</v>
      </c>
      <c r="AR1026" s="451">
        <v>0.48480000000000001</v>
      </c>
    </row>
    <row r="1027" spans="39:44">
      <c r="AM1027" s="450">
        <v>44915</v>
      </c>
      <c r="AN1027" s="451">
        <v>173.64</v>
      </c>
      <c r="AO1027" s="451">
        <v>1385589</v>
      </c>
      <c r="AP1027" s="451">
        <v>260.21978999999999</v>
      </c>
      <c r="AQ1027" s="451">
        <v>45184.564335599993</v>
      </c>
      <c r="AR1027" s="451">
        <v>0.47920000000000001</v>
      </c>
    </row>
    <row r="1028" spans="39:44">
      <c r="AM1028" s="450">
        <v>44914</v>
      </c>
      <c r="AN1028" s="451">
        <v>174.72</v>
      </c>
      <c r="AO1028" s="451">
        <v>1845945</v>
      </c>
      <c r="AP1028" s="451">
        <v>260.21978999999999</v>
      </c>
      <c r="AQ1028" s="451">
        <v>45465.601708800001</v>
      </c>
      <c r="AR1028" s="451">
        <v>0.48220000000000002</v>
      </c>
    </row>
    <row r="1029" spans="39:44">
      <c r="AM1029" s="450">
        <v>44913</v>
      </c>
      <c r="AN1029" s="451">
        <v>174.72</v>
      </c>
      <c r="AO1029" s="451">
        <v>1845945</v>
      </c>
      <c r="AP1029" s="451">
        <v>260.21978999999999</v>
      </c>
      <c r="AQ1029" s="451">
        <v>45465.601708800001</v>
      </c>
      <c r="AR1029" s="451">
        <v>0.48220000000000002</v>
      </c>
    </row>
    <row r="1030" spans="39:44">
      <c r="AM1030" s="450">
        <v>44912</v>
      </c>
      <c r="AN1030" s="451">
        <v>174.72</v>
      </c>
      <c r="AO1030" s="451">
        <v>1845945</v>
      </c>
      <c r="AP1030" s="451">
        <v>260.21978999999999</v>
      </c>
      <c r="AQ1030" s="451">
        <v>45465.601708800001</v>
      </c>
      <c r="AR1030" s="451">
        <v>0.48220000000000002</v>
      </c>
    </row>
    <row r="1031" spans="39:44">
      <c r="AM1031" s="450">
        <v>44911</v>
      </c>
      <c r="AN1031" s="451">
        <v>171.54</v>
      </c>
      <c r="AO1031" s="451">
        <v>1641232</v>
      </c>
      <c r="AP1031" s="451">
        <v>260.21978999999999</v>
      </c>
      <c r="AQ1031" s="451">
        <v>44638.102776599997</v>
      </c>
      <c r="AR1031" s="451">
        <v>0.47339999999999999</v>
      </c>
    </row>
    <row r="1032" spans="39:44">
      <c r="AM1032" s="450">
        <v>44910</v>
      </c>
      <c r="AN1032" s="451">
        <v>170.77</v>
      </c>
      <c r="AO1032" s="451">
        <v>2388355</v>
      </c>
      <c r="AP1032" s="451">
        <v>260.21978999999999</v>
      </c>
      <c r="AQ1032" s="451">
        <v>44437.733538300003</v>
      </c>
      <c r="AR1032" s="451">
        <v>0.4713</v>
      </c>
    </row>
    <row r="1033" spans="39:44">
      <c r="AM1033" s="450">
        <v>44909</v>
      </c>
      <c r="AN1033" s="451">
        <v>176.26</v>
      </c>
      <c r="AO1033" s="451">
        <v>5216928</v>
      </c>
      <c r="AP1033" s="451">
        <v>260.21978999999999</v>
      </c>
      <c r="AQ1033" s="451">
        <v>45866.340185399997</v>
      </c>
      <c r="AR1033" s="451">
        <v>0.4864</v>
      </c>
    </row>
    <row r="1034" spans="39:44">
      <c r="AM1034" s="450">
        <v>44908</v>
      </c>
      <c r="AN1034" s="451">
        <v>174.76</v>
      </c>
      <c r="AO1034" s="451">
        <v>2990576</v>
      </c>
      <c r="AP1034" s="451">
        <v>260.21978999999999</v>
      </c>
      <c r="AQ1034" s="451">
        <v>45476.010500399992</v>
      </c>
      <c r="AR1034" s="451">
        <v>0.48230000000000001</v>
      </c>
    </row>
    <row r="1035" spans="39:44">
      <c r="AM1035" s="450">
        <v>44907</v>
      </c>
      <c r="AN1035" s="451">
        <v>175.61</v>
      </c>
      <c r="AO1035" s="451">
        <v>4436491</v>
      </c>
      <c r="AP1035" s="451">
        <v>260.21978999999999</v>
      </c>
      <c r="AQ1035" s="451">
        <v>45697.197321899999</v>
      </c>
      <c r="AR1035" s="451">
        <v>0.48459999999999998</v>
      </c>
    </row>
    <row r="1036" spans="39:44">
      <c r="AM1036" s="450">
        <v>44906</v>
      </c>
      <c r="AN1036" s="451">
        <v>175.61</v>
      </c>
      <c r="AO1036" s="451">
        <v>4436491</v>
      </c>
      <c r="AP1036" s="451">
        <v>260.21978999999999</v>
      </c>
      <c r="AQ1036" s="451">
        <v>45697.197321899999</v>
      </c>
      <c r="AR1036" s="451">
        <v>0.48459999999999998</v>
      </c>
    </row>
    <row r="1037" spans="39:44">
      <c r="AM1037" s="450">
        <v>44905</v>
      </c>
      <c r="AN1037" s="451">
        <v>175.61</v>
      </c>
      <c r="AO1037" s="451">
        <v>4436491</v>
      </c>
      <c r="AP1037" s="451">
        <v>260.21978999999999</v>
      </c>
      <c r="AQ1037" s="451">
        <v>45697.197321899999</v>
      </c>
      <c r="AR1037" s="451">
        <v>0.48459999999999998</v>
      </c>
    </row>
    <row r="1038" spans="39:44">
      <c r="AM1038" s="450">
        <v>44904</v>
      </c>
      <c r="AN1038" s="451">
        <v>166</v>
      </c>
      <c r="AO1038" s="451">
        <v>3783073</v>
      </c>
      <c r="AP1038" s="451">
        <v>260.21978999999999</v>
      </c>
      <c r="AQ1038" s="451">
        <v>43196.485139999997</v>
      </c>
      <c r="AR1038" s="451">
        <v>0.45810000000000001</v>
      </c>
    </row>
    <row r="1039" spans="39:44">
      <c r="AM1039" s="450">
        <v>44903</v>
      </c>
      <c r="AN1039" s="451">
        <v>158.04</v>
      </c>
      <c r="AO1039" s="451">
        <v>2257448</v>
      </c>
      <c r="AP1039" s="451">
        <v>260.21978999999999</v>
      </c>
      <c r="AQ1039" s="451">
        <v>41125.135611599995</v>
      </c>
      <c r="AR1039" s="451">
        <v>0.43609999999999999</v>
      </c>
    </row>
    <row r="1040" spans="39:44">
      <c r="AM1040" s="450">
        <v>44902</v>
      </c>
      <c r="AN1040" s="451">
        <v>159.54</v>
      </c>
      <c r="AO1040" s="451">
        <v>3602704</v>
      </c>
      <c r="AP1040" s="451">
        <v>260.21978999999999</v>
      </c>
      <c r="AQ1040" s="451">
        <v>41515.465296599999</v>
      </c>
      <c r="AR1040" s="451">
        <v>0.44030000000000002</v>
      </c>
    </row>
    <row r="1041" spans="39:44">
      <c r="AM1041" s="450">
        <v>44901</v>
      </c>
      <c r="AN1041" s="451">
        <v>159.24</v>
      </c>
      <c r="AO1041" s="451">
        <v>1711987</v>
      </c>
      <c r="AP1041" s="451">
        <v>260.21978999999999</v>
      </c>
      <c r="AQ1041" s="451">
        <v>41437.3993596</v>
      </c>
      <c r="AR1041" s="451">
        <v>0.4395</v>
      </c>
    </row>
    <row r="1042" spans="39:44">
      <c r="AM1042" s="450">
        <v>44900</v>
      </c>
      <c r="AN1042" s="451">
        <v>156.66</v>
      </c>
      <c r="AO1042" s="451">
        <v>1473866</v>
      </c>
      <c r="AP1042" s="451">
        <v>260.21978999999999</v>
      </c>
      <c r="AQ1042" s="451">
        <v>40766.032301399995</v>
      </c>
      <c r="AR1042" s="451">
        <v>0.43230000000000002</v>
      </c>
    </row>
    <row r="1043" spans="39:44">
      <c r="AM1043" s="450">
        <v>44899</v>
      </c>
      <c r="AN1043" s="451">
        <v>156.66</v>
      </c>
      <c r="AO1043" s="451">
        <v>1473866</v>
      </c>
      <c r="AP1043" s="451">
        <v>260.21978999999999</v>
      </c>
      <c r="AQ1043" s="451">
        <v>40766.032301399995</v>
      </c>
      <c r="AR1043" s="451">
        <v>0.43230000000000002</v>
      </c>
    </row>
    <row r="1044" spans="39:44">
      <c r="AM1044" s="450">
        <v>44898</v>
      </c>
      <c r="AN1044" s="451">
        <v>156.66</v>
      </c>
      <c r="AO1044" s="451">
        <v>1473866</v>
      </c>
      <c r="AP1044" s="451">
        <v>260.21978999999999</v>
      </c>
      <c r="AQ1044" s="451">
        <v>40766.032301399995</v>
      </c>
      <c r="AR1044" s="451">
        <v>0.43230000000000002</v>
      </c>
    </row>
    <row r="1045" spans="39:44">
      <c r="AM1045" s="450">
        <v>44897</v>
      </c>
      <c r="AN1045" s="451">
        <v>154.91999999999999</v>
      </c>
      <c r="AO1045" s="451">
        <v>6053192</v>
      </c>
      <c r="AP1045" s="451">
        <v>260.21978999999999</v>
      </c>
      <c r="AQ1045" s="451">
        <v>40313.249866799997</v>
      </c>
      <c r="AR1045" s="451">
        <v>0.42749999999999999</v>
      </c>
    </row>
    <row r="1046" spans="39:44">
      <c r="AM1046" s="450">
        <v>44896</v>
      </c>
      <c r="AN1046" s="451">
        <v>154.56</v>
      </c>
      <c r="AO1046" s="451">
        <v>2282973</v>
      </c>
      <c r="AP1046" s="451">
        <v>260.21978999999999</v>
      </c>
      <c r="AQ1046" s="451">
        <v>40219.570742399999</v>
      </c>
      <c r="AR1046" s="451">
        <v>0.42649999999999999</v>
      </c>
    </row>
    <row r="1047" spans="39:44">
      <c r="AM1047" s="450">
        <v>44895</v>
      </c>
      <c r="AN1047" s="451">
        <v>158.19</v>
      </c>
      <c r="AO1047" s="451">
        <v>2199530</v>
      </c>
      <c r="AP1047" s="451">
        <v>260.21978999999999</v>
      </c>
      <c r="AQ1047" s="451">
        <v>41164.168580099999</v>
      </c>
      <c r="AR1047" s="451">
        <v>0.43659999999999999</v>
      </c>
    </row>
    <row r="1048" spans="39:44">
      <c r="AM1048" s="450">
        <v>44894</v>
      </c>
      <c r="AN1048" s="451">
        <v>160.28</v>
      </c>
      <c r="AO1048" s="451">
        <v>1910978</v>
      </c>
      <c r="AP1048" s="451">
        <v>260.21978999999999</v>
      </c>
      <c r="AQ1048" s="451">
        <v>41708.027941200002</v>
      </c>
      <c r="AR1048" s="451">
        <v>0.44230000000000003</v>
      </c>
    </row>
    <row r="1049" spans="39:44">
      <c r="AM1049" s="450">
        <v>44893</v>
      </c>
      <c r="AN1049" s="451">
        <v>160.37</v>
      </c>
      <c r="AO1049" s="451">
        <v>2568592</v>
      </c>
      <c r="AP1049" s="451">
        <v>260.21978999999999</v>
      </c>
      <c r="AQ1049" s="451">
        <v>41731.447722299999</v>
      </c>
      <c r="AR1049" s="451">
        <v>0.44259999999999999</v>
      </c>
    </row>
    <row r="1050" spans="39:44">
      <c r="AM1050" s="450">
        <v>44892</v>
      </c>
      <c r="AN1050" s="451">
        <v>160.37</v>
      </c>
      <c r="AO1050" s="451">
        <v>2568592</v>
      </c>
      <c r="AP1050" s="451">
        <v>260.21978999999999</v>
      </c>
      <c r="AQ1050" s="451">
        <v>41731.447722299999</v>
      </c>
      <c r="AR1050" s="451">
        <v>0.44259999999999999</v>
      </c>
    </row>
    <row r="1051" spans="39:44">
      <c r="AM1051" s="450">
        <v>44891</v>
      </c>
      <c r="AN1051" s="451">
        <v>160.37</v>
      </c>
      <c r="AO1051" s="451">
        <v>2568592</v>
      </c>
      <c r="AP1051" s="451">
        <v>260.21978999999999</v>
      </c>
      <c r="AQ1051" s="451">
        <v>41731.447722299999</v>
      </c>
      <c r="AR1051" s="451">
        <v>0.44259999999999999</v>
      </c>
    </row>
  </sheetData>
  <mergeCells count="5">
    <mergeCell ref="C3:H3"/>
    <mergeCell ref="J3:O3"/>
    <mergeCell ref="Y3:AD3"/>
    <mergeCell ref="AF3:AK3"/>
    <mergeCell ref="R3:W3"/>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D4C0B-92E0-4B70-B316-F9F422D444B1}">
  <dimension ref="A33:BB127"/>
  <sheetViews>
    <sheetView topLeftCell="AA81" zoomScale="130" zoomScaleNormal="130" workbookViewId="0">
      <selection activeCell="AN95" sqref="AN95"/>
    </sheetView>
  </sheetViews>
  <sheetFormatPr defaultColWidth="8.875" defaultRowHeight="14.1"/>
  <cols>
    <col min="1" max="1" width="25.125" customWidth="1"/>
    <col min="2" max="2" width="11.625" customWidth="1"/>
    <col min="3" max="3" width="11.5" hidden="1" customWidth="1"/>
    <col min="4" max="4" width="11.625" hidden="1" customWidth="1"/>
    <col min="5" max="5" width="11.875" hidden="1" customWidth="1"/>
    <col min="6" max="6" width="11.625" hidden="1" customWidth="1"/>
    <col min="7" max="7" width="13" bestFit="1" customWidth="1"/>
    <col min="8" max="8" width="11.125" customWidth="1"/>
    <col min="9" max="9" width="12.125" hidden="1" customWidth="1"/>
    <col min="10" max="10" width="11.875" hidden="1" customWidth="1"/>
    <col min="11" max="11" width="11.625" hidden="1" customWidth="1"/>
    <col min="12" max="12" width="8.625" hidden="1" customWidth="1"/>
    <col min="14" max="14" width="8.625" customWidth="1"/>
    <col min="15" max="15" width="0.125" hidden="1" customWidth="1"/>
    <col min="16" max="18" width="8.625" hidden="1" customWidth="1"/>
    <col min="20" max="24" width="8.625" customWidth="1"/>
    <col min="40" max="40" width="40.5" bestFit="1" customWidth="1"/>
    <col min="41" max="41" width="6.5" bestFit="1" customWidth="1"/>
    <col min="42" max="43" width="8.375" bestFit="1" customWidth="1"/>
  </cols>
  <sheetData>
    <row r="33" spans="1:14" ht="15">
      <c r="A33" s="483"/>
      <c r="B33" s="484" t="s">
        <v>354</v>
      </c>
      <c r="C33" s="484" t="s">
        <v>300</v>
      </c>
      <c r="D33" s="484" t="s">
        <v>303</v>
      </c>
      <c r="E33" s="484" t="s">
        <v>306</v>
      </c>
      <c r="F33" s="484" t="s">
        <v>309</v>
      </c>
      <c r="G33" s="484" t="s">
        <v>312</v>
      </c>
      <c r="H33" s="484" t="s">
        <v>822</v>
      </c>
      <c r="I33" s="484" t="s">
        <v>328</v>
      </c>
      <c r="J33" s="484" t="s">
        <v>325</v>
      </c>
    </row>
    <row r="34" spans="1:14" ht="4.3499999999999996" customHeight="1">
      <c r="A34" s="482"/>
      <c r="B34" s="36"/>
      <c r="C34" s="36"/>
      <c r="D34" s="36"/>
      <c r="E34" s="36"/>
      <c r="F34" s="36"/>
      <c r="G34" s="36"/>
      <c r="H34" s="36"/>
      <c r="I34" s="36"/>
      <c r="J34" s="36"/>
    </row>
    <row r="35" spans="1:14" ht="15">
      <c r="A35" s="376" t="s">
        <v>401</v>
      </c>
      <c r="B35" s="469">
        <v>4.6118326774787888E-2</v>
      </c>
      <c r="C35" s="469">
        <v>4.292302624354892E-2</v>
      </c>
      <c r="D35" s="469">
        <v>3.4875157389589719E-2</v>
      </c>
      <c r="E35" s="469">
        <v>0.13264715442121067</v>
      </c>
      <c r="F35" s="469">
        <v>9.774529236868186E-2</v>
      </c>
      <c r="G35" s="469">
        <v>7.1594142036487521E-2</v>
      </c>
      <c r="H35" s="469">
        <v>0.13010083720113674</v>
      </c>
      <c r="I35" s="469">
        <v>8.6287207167783916E-2</v>
      </c>
      <c r="J35" s="469">
        <v>2.1396396396396395E-3</v>
      </c>
    </row>
    <row r="36" spans="1:14" ht="15">
      <c r="A36" s="376" t="s">
        <v>402</v>
      </c>
      <c r="B36" s="469">
        <v>0.95098499061913699</v>
      </c>
      <c r="C36" s="469">
        <v>1.0831255195344971</v>
      </c>
      <c r="D36" s="469">
        <v>0.62203389830508471</v>
      </c>
      <c r="E36" s="469">
        <v>2.2384423845979722</v>
      </c>
      <c r="F36" s="469">
        <v>1.6102040816326531</v>
      </c>
      <c r="G36" s="469">
        <v>1.1369417755711493</v>
      </c>
      <c r="H36" s="469">
        <v>1.5720996306468416</v>
      </c>
      <c r="I36" s="469">
        <v>2.024823947808474</v>
      </c>
      <c r="J36" s="469">
        <v>0.52777777777777779</v>
      </c>
    </row>
    <row r="37" spans="1:14" ht="15">
      <c r="A37" s="376" t="s">
        <v>409</v>
      </c>
      <c r="B37" s="470">
        <v>8.1291983334912334</v>
      </c>
      <c r="C37" s="470">
        <v>8.9508683810264937</v>
      </c>
      <c r="D37" s="470">
        <v>11.291509295139059</v>
      </c>
      <c r="E37" s="470">
        <v>6.4117215183025555</v>
      </c>
      <c r="F37" s="470">
        <v>6.6987787993599683</v>
      </c>
      <c r="G37" s="470">
        <v>10.433739008090045</v>
      </c>
      <c r="H37" s="470">
        <v>5.3351677552676593</v>
      </c>
      <c r="I37" s="470">
        <v>7.9725630203730926</v>
      </c>
      <c r="J37" s="470">
        <v>3.6323422313730074</v>
      </c>
    </row>
    <row r="38" spans="1:14" ht="15">
      <c r="A38" s="376" t="s">
        <v>410</v>
      </c>
      <c r="B38" s="470">
        <v>3.4441643308893362</v>
      </c>
      <c r="C38" s="470">
        <v>5.4941459446075491</v>
      </c>
      <c r="D38" s="470">
        <v>7.1768423855538197</v>
      </c>
      <c r="E38" s="470">
        <v>3.4312316211276368</v>
      </c>
      <c r="F38" s="470">
        <v>0.15752078859881113</v>
      </c>
      <c r="G38" s="470">
        <v>4.3459936686598652</v>
      </c>
      <c r="H38" s="470">
        <v>1.5137572206537113</v>
      </c>
      <c r="I38" s="470">
        <v>3.7806397134755181</v>
      </c>
      <c r="J38" s="470">
        <v>3.5896352373160227</v>
      </c>
    </row>
    <row r="39" spans="1:14" ht="15">
      <c r="A39" s="376" t="s">
        <v>415</v>
      </c>
      <c r="B39" s="479">
        <v>18.377593000000001</v>
      </c>
      <c r="C39" s="479">
        <v>7.7540169999999993</v>
      </c>
      <c r="D39" s="479">
        <v>3.2411419416678129</v>
      </c>
      <c r="E39" s="479">
        <v>5.1492620000000002</v>
      </c>
      <c r="F39" s="479">
        <v>3.1034209999999995</v>
      </c>
      <c r="G39" s="479">
        <v>5.7340350000000004</v>
      </c>
      <c r="H39" s="479">
        <v>6.6876920000000002</v>
      </c>
      <c r="I39" s="479">
        <v>6.8117313261772736</v>
      </c>
      <c r="J39" s="479">
        <v>1.11972</v>
      </c>
    </row>
    <row r="40" spans="1:14" ht="15">
      <c r="A40" s="376" t="s">
        <v>412</v>
      </c>
      <c r="B40" s="469">
        <v>8.2987551867219622E-3</v>
      </c>
      <c r="C40" s="469">
        <v>1.1695906432749315E-3</v>
      </c>
      <c r="D40" s="469">
        <v>1.8598947348596351E-2</v>
      </c>
      <c r="E40" s="469">
        <v>5.3825362473645111E-3</v>
      </c>
      <c r="F40" s="469">
        <v>3.4482758620689724E-2</v>
      </c>
      <c r="G40" s="469">
        <v>7.9158778581027711E-3</v>
      </c>
      <c r="H40" s="469">
        <v>2.3679938890480257E-2</v>
      </c>
      <c r="I40" s="469">
        <v>2.8033722521886517E-2</v>
      </c>
      <c r="J40" s="469">
        <v>9.0694263004151843E-3</v>
      </c>
    </row>
    <row r="41" spans="1:14" ht="15">
      <c r="A41" s="376"/>
      <c r="B41" s="470"/>
      <c r="C41" s="470"/>
      <c r="D41" s="470"/>
      <c r="E41" s="470"/>
      <c r="F41" s="470"/>
      <c r="G41" s="470"/>
      <c r="H41" s="470"/>
      <c r="I41" s="470"/>
      <c r="J41" s="470"/>
    </row>
    <row r="42" spans="1:14" ht="15">
      <c r="A42" s="376"/>
      <c r="B42" s="470"/>
      <c r="C42" s="470"/>
      <c r="D42" s="470"/>
      <c r="E42" s="470"/>
      <c r="F42" s="470"/>
      <c r="G42" s="470"/>
      <c r="H42" s="470"/>
      <c r="I42" s="470"/>
      <c r="J42" s="470"/>
    </row>
    <row r="43" spans="1:14" ht="15">
      <c r="A43" s="376"/>
      <c r="B43" s="469"/>
      <c r="C43" s="469"/>
      <c r="D43" s="469"/>
      <c r="E43" s="469"/>
      <c r="F43" s="469"/>
      <c r="G43" s="469"/>
      <c r="H43" s="469"/>
      <c r="I43" s="469"/>
      <c r="J43" s="469"/>
    </row>
    <row r="44" spans="1:14" ht="15">
      <c r="A44" s="376"/>
      <c r="B44" s="470"/>
      <c r="C44" s="470"/>
      <c r="D44" s="470"/>
      <c r="E44" s="470"/>
      <c r="F44" s="470"/>
      <c r="G44" s="470"/>
      <c r="H44" s="470"/>
      <c r="I44" s="470"/>
      <c r="J44" s="470"/>
      <c r="N44">
        <f>48/51</f>
        <v>0.94117647058823528</v>
      </c>
    </row>
    <row r="45" spans="1:14" ht="15.95" thickBot="1">
      <c r="A45" s="376"/>
      <c r="B45" s="470"/>
      <c r="C45" s="470"/>
      <c r="D45" s="470"/>
      <c r="E45" s="470"/>
      <c r="F45" s="470"/>
      <c r="G45" s="470"/>
      <c r="H45" s="470"/>
      <c r="I45" s="470"/>
      <c r="J45" s="470"/>
    </row>
    <row r="46" spans="1:14" ht="15">
      <c r="A46" s="690" t="s">
        <v>457</v>
      </c>
      <c r="B46" s="691">
        <v>2022</v>
      </c>
      <c r="C46" s="692">
        <v>2023</v>
      </c>
      <c r="D46" s="693">
        <v>2024</v>
      </c>
      <c r="E46" s="692">
        <v>2025</v>
      </c>
      <c r="F46" s="692">
        <v>2026</v>
      </c>
      <c r="G46" s="692">
        <v>2027</v>
      </c>
      <c r="H46" s="692">
        <v>2028</v>
      </c>
      <c r="I46" s="694">
        <v>2029</v>
      </c>
    </row>
    <row r="47" spans="1:14" ht="15">
      <c r="A47" s="695" t="s">
        <v>248</v>
      </c>
      <c r="B47" s="590"/>
      <c r="C47" s="97"/>
      <c r="D47" s="591"/>
      <c r="E47" s="583"/>
      <c r="F47" s="583"/>
      <c r="G47" s="583"/>
      <c r="H47" s="583"/>
      <c r="I47" s="696"/>
    </row>
    <row r="48" spans="1:14" ht="15">
      <c r="A48" s="695" t="s">
        <v>249</v>
      </c>
      <c r="B48" s="592">
        <v>45814</v>
      </c>
      <c r="C48" s="583">
        <v>42743</v>
      </c>
      <c r="D48" s="593">
        <v>40857</v>
      </c>
      <c r="E48" s="583">
        <v>42470.915959999998</v>
      </c>
      <c r="F48" s="583">
        <v>44276.431654024804</v>
      </c>
      <c r="G48" s="583">
        <v>46268.558101912662</v>
      </c>
      <c r="H48" s="583">
        <v>48342.211990763259</v>
      </c>
      <c r="I48" s="696">
        <v>49470.87350307485</v>
      </c>
    </row>
    <row r="49" spans="1:54" ht="15">
      <c r="A49" s="695" t="s">
        <v>251</v>
      </c>
      <c r="B49" s="592">
        <v>33232</v>
      </c>
      <c r="C49" s="583">
        <v>33507</v>
      </c>
      <c r="D49" s="593">
        <v>34256</v>
      </c>
      <c r="E49" s="583">
        <v>34238.509428601916</v>
      </c>
      <c r="F49" s="583">
        <v>34749.475439885478</v>
      </c>
      <c r="G49" s="583">
        <v>35437.614064808171</v>
      </c>
      <c r="H49" s="583">
        <v>36284.567221719015</v>
      </c>
      <c r="I49" s="696">
        <v>35105.710117908835</v>
      </c>
      <c r="AT49" s="373" t="s">
        <v>606</v>
      </c>
      <c r="AU49" s="186"/>
      <c r="AV49" s="186"/>
      <c r="AW49" s="186"/>
      <c r="AX49" s="186"/>
      <c r="AY49" s="186"/>
      <c r="AZ49" s="186"/>
      <c r="BA49" s="186"/>
      <c r="BB49" s="186"/>
    </row>
    <row r="50" spans="1:54" ht="15">
      <c r="A50" s="695" t="s">
        <v>252</v>
      </c>
      <c r="B50" s="592">
        <v>9532</v>
      </c>
      <c r="C50" s="583">
        <v>9632</v>
      </c>
      <c r="D50" s="593">
        <v>9082</v>
      </c>
      <c r="E50" s="583">
        <v>8990.1317139807888</v>
      </c>
      <c r="F50" s="583">
        <v>9049.184872186659</v>
      </c>
      <c r="G50" s="583">
        <v>9164.0607895544363</v>
      </c>
      <c r="H50" s="583">
        <v>9328.2651678143557</v>
      </c>
      <c r="I50" s="696">
        <v>8791.5325434120059</v>
      </c>
      <c r="AT50" s="186"/>
      <c r="AU50" s="186"/>
      <c r="AV50" s="186"/>
      <c r="AW50" s="186"/>
      <c r="AX50" s="186"/>
      <c r="AY50" s="186"/>
      <c r="AZ50" s="186"/>
      <c r="BA50" s="186"/>
      <c r="BB50" s="186"/>
    </row>
    <row r="51" spans="1:54" ht="15">
      <c r="A51" s="695" t="s">
        <v>253</v>
      </c>
      <c r="B51" s="592">
        <v>253</v>
      </c>
      <c r="C51" s="583">
        <v>301</v>
      </c>
      <c r="D51" s="593">
        <v>260</v>
      </c>
      <c r="E51" s="583">
        <v>267.8</v>
      </c>
      <c r="F51" s="583">
        <v>275.834</v>
      </c>
      <c r="G51" s="583">
        <v>284.10901999999999</v>
      </c>
      <c r="H51" s="583">
        <v>292.63229059999998</v>
      </c>
      <c r="I51" s="696">
        <v>301.41125931799996</v>
      </c>
      <c r="AT51" s="186"/>
      <c r="AU51" s="186"/>
      <c r="AV51" s="186"/>
      <c r="AW51" s="186"/>
      <c r="AX51" s="186"/>
      <c r="AY51" s="186"/>
      <c r="AZ51" s="186"/>
      <c r="BA51" s="186"/>
      <c r="BB51" s="186"/>
    </row>
    <row r="52" spans="1:54" ht="15">
      <c r="A52" s="695" t="s">
        <v>823</v>
      </c>
      <c r="B52" s="592">
        <v>4681</v>
      </c>
      <c r="C52" s="583">
        <v>3972</v>
      </c>
      <c r="D52" s="593">
        <v>3238</v>
      </c>
      <c r="E52" s="583">
        <v>3895.46</v>
      </c>
      <c r="F52" s="583">
        <v>3709.2772</v>
      </c>
      <c r="G52" s="583">
        <v>3800.5540833333334</v>
      </c>
      <c r="H52" s="583">
        <v>3996.0340812844443</v>
      </c>
      <c r="I52" s="696">
        <v>4032.9710380789702</v>
      </c>
      <c r="AT52" s="36"/>
      <c r="AU52" s="36"/>
      <c r="AV52" s="36"/>
      <c r="AW52" s="36"/>
      <c r="AX52" s="36"/>
      <c r="AY52" s="36"/>
      <c r="AZ52" s="36"/>
      <c r="BA52" s="36"/>
      <c r="BB52" s="36"/>
    </row>
    <row r="53" spans="1:54" ht="15.95" thickBot="1">
      <c r="A53" s="697" t="s">
        <v>255</v>
      </c>
      <c r="B53" s="698">
        <v>93512</v>
      </c>
      <c r="C53" s="699">
        <v>90155</v>
      </c>
      <c r="D53" s="700">
        <v>87693</v>
      </c>
      <c r="E53" s="699">
        <v>89862.817102582718</v>
      </c>
      <c r="F53" s="699">
        <v>92060.203166096937</v>
      </c>
      <c r="G53" s="699">
        <v>94954.896059608611</v>
      </c>
      <c r="H53" s="699">
        <v>98243.710752181069</v>
      </c>
      <c r="I53" s="701">
        <v>97702.498461792668</v>
      </c>
      <c r="AT53" s="23"/>
      <c r="AU53" s="23"/>
      <c r="AV53" s="23"/>
      <c r="AW53" s="23"/>
      <c r="AX53" s="23"/>
      <c r="AY53" s="23"/>
      <c r="AZ53" s="23"/>
      <c r="BA53" s="23"/>
      <c r="BB53" s="23"/>
    </row>
    <row r="54" spans="1:54" ht="15">
      <c r="AT54" s="23"/>
      <c r="AU54" s="23"/>
      <c r="AV54" s="23"/>
      <c r="AW54" s="23"/>
      <c r="AX54" s="23"/>
      <c r="AY54" s="23"/>
      <c r="AZ54" s="23"/>
      <c r="BA54" s="23"/>
      <c r="BB54" s="23"/>
    </row>
    <row r="55" spans="1:54" ht="15">
      <c r="AT55" s="23"/>
      <c r="AU55" s="23"/>
      <c r="AV55" s="23"/>
      <c r="AW55" s="23"/>
      <c r="AX55" s="23"/>
      <c r="AY55" s="23"/>
      <c r="AZ55" s="23"/>
      <c r="BA55" s="23"/>
      <c r="BB55" s="23"/>
    </row>
    <row r="56" spans="1:54" ht="15">
      <c r="AT56" s="23"/>
      <c r="AU56" s="23"/>
      <c r="AV56" s="23"/>
      <c r="AW56" s="23"/>
      <c r="AX56" s="23"/>
      <c r="AY56" s="23"/>
      <c r="AZ56" s="23"/>
      <c r="BA56" s="23"/>
      <c r="BB56" s="23"/>
    </row>
    <row r="57" spans="1:54" ht="15">
      <c r="AT57" s="23"/>
      <c r="AU57" s="23"/>
      <c r="AV57" s="23"/>
      <c r="AW57" s="23"/>
      <c r="AX57" s="23"/>
      <c r="AY57" s="23"/>
      <c r="AZ57" s="23"/>
      <c r="BA57" s="23"/>
      <c r="BB57" s="23"/>
    </row>
    <row r="58" spans="1:54" ht="15">
      <c r="AT58" s="23"/>
      <c r="AU58" s="23"/>
      <c r="AV58" s="23"/>
      <c r="AW58" s="23"/>
      <c r="AX58" s="23"/>
      <c r="AY58" s="23"/>
      <c r="AZ58" s="23"/>
      <c r="BA58" s="23"/>
      <c r="BB58" s="23"/>
    </row>
    <row r="59" spans="1:54" ht="15">
      <c r="AT59" s="23"/>
      <c r="AU59" s="23"/>
      <c r="AV59" s="23"/>
      <c r="AW59" s="23"/>
      <c r="AX59" s="23"/>
      <c r="AY59" s="23"/>
      <c r="AZ59" s="23"/>
      <c r="BA59" s="23"/>
      <c r="BB59" s="23"/>
    </row>
    <row r="60" spans="1:54" ht="15">
      <c r="AT60" s="23"/>
      <c r="AU60" s="23"/>
      <c r="AV60" s="23"/>
      <c r="AW60" s="23"/>
      <c r="AX60" s="23"/>
      <c r="AY60" s="23"/>
      <c r="AZ60" s="23"/>
      <c r="BA60" s="23"/>
      <c r="BB60" s="23"/>
    </row>
    <row r="61" spans="1:54" ht="17.100000000000001">
      <c r="A61" s="702" t="s">
        <v>553</v>
      </c>
      <c r="B61" s="703"/>
      <c r="C61" s="704"/>
      <c r="D61" s="704"/>
      <c r="E61" s="704"/>
      <c r="F61" s="704"/>
      <c r="G61" s="704"/>
      <c r="H61" s="703"/>
      <c r="I61" s="704"/>
      <c r="J61" s="704"/>
      <c r="K61" s="704"/>
      <c r="L61" s="704"/>
      <c r="M61" s="704"/>
      <c r="N61" s="703"/>
      <c r="O61" s="704"/>
      <c r="P61" s="704"/>
      <c r="Q61" s="704"/>
      <c r="R61" s="704"/>
      <c r="S61" s="704"/>
      <c r="T61" s="703"/>
      <c r="U61" s="704"/>
      <c r="V61" s="704"/>
      <c r="W61" s="704"/>
      <c r="X61" s="704"/>
      <c r="Y61" s="704"/>
      <c r="Z61" s="703"/>
      <c r="AA61" s="704"/>
      <c r="AB61" s="704"/>
      <c r="AC61" s="704"/>
      <c r="AD61" s="704"/>
      <c r="AE61" s="704"/>
      <c r="AF61" s="703"/>
      <c r="AG61" s="704"/>
      <c r="AH61" s="703"/>
      <c r="AI61" s="705"/>
      <c r="AJ61" s="703"/>
      <c r="AK61" s="705"/>
      <c r="AT61" s="23"/>
      <c r="AU61" s="23"/>
      <c r="AV61" s="23"/>
      <c r="AW61" s="23"/>
      <c r="AX61" s="23"/>
      <c r="AY61" s="23"/>
      <c r="AZ61" s="23"/>
      <c r="BA61" s="23"/>
      <c r="BB61" s="23"/>
    </row>
    <row r="62" spans="1:54" ht="17.100000000000001">
      <c r="A62" s="706"/>
      <c r="B62" s="703"/>
      <c r="C62" s="789">
        <v>2022</v>
      </c>
      <c r="D62" s="789" t="e">
        <f>E62</f>
        <v>#REF!</v>
      </c>
      <c r="E62" s="789" t="e">
        <f>#REF!</f>
        <v>#REF!</v>
      </c>
      <c r="F62" s="789" t="e">
        <f>E62</f>
        <v>#REF!</v>
      </c>
      <c r="G62" s="789" t="e">
        <f>E62</f>
        <v>#REF!</v>
      </c>
      <c r="H62" s="707"/>
      <c r="I62" s="789">
        <v>2023</v>
      </c>
      <c r="J62" s="789" t="e">
        <f>K62</f>
        <v>#REF!</v>
      </c>
      <c r="K62" s="789" t="e">
        <f>#REF!</f>
        <v>#REF!</v>
      </c>
      <c r="L62" s="789" t="e">
        <f>K62</f>
        <v>#REF!</v>
      </c>
      <c r="M62" s="789" t="e">
        <f>K62</f>
        <v>#REF!</v>
      </c>
      <c r="N62" s="707"/>
      <c r="O62" s="789">
        <f>2024</f>
        <v>2024</v>
      </c>
      <c r="P62" s="789">
        <f>Q62</f>
        <v>0</v>
      </c>
      <c r="Q62" s="789">
        <f>Q$8</f>
        <v>0</v>
      </c>
      <c r="R62" s="789">
        <f>Q62</f>
        <v>0</v>
      </c>
      <c r="S62" s="789">
        <f>Q62</f>
        <v>0</v>
      </c>
      <c r="T62" s="707"/>
      <c r="U62" s="790">
        <f>O62+1</f>
        <v>2025</v>
      </c>
      <c r="V62" s="790">
        <f>W62</f>
        <v>0</v>
      </c>
      <c r="W62" s="790">
        <f>W$8</f>
        <v>0</v>
      </c>
      <c r="X62" s="790">
        <f>W62</f>
        <v>0</v>
      </c>
      <c r="Y62" s="790">
        <f>W62</f>
        <v>0</v>
      </c>
      <c r="Z62" s="707"/>
      <c r="AA62" s="790">
        <f>U62+1</f>
        <v>2026</v>
      </c>
      <c r="AB62" s="790">
        <f>AC62</f>
        <v>0</v>
      </c>
      <c r="AC62" s="790">
        <f>AC$8</f>
        <v>0</v>
      </c>
      <c r="AD62" s="790">
        <f>AC62</f>
        <v>0</v>
      </c>
      <c r="AE62" s="790">
        <f>AC62</f>
        <v>0</v>
      </c>
      <c r="AF62" s="708"/>
      <c r="AG62" s="709">
        <f>AA62+1</f>
        <v>2027</v>
      </c>
      <c r="AH62" s="708"/>
      <c r="AI62" s="709">
        <f>AG62+1</f>
        <v>2028</v>
      </c>
      <c r="AJ62" s="708"/>
      <c r="AK62" s="709">
        <f>AI62+1</f>
        <v>2029</v>
      </c>
      <c r="AT62" s="23"/>
      <c r="AU62" s="23"/>
      <c r="AV62" s="23"/>
      <c r="AW62" s="23"/>
      <c r="AX62" s="23"/>
      <c r="AY62" s="23"/>
      <c r="AZ62" s="23"/>
      <c r="BA62" s="23"/>
      <c r="BB62" s="23"/>
    </row>
    <row r="63" spans="1:54" ht="17.100000000000001">
      <c r="A63" s="706"/>
      <c r="B63" s="703"/>
      <c r="C63" s="710" t="s">
        <v>243</v>
      </c>
      <c r="D63" s="710" t="s">
        <v>244</v>
      </c>
      <c r="E63" s="710" t="s">
        <v>245</v>
      </c>
      <c r="F63" s="710" t="s">
        <v>246</v>
      </c>
      <c r="G63" s="710" t="s">
        <v>247</v>
      </c>
      <c r="H63" s="711"/>
      <c r="I63" s="710" t="s">
        <v>243</v>
      </c>
      <c r="J63" s="710" t="s">
        <v>244</v>
      </c>
      <c r="K63" s="710" t="s">
        <v>245</v>
      </c>
      <c r="L63" s="710" t="s">
        <v>246</v>
      </c>
      <c r="M63" s="710" t="s">
        <v>247</v>
      </c>
      <c r="N63" s="711"/>
      <c r="O63" s="710" t="s">
        <v>243</v>
      </c>
      <c r="P63" s="710" t="s">
        <v>244</v>
      </c>
      <c r="Q63" s="710" t="s">
        <v>245</v>
      </c>
      <c r="R63" s="710" t="s">
        <v>246</v>
      </c>
      <c r="S63" s="710" t="s">
        <v>247</v>
      </c>
      <c r="T63" s="711"/>
      <c r="U63" s="710" t="s">
        <v>243</v>
      </c>
      <c r="V63" s="710" t="s">
        <v>244</v>
      </c>
      <c r="W63" s="710" t="s">
        <v>245</v>
      </c>
      <c r="X63" s="710" t="s">
        <v>246</v>
      </c>
      <c r="Y63" s="710" t="s">
        <v>247</v>
      </c>
      <c r="Z63" s="711"/>
      <c r="AA63" s="710" t="s">
        <v>243</v>
      </c>
      <c r="AB63" s="710" t="s">
        <v>244</v>
      </c>
      <c r="AC63" s="710" t="s">
        <v>245</v>
      </c>
      <c r="AD63" s="710" t="s">
        <v>246</v>
      </c>
      <c r="AE63" s="710" t="s">
        <v>247</v>
      </c>
      <c r="AF63" s="711"/>
      <c r="AG63" s="710" t="s">
        <v>247</v>
      </c>
      <c r="AH63" s="711"/>
      <c r="AI63" s="710" t="s">
        <v>247</v>
      </c>
      <c r="AJ63" s="711"/>
      <c r="AK63" s="710" t="s">
        <v>247</v>
      </c>
      <c r="AT63" s="23"/>
      <c r="AU63" s="23"/>
      <c r="AV63" s="23"/>
      <c r="AW63" s="23"/>
      <c r="AX63" s="23"/>
      <c r="AY63" s="23"/>
      <c r="AZ63" s="23"/>
      <c r="BA63" s="23"/>
      <c r="BB63" s="23"/>
    </row>
    <row r="64" spans="1:54" ht="17.100000000000001">
      <c r="A64" s="712"/>
      <c r="B64" s="713"/>
      <c r="C64" s="714"/>
      <c r="D64" s="714"/>
      <c r="E64" s="714"/>
      <c r="F64" s="714"/>
      <c r="G64" s="714"/>
      <c r="H64" s="715"/>
      <c r="I64" s="714"/>
      <c r="J64" s="714"/>
      <c r="K64" s="714"/>
      <c r="L64" s="714"/>
      <c r="M64" s="714"/>
      <c r="N64" s="715"/>
      <c r="O64" s="714"/>
      <c r="P64" s="714"/>
      <c r="Q64" s="714"/>
      <c r="R64" s="714"/>
      <c r="S64" s="714"/>
      <c r="T64" s="715"/>
      <c r="U64" s="714"/>
      <c r="V64" s="714"/>
      <c r="W64" s="714"/>
      <c r="X64" s="714"/>
      <c r="Y64" s="716"/>
      <c r="Z64" s="717"/>
      <c r="AA64" s="716"/>
      <c r="AB64" s="716"/>
      <c r="AC64" s="716"/>
      <c r="AD64" s="716"/>
      <c r="AE64" s="716"/>
      <c r="AF64" s="717"/>
      <c r="AG64" s="716"/>
      <c r="AH64" s="717"/>
      <c r="AI64" s="716"/>
      <c r="AJ64" s="717"/>
      <c r="AK64" s="716"/>
      <c r="AT64" s="23"/>
      <c r="AU64" s="23"/>
      <c r="AV64" s="23"/>
      <c r="AW64" s="23"/>
      <c r="AX64" s="23"/>
      <c r="AY64" s="23"/>
      <c r="AZ64" s="23"/>
      <c r="BA64" s="23"/>
      <c r="BB64" s="23"/>
    </row>
    <row r="65" spans="1:54" ht="17.100000000000001">
      <c r="A65" s="718"/>
      <c r="B65" s="719"/>
      <c r="C65" s="718"/>
      <c r="D65" s="718"/>
      <c r="E65" s="718"/>
      <c r="F65" s="718"/>
      <c r="G65" s="718"/>
      <c r="H65" s="719"/>
      <c r="I65" s="718"/>
      <c r="J65" s="718"/>
      <c r="K65" s="718"/>
      <c r="L65" s="718"/>
      <c r="M65" s="718"/>
      <c r="N65" s="719"/>
      <c r="O65" s="718"/>
      <c r="P65" s="718"/>
      <c r="Q65" s="718"/>
      <c r="R65" s="718"/>
      <c r="S65" s="718"/>
      <c r="T65" s="720"/>
      <c r="U65" s="718"/>
      <c r="V65" s="718"/>
      <c r="W65" s="718"/>
      <c r="X65" s="718"/>
      <c r="Y65" s="718"/>
      <c r="Z65" s="719"/>
      <c r="AA65" s="718"/>
      <c r="AB65" s="718"/>
      <c r="AC65" s="718"/>
      <c r="AD65" s="718"/>
      <c r="AE65" s="718"/>
      <c r="AF65" s="719"/>
      <c r="AG65" s="718"/>
      <c r="AH65" s="719"/>
      <c r="AI65" s="721"/>
      <c r="AJ65" s="718"/>
      <c r="AK65" s="718"/>
      <c r="AT65" s="23"/>
      <c r="AU65" s="23"/>
      <c r="AV65" s="23"/>
      <c r="AW65" s="23"/>
      <c r="AX65" s="23"/>
      <c r="AY65" s="23"/>
      <c r="AZ65" s="23"/>
      <c r="BA65" s="23"/>
      <c r="BB65" s="23"/>
    </row>
    <row r="66" spans="1:54" ht="17.100000000000001">
      <c r="A66" s="722" t="s">
        <v>487</v>
      </c>
      <c r="B66" s="719"/>
      <c r="C66" s="723">
        <v>1494</v>
      </c>
      <c r="D66" s="723">
        <v>1921.8353999999999</v>
      </c>
      <c r="E66" s="723">
        <v>1462</v>
      </c>
      <c r="F66" s="723">
        <v>2234</v>
      </c>
      <c r="G66" s="724">
        <v>6865</v>
      </c>
      <c r="H66" s="719"/>
      <c r="I66" s="723">
        <v>1234</v>
      </c>
      <c r="J66" s="723">
        <v>1246.1772000000001</v>
      </c>
      <c r="K66" s="723">
        <v>1165</v>
      </c>
      <c r="L66" s="723">
        <v>1767</v>
      </c>
      <c r="M66" s="724">
        <v>5373</v>
      </c>
      <c r="N66" s="719"/>
      <c r="O66" s="723">
        <v>1590</v>
      </c>
      <c r="P66" s="723">
        <v>1421</v>
      </c>
      <c r="Q66" s="723">
        <v>1357</v>
      </c>
      <c r="R66" s="723">
        <v>1873</v>
      </c>
      <c r="S66" s="724">
        <v>6241</v>
      </c>
      <c r="T66" s="720"/>
      <c r="U66" s="723">
        <v>1208</v>
      </c>
      <c r="V66" s="723">
        <v>1378</v>
      </c>
      <c r="W66" s="723">
        <v>684.43677538223483</v>
      </c>
      <c r="X66" s="723">
        <v>668.34318595513196</v>
      </c>
      <c r="Y66" s="724">
        <v>3938.7799613373668</v>
      </c>
      <c r="Z66" s="719"/>
      <c r="AA66" s="723">
        <v>552.46829923250198</v>
      </c>
      <c r="AB66" s="723">
        <v>390.14833300596683</v>
      </c>
      <c r="AC66" s="723">
        <v>404.19230111936076</v>
      </c>
      <c r="AD66" s="723">
        <v>658.63178724345607</v>
      </c>
      <c r="AE66" s="724">
        <v>2005.4407206012856</v>
      </c>
      <c r="AF66" s="719"/>
      <c r="AG66" s="724">
        <v>3270.4104206496595</v>
      </c>
      <c r="AH66" s="719"/>
      <c r="AI66" s="724">
        <v>4274.1927981856115</v>
      </c>
      <c r="AJ66" s="718"/>
      <c r="AK66" s="724">
        <v>5331.7936086636037</v>
      </c>
      <c r="AT66" s="23"/>
      <c r="AU66" s="23"/>
      <c r="AV66" s="23"/>
      <c r="AW66" s="23"/>
      <c r="AX66" s="23"/>
      <c r="AY66" s="23"/>
      <c r="AZ66" s="23"/>
      <c r="BA66" s="23"/>
      <c r="BB66" s="23"/>
    </row>
    <row r="67" spans="1:54" ht="17.100000000000001" hidden="1">
      <c r="A67" s="722"/>
      <c r="B67" s="719"/>
      <c r="C67" s="725"/>
      <c r="D67" s="725"/>
      <c r="E67" s="725"/>
      <c r="F67" s="725"/>
      <c r="G67" s="726"/>
      <c r="H67" s="719"/>
      <c r="I67" s="725"/>
      <c r="J67" s="725"/>
      <c r="K67" s="725"/>
      <c r="L67" s="725"/>
      <c r="M67" s="726"/>
      <c r="N67" s="719"/>
      <c r="O67" s="725"/>
      <c r="P67" s="725"/>
      <c r="Q67" s="725"/>
      <c r="R67" s="725"/>
      <c r="S67" s="726"/>
      <c r="T67" s="720"/>
      <c r="U67" s="725"/>
      <c r="V67" s="725"/>
      <c r="W67" s="725"/>
      <c r="X67" s="725"/>
      <c r="Y67" s="718"/>
      <c r="Z67" s="719"/>
      <c r="AA67" s="725"/>
      <c r="AB67" s="725"/>
      <c r="AC67" s="725"/>
      <c r="AD67" s="725"/>
      <c r="AE67" s="718"/>
      <c r="AF67" s="719"/>
      <c r="AG67" s="718"/>
      <c r="AH67" s="719"/>
      <c r="AI67" s="721"/>
      <c r="AJ67" s="718"/>
      <c r="AK67" s="718"/>
      <c r="AT67" s="23"/>
      <c r="AU67" s="23"/>
      <c r="AV67" s="23"/>
      <c r="AW67" s="23"/>
      <c r="AX67" s="23"/>
      <c r="AY67" s="23"/>
      <c r="AZ67" s="23"/>
      <c r="BA67" s="23"/>
      <c r="BB67" s="23"/>
    </row>
    <row r="68" spans="1:54" ht="17.100000000000001" hidden="1">
      <c r="A68" s="722" t="s">
        <v>437</v>
      </c>
      <c r="B68" s="719"/>
      <c r="C68" s="727">
        <v>0.23567289117836446</v>
      </c>
      <c r="D68" s="727">
        <v>0.2380496087774808</v>
      </c>
      <c r="E68" s="727">
        <v>0.19457313037723362</v>
      </c>
      <c r="F68" s="727">
        <v>0.22188581314878894</v>
      </c>
      <c r="G68" s="728">
        <v>0.22441499859035804</v>
      </c>
      <c r="H68" s="719"/>
      <c r="I68" s="727">
        <v>0.24394319131161235</v>
      </c>
      <c r="J68" s="727">
        <v>0.25304903428797532</v>
      </c>
      <c r="K68" s="727">
        <v>0.24454148471615719</v>
      </c>
      <c r="L68" s="727">
        <v>0.28013777267508611</v>
      </c>
      <c r="M68" s="728">
        <v>0.25802087359876302</v>
      </c>
      <c r="N68" s="719"/>
      <c r="O68" s="727">
        <v>0.24149214659685864</v>
      </c>
      <c r="P68" s="727">
        <v>0.25018559762435039</v>
      </c>
      <c r="Q68" s="727">
        <v>0.25520431765612955</v>
      </c>
      <c r="R68" s="727">
        <v>0.27261722080136402</v>
      </c>
      <c r="S68" s="728">
        <v>0.25575329855783985</v>
      </c>
      <c r="T68" s="720"/>
      <c r="U68" s="727">
        <v>0.24662162162162163</v>
      </c>
      <c r="V68" s="727">
        <v>0.24254016832440703</v>
      </c>
      <c r="W68" s="729">
        <v>0.25</v>
      </c>
      <c r="X68" s="729">
        <v>0.246</v>
      </c>
      <c r="Y68" s="730">
        <v>0.24629044748650716</v>
      </c>
      <c r="Z68" s="719"/>
      <c r="AA68" s="729">
        <v>0.245</v>
      </c>
      <c r="AB68" s="729">
        <v>0.247</v>
      </c>
      <c r="AC68" s="729">
        <v>0.25</v>
      </c>
      <c r="AD68" s="729">
        <v>0.254</v>
      </c>
      <c r="AE68" s="730">
        <v>0.249</v>
      </c>
      <c r="AF68" s="719"/>
      <c r="AG68" s="731">
        <v>0.25</v>
      </c>
      <c r="AH68" s="719"/>
      <c r="AI68" s="731">
        <v>0.246</v>
      </c>
      <c r="AJ68" s="718"/>
      <c r="AK68" s="731">
        <v>0.24199999999999999</v>
      </c>
      <c r="AT68" s="23"/>
      <c r="AU68" s="23"/>
      <c r="AV68" s="23"/>
      <c r="AW68" s="23"/>
      <c r="AX68" s="23"/>
      <c r="AY68" s="23"/>
      <c r="AZ68" s="23"/>
      <c r="BA68" s="23"/>
      <c r="BB68" s="23"/>
    </row>
    <row r="69" spans="1:54" ht="17.100000000000001">
      <c r="A69" s="722"/>
      <c r="B69" s="719"/>
      <c r="C69" s="725"/>
      <c r="D69" s="725"/>
      <c r="E69" s="725"/>
      <c r="F69" s="725"/>
      <c r="G69" s="726"/>
      <c r="H69" s="719"/>
      <c r="I69" s="725"/>
      <c r="J69" s="725"/>
      <c r="K69" s="725"/>
      <c r="L69" s="725"/>
      <c r="M69" s="726"/>
      <c r="N69" s="719"/>
      <c r="O69" s="725"/>
      <c r="P69" s="725"/>
      <c r="Q69" s="725"/>
      <c r="R69" s="725"/>
      <c r="S69" s="726"/>
      <c r="T69" s="720"/>
      <c r="U69" s="725"/>
      <c r="V69" s="725"/>
      <c r="W69" s="725"/>
      <c r="X69" s="725"/>
      <c r="Y69" s="718"/>
      <c r="Z69" s="719"/>
      <c r="AA69" s="725"/>
      <c r="AB69" s="725"/>
      <c r="AC69" s="725"/>
      <c r="AD69" s="725"/>
      <c r="AE69" s="718"/>
      <c r="AF69" s="719"/>
      <c r="AG69" s="718"/>
      <c r="AH69" s="719"/>
      <c r="AI69" s="721"/>
      <c r="AJ69" s="718"/>
      <c r="AK69" s="718"/>
      <c r="AT69" s="23"/>
      <c r="AU69" s="23"/>
      <c r="AV69" s="23"/>
      <c r="AW69" s="23"/>
      <c r="AX69" s="23"/>
      <c r="AY69" s="23"/>
      <c r="AZ69" s="23"/>
      <c r="BA69" s="23"/>
      <c r="BB69" s="23"/>
    </row>
    <row r="70" spans="1:54" ht="17.100000000000001">
      <c r="A70" s="722" t="s">
        <v>559</v>
      </c>
      <c r="B70" s="719"/>
      <c r="C70" s="725">
        <v>1141.9047005795235</v>
      </c>
      <c r="D70" s="725">
        <v>1464.3432348952865</v>
      </c>
      <c r="E70" s="725">
        <v>1177.5340833884845</v>
      </c>
      <c r="F70" s="725">
        <v>1738.3070934256054</v>
      </c>
      <c r="G70" s="732">
        <v>5324.3910346771918</v>
      </c>
      <c r="H70" s="719"/>
      <c r="I70" s="725">
        <v>932.97410192147038</v>
      </c>
      <c r="J70" s="725">
        <v>930.83326298830696</v>
      </c>
      <c r="K70" s="725">
        <v>880.1091703056768</v>
      </c>
      <c r="L70" s="725">
        <v>1271.9965556831228</v>
      </c>
      <c r="M70" s="732">
        <v>3986.6538461538462</v>
      </c>
      <c r="N70" s="719"/>
      <c r="O70" s="725">
        <v>1206.0274869109946</v>
      </c>
      <c r="P70" s="725">
        <v>1065.4862657757981</v>
      </c>
      <c r="Q70" s="725">
        <v>1010.6877409406321</v>
      </c>
      <c r="R70" s="725">
        <v>1362.3879454390453</v>
      </c>
      <c r="S70" s="732">
        <v>4644.8436637005216</v>
      </c>
      <c r="T70" s="720"/>
      <c r="U70" s="725">
        <v>910.08108108108115</v>
      </c>
      <c r="V70" s="725">
        <v>1043.7796480489671</v>
      </c>
      <c r="W70" s="725">
        <v>513.32758153667612</v>
      </c>
      <c r="X70" s="725">
        <v>503.93076221016952</v>
      </c>
      <c r="Y70" s="732">
        <v>2971.1190728768938</v>
      </c>
      <c r="Z70" s="719"/>
      <c r="AA70" s="725">
        <v>417.11356592053897</v>
      </c>
      <c r="AB70" s="725">
        <v>293.78169475349301</v>
      </c>
      <c r="AC70" s="725">
        <v>303.14422583952057</v>
      </c>
      <c r="AD70" s="725">
        <v>491.33931328361825</v>
      </c>
      <c r="AE70" s="732">
        <v>1505.3787997971708</v>
      </c>
      <c r="AF70" s="719"/>
      <c r="AG70" s="732">
        <v>2452.8078154872446</v>
      </c>
      <c r="AH70" s="719"/>
      <c r="AI70" s="732">
        <v>3222.741369831951</v>
      </c>
      <c r="AJ70" s="718"/>
      <c r="AK70" s="732">
        <v>4041.4995553670115</v>
      </c>
      <c r="AT70" s="23"/>
      <c r="AU70" s="23"/>
      <c r="AV70" s="23"/>
      <c r="AW70" s="23"/>
      <c r="AX70" s="23"/>
      <c r="AY70" s="23"/>
      <c r="AZ70" s="23"/>
      <c r="BA70" s="23"/>
      <c r="BB70" s="23"/>
    </row>
    <row r="71" spans="1:54" ht="17.100000000000001">
      <c r="A71" s="718"/>
      <c r="B71" s="719"/>
      <c r="C71" s="725"/>
      <c r="D71" s="725"/>
      <c r="E71" s="725"/>
      <c r="F71" s="725"/>
      <c r="G71" s="726"/>
      <c r="H71" s="719"/>
      <c r="I71" s="725"/>
      <c r="J71" s="725"/>
      <c r="K71" s="725"/>
      <c r="L71" s="725"/>
      <c r="M71" s="726"/>
      <c r="N71" s="719"/>
      <c r="O71" s="725"/>
      <c r="P71" s="725"/>
      <c r="Q71" s="725"/>
      <c r="R71" s="725"/>
      <c r="S71" s="726"/>
      <c r="T71" s="720"/>
      <c r="U71" s="725"/>
      <c r="V71" s="725"/>
      <c r="W71" s="725"/>
      <c r="X71" s="725"/>
      <c r="Y71" s="718"/>
      <c r="Z71" s="719"/>
      <c r="AA71" s="725"/>
      <c r="AB71" s="725"/>
      <c r="AC71" s="725"/>
      <c r="AD71" s="725"/>
      <c r="AE71" s="718"/>
      <c r="AF71" s="719"/>
      <c r="AG71" s="718"/>
      <c r="AH71" s="719"/>
      <c r="AI71" s="721"/>
      <c r="AJ71" s="718"/>
      <c r="AK71" s="718"/>
      <c r="AT71" s="23"/>
      <c r="AU71" s="23"/>
      <c r="AV71" s="23"/>
      <c r="AW71" s="23"/>
      <c r="AX71" s="23"/>
      <c r="AY71" s="23"/>
      <c r="AZ71" s="23"/>
      <c r="BA71" s="23"/>
      <c r="BB71" s="23"/>
    </row>
    <row r="72" spans="1:54" ht="17.100000000000001">
      <c r="A72" s="722" t="s">
        <v>480</v>
      </c>
      <c r="B72" s="719"/>
      <c r="C72" s="723">
        <v>971</v>
      </c>
      <c r="D72" s="723">
        <v>995</v>
      </c>
      <c r="E72" s="723">
        <v>986</v>
      </c>
      <c r="F72" s="723">
        <v>1018</v>
      </c>
      <c r="G72" s="724">
        <v>3970</v>
      </c>
      <c r="H72" s="719"/>
      <c r="I72" s="723">
        <v>1024</v>
      </c>
      <c r="J72" s="723">
        <v>1046</v>
      </c>
      <c r="K72" s="723">
        <v>1031</v>
      </c>
      <c r="L72" s="723">
        <v>1075</v>
      </c>
      <c r="M72" s="724">
        <v>4176</v>
      </c>
      <c r="N72" s="719"/>
      <c r="O72" s="723">
        <v>1071</v>
      </c>
      <c r="P72" s="723">
        <v>1040</v>
      </c>
      <c r="Q72" s="723">
        <v>1072</v>
      </c>
      <c r="R72" s="723">
        <v>1104</v>
      </c>
      <c r="S72" s="724">
        <v>4287</v>
      </c>
      <c r="T72" s="720"/>
      <c r="U72" s="723">
        <v>1078</v>
      </c>
      <c r="V72" s="723">
        <v>1063</v>
      </c>
      <c r="W72" s="723">
        <v>2111.1954646791137</v>
      </c>
      <c r="X72" s="723">
        <v>2135.3767076454506</v>
      </c>
      <c r="Y72" s="724">
        <v>6387.5721723245642</v>
      </c>
      <c r="Z72" s="719"/>
      <c r="AA72" s="723">
        <v>2054.6766544313641</v>
      </c>
      <c r="AB72" s="723">
        <v>2135.9836418717323</v>
      </c>
      <c r="AC72" s="723">
        <v>2178.0963976896574</v>
      </c>
      <c r="AD72" s="723">
        <v>2213.6465515387672</v>
      </c>
      <c r="AE72" s="724">
        <v>8582.403245531521</v>
      </c>
      <c r="AF72" s="719"/>
      <c r="AG72" s="724">
        <v>8693.9064828610371</v>
      </c>
      <c r="AH72" s="719"/>
      <c r="AI72" s="724">
        <v>8890.4644426066588</v>
      </c>
      <c r="AJ72" s="718"/>
      <c r="AK72" s="724">
        <v>8835.0686682963387</v>
      </c>
      <c r="AT72" s="23"/>
      <c r="AU72" s="23"/>
      <c r="AV72" s="23"/>
      <c r="AW72" s="23"/>
      <c r="AX72" s="23"/>
      <c r="AY72" s="23"/>
      <c r="AZ72" s="23"/>
      <c r="BA72" s="23"/>
      <c r="BB72" s="23"/>
    </row>
    <row r="73" spans="1:54" ht="17.100000000000001">
      <c r="A73" s="718"/>
      <c r="B73" s="719"/>
      <c r="C73" s="725"/>
      <c r="D73" s="725"/>
      <c r="E73" s="725"/>
      <c r="F73" s="725"/>
      <c r="G73" s="726"/>
      <c r="H73" s="719"/>
      <c r="I73" s="725"/>
      <c r="J73" s="725"/>
      <c r="K73" s="725"/>
      <c r="L73" s="725"/>
      <c r="M73" s="726"/>
      <c r="N73" s="719"/>
      <c r="O73" s="725"/>
      <c r="P73" s="725"/>
      <c r="Q73" s="725"/>
      <c r="R73" s="725"/>
      <c r="S73" s="726"/>
      <c r="T73" s="720"/>
      <c r="U73" s="725"/>
      <c r="V73" s="725"/>
      <c r="W73" s="725"/>
      <c r="X73" s="725"/>
      <c r="Y73" s="718"/>
      <c r="Z73" s="719"/>
      <c r="AA73" s="725"/>
      <c r="AB73" s="725"/>
      <c r="AC73" s="725"/>
      <c r="AD73" s="725"/>
      <c r="AE73" s="718"/>
      <c r="AF73" s="719"/>
      <c r="AG73" s="718"/>
      <c r="AH73" s="719"/>
      <c r="AI73" s="721"/>
      <c r="AJ73" s="718"/>
      <c r="AK73" s="718"/>
    </row>
    <row r="74" spans="1:54" ht="17.100000000000001">
      <c r="A74" s="722" t="s">
        <v>560</v>
      </c>
      <c r="B74" s="719"/>
      <c r="C74" s="723">
        <v>69</v>
      </c>
      <c r="D74" s="723">
        <v>43</v>
      </c>
      <c r="E74" s="723">
        <v>39</v>
      </c>
      <c r="F74" s="723">
        <v>39</v>
      </c>
      <c r="G74" s="724">
        <v>190</v>
      </c>
      <c r="H74" s="719"/>
      <c r="I74" s="723">
        <v>68</v>
      </c>
      <c r="J74" s="723">
        <v>40</v>
      </c>
      <c r="K74" s="723">
        <v>34</v>
      </c>
      <c r="L74" s="723">
        <v>40</v>
      </c>
      <c r="M74" s="724">
        <v>182</v>
      </c>
      <c r="N74" s="719"/>
      <c r="O74" s="723">
        <v>56</v>
      </c>
      <c r="P74" s="723">
        <v>40</v>
      </c>
      <c r="Q74" s="723">
        <v>34</v>
      </c>
      <c r="R74" s="723">
        <v>33</v>
      </c>
      <c r="S74" s="724">
        <v>163</v>
      </c>
      <c r="T74" s="720"/>
      <c r="U74" s="723">
        <v>48</v>
      </c>
      <c r="V74" s="723">
        <v>36</v>
      </c>
      <c r="W74" s="723">
        <v>45.830036722317189</v>
      </c>
      <c r="X74" s="723">
        <v>23.364332446671508</v>
      </c>
      <c r="Y74" s="724">
        <v>153.19436916898869</v>
      </c>
      <c r="Z74" s="719"/>
      <c r="AA74" s="723">
        <v>66.283346279589793</v>
      </c>
      <c r="AB74" s="723">
        <v>45.109499551387501</v>
      </c>
      <c r="AC74" s="723">
        <v>46.95070361470944</v>
      </c>
      <c r="AD74" s="723">
        <v>23.935652823185208</v>
      </c>
      <c r="AE74" s="724">
        <v>182.27920226887193</v>
      </c>
      <c r="AF74" s="719"/>
      <c r="AG74" s="724">
        <v>189.90979211921723</v>
      </c>
      <c r="AH74" s="719"/>
      <c r="AI74" s="724">
        <v>196.48742150436215</v>
      </c>
      <c r="AJ74" s="718"/>
      <c r="AK74" s="724">
        <v>195.40499692358534</v>
      </c>
    </row>
    <row r="75" spans="1:54" ht="17.100000000000001">
      <c r="A75" s="718"/>
      <c r="B75" s="719"/>
      <c r="C75" s="725"/>
      <c r="D75" s="725"/>
      <c r="E75" s="725"/>
      <c r="F75" s="725"/>
      <c r="G75" s="726"/>
      <c r="H75" s="719"/>
      <c r="I75" s="725"/>
      <c r="J75" s="725"/>
      <c r="K75" s="725"/>
      <c r="L75" s="725"/>
      <c r="M75" s="726"/>
      <c r="N75" s="719"/>
      <c r="O75" s="725"/>
      <c r="P75" s="725"/>
      <c r="Q75" s="725"/>
      <c r="R75" s="725"/>
      <c r="S75" s="726"/>
      <c r="T75" s="720"/>
      <c r="U75" s="725"/>
      <c r="V75" s="725"/>
      <c r="W75" s="725"/>
      <c r="X75" s="725"/>
      <c r="Y75" s="718"/>
      <c r="Z75" s="719"/>
      <c r="AA75" s="725"/>
      <c r="AB75" s="725"/>
      <c r="AC75" s="725"/>
      <c r="AD75" s="725"/>
      <c r="AE75" s="718"/>
      <c r="AF75" s="719"/>
      <c r="AG75" s="718"/>
      <c r="AH75" s="719"/>
      <c r="AI75" s="721"/>
      <c r="AJ75" s="718"/>
      <c r="AK75" s="718"/>
    </row>
    <row r="76" spans="1:54" ht="17.100000000000001">
      <c r="A76" s="722" t="s">
        <v>538</v>
      </c>
      <c r="B76" s="719"/>
      <c r="C76" s="723">
        <v>-1061</v>
      </c>
      <c r="D76" s="723">
        <v>-1276</v>
      </c>
      <c r="E76" s="723">
        <v>-856</v>
      </c>
      <c r="F76" s="723">
        <v>864</v>
      </c>
      <c r="G76" s="724">
        <v>-2329</v>
      </c>
      <c r="H76" s="719"/>
      <c r="I76" s="723">
        <v>-1214</v>
      </c>
      <c r="J76" s="723">
        <v>-1292</v>
      </c>
      <c r="K76" s="723">
        <v>-721</v>
      </c>
      <c r="L76" s="723">
        <v>770</v>
      </c>
      <c r="M76" s="724">
        <v>-2501</v>
      </c>
      <c r="N76" s="719"/>
      <c r="O76" s="723">
        <v>-727</v>
      </c>
      <c r="P76" s="723">
        <v>-1045</v>
      </c>
      <c r="Q76" s="723">
        <v>-1168</v>
      </c>
      <c r="R76" s="723">
        <v>74</v>
      </c>
      <c r="S76" s="724">
        <v>-2866</v>
      </c>
      <c r="T76" s="720"/>
      <c r="U76" s="723">
        <v>-1410</v>
      </c>
      <c r="V76" s="723">
        <v>-1644</v>
      </c>
      <c r="W76" s="723">
        <v>-151.04402611305341</v>
      </c>
      <c r="X76" s="723">
        <v>360.0353767214965</v>
      </c>
      <c r="Y76" s="724">
        <v>-2845.0086493915569</v>
      </c>
      <c r="Z76" s="719"/>
      <c r="AA76" s="723">
        <v>311.74867616045594</v>
      </c>
      <c r="AB76" s="723">
        <v>-94.028669940593318</v>
      </c>
      <c r="AC76" s="723">
        <v>-475.61718575188024</v>
      </c>
      <c r="AD76" s="723">
        <v>606.37654254990412</v>
      </c>
      <c r="AE76" s="724">
        <v>348.4793630178865</v>
      </c>
      <c r="AF76" s="719"/>
      <c r="AG76" s="724">
        <v>-345.67383438980869</v>
      </c>
      <c r="AH76" s="719"/>
      <c r="AI76" s="724">
        <v>-272.48436511519867</v>
      </c>
      <c r="AJ76" s="718"/>
      <c r="AK76" s="724">
        <v>399.23770851019435</v>
      </c>
    </row>
    <row r="77" spans="1:54" ht="17.100000000000001">
      <c r="A77" s="718"/>
      <c r="B77" s="719"/>
      <c r="C77" s="725"/>
      <c r="D77" s="725"/>
      <c r="E77" s="725"/>
      <c r="F77" s="725"/>
      <c r="G77" s="726"/>
      <c r="H77" s="719"/>
      <c r="I77" s="725"/>
      <c r="J77" s="725"/>
      <c r="K77" s="725"/>
      <c r="L77" s="725"/>
      <c r="M77" s="726"/>
      <c r="N77" s="719"/>
      <c r="O77" s="725"/>
      <c r="P77" s="725"/>
      <c r="Q77" s="725"/>
      <c r="R77" s="725"/>
      <c r="S77" s="726"/>
      <c r="T77" s="720"/>
      <c r="U77" s="725"/>
      <c r="V77" s="725"/>
      <c r="W77" s="725"/>
      <c r="X77" s="725"/>
      <c r="Y77" s="718"/>
      <c r="Z77" s="719"/>
      <c r="AA77" s="725"/>
      <c r="AB77" s="725"/>
      <c r="AC77" s="725"/>
      <c r="AD77" s="725"/>
      <c r="AE77" s="718"/>
      <c r="AF77" s="719"/>
      <c r="AG77" s="718"/>
      <c r="AH77" s="719"/>
      <c r="AI77" s="721"/>
      <c r="AJ77" s="718"/>
      <c r="AK77" s="718"/>
    </row>
    <row r="78" spans="1:54" ht="17.100000000000001">
      <c r="A78" s="722" t="s">
        <v>561</v>
      </c>
      <c r="B78" s="719"/>
      <c r="C78" s="725">
        <v>-1550</v>
      </c>
      <c r="D78" s="725">
        <v>-1562</v>
      </c>
      <c r="E78" s="725">
        <v>-1196</v>
      </c>
      <c r="F78" s="725">
        <v>-2361</v>
      </c>
      <c r="G78" s="733">
        <v>-6669</v>
      </c>
      <c r="H78" s="719"/>
      <c r="I78" s="725">
        <v>-1274</v>
      </c>
      <c r="J78" s="725">
        <v>-1848</v>
      </c>
      <c r="K78" s="725">
        <v>-1226</v>
      </c>
      <c r="L78" s="725">
        <v>-1742</v>
      </c>
      <c r="M78" s="733">
        <v>-6090</v>
      </c>
      <c r="N78" s="719"/>
      <c r="O78" s="725">
        <v>-1278</v>
      </c>
      <c r="P78" s="725">
        <v>-1255</v>
      </c>
      <c r="Q78" s="725">
        <v>-1347</v>
      </c>
      <c r="R78" s="725">
        <v>-1182</v>
      </c>
      <c r="S78" s="733">
        <v>-5062</v>
      </c>
      <c r="T78" s="720"/>
      <c r="U78" s="725">
        <v>-754</v>
      </c>
      <c r="V78" s="725">
        <v>-797</v>
      </c>
      <c r="W78" s="725">
        <v>-962.68283637063359</v>
      </c>
      <c r="X78" s="725">
        <v>-1287.4681751413868</v>
      </c>
      <c r="Y78" s="733">
        <v>-3801.15101151202</v>
      </c>
      <c r="Z78" s="719"/>
      <c r="AA78" s="725">
        <v>-873.17261498979622</v>
      </c>
      <c r="AB78" s="725">
        <v>-776.78558227489282</v>
      </c>
      <c r="AC78" s="725">
        <v>-943.23963561951268</v>
      </c>
      <c r="AD78" s="725">
        <v>-993.23384955089341</v>
      </c>
      <c r="AE78" s="733">
        <v>-3586.4316824350954</v>
      </c>
      <c r="AF78" s="719"/>
      <c r="AG78" s="733">
        <v>-3737.4247089061951</v>
      </c>
      <c r="AH78" s="719"/>
      <c r="AI78" s="733">
        <v>-4332.5476441711844</v>
      </c>
      <c r="AJ78" s="718"/>
      <c r="AK78" s="733">
        <v>-4816.7331741663793</v>
      </c>
    </row>
    <row r="79" spans="1:54" ht="17.100000000000001">
      <c r="A79" s="718"/>
      <c r="B79" s="719"/>
      <c r="C79" s="734"/>
      <c r="D79" s="734"/>
      <c r="E79" s="734"/>
      <c r="F79" s="734"/>
      <c r="G79" s="726"/>
      <c r="H79" s="719"/>
      <c r="I79" s="734"/>
      <c r="J79" s="734"/>
      <c r="K79" s="734"/>
      <c r="L79" s="734"/>
      <c r="M79" s="726"/>
      <c r="N79" s="719"/>
      <c r="O79" s="734"/>
      <c r="P79" s="734"/>
      <c r="Q79" s="734"/>
      <c r="R79" s="734"/>
      <c r="S79" s="726"/>
      <c r="T79" s="735"/>
      <c r="U79" s="734"/>
      <c r="V79" s="734"/>
      <c r="W79" s="736"/>
      <c r="X79" s="736"/>
      <c r="Y79" s="718"/>
      <c r="Z79" s="719"/>
      <c r="AA79" s="736"/>
      <c r="AB79" s="736"/>
      <c r="AC79" s="736"/>
      <c r="AD79" s="736"/>
      <c r="AE79" s="718"/>
      <c r="AF79" s="719"/>
      <c r="AG79" s="718"/>
      <c r="AH79" s="719"/>
      <c r="AI79" s="721"/>
      <c r="AJ79" s="718"/>
      <c r="AK79" s="718"/>
    </row>
    <row r="80" spans="1:54" ht="17.100000000000001">
      <c r="A80" s="737" t="s">
        <v>562</v>
      </c>
      <c r="B80" s="738"/>
      <c r="C80" s="739">
        <v>-429.09529942047629</v>
      </c>
      <c r="D80" s="739">
        <v>-335.65676510471349</v>
      </c>
      <c r="E80" s="739">
        <v>150.53408338848476</v>
      </c>
      <c r="F80" s="739">
        <v>1298.3070934256057</v>
      </c>
      <c r="G80" s="739">
        <v>486.39103467719178</v>
      </c>
      <c r="H80" s="738"/>
      <c r="I80" s="739">
        <v>-463.02589807852974</v>
      </c>
      <c r="J80" s="739">
        <v>-1123.1667370116929</v>
      </c>
      <c r="K80" s="739">
        <v>-1.8908296943232017</v>
      </c>
      <c r="L80" s="739">
        <v>1414.996555683123</v>
      </c>
      <c r="M80" s="739">
        <v>-246.34615384615427</v>
      </c>
      <c r="N80" s="738"/>
      <c r="O80" s="739">
        <v>328.02748691099441</v>
      </c>
      <c r="P80" s="739">
        <v>-154.51373422420193</v>
      </c>
      <c r="Q80" s="739">
        <v>-398.31225905936799</v>
      </c>
      <c r="R80" s="739">
        <v>1391.3879454390453</v>
      </c>
      <c r="S80" s="739">
        <v>1166.8436637005216</v>
      </c>
      <c r="T80" s="738"/>
      <c r="U80" s="739">
        <v>-127.91891891891873</v>
      </c>
      <c r="V80" s="739">
        <v>-298.22035195103308</v>
      </c>
      <c r="W80" s="739">
        <v>1556.62622045442</v>
      </c>
      <c r="X80" s="739">
        <v>1735.2390038824014</v>
      </c>
      <c r="Y80" s="739">
        <v>2865.7259534668701</v>
      </c>
      <c r="Z80" s="739"/>
      <c r="AA80" s="739">
        <v>1976.6496278021523</v>
      </c>
      <c r="AB80" s="739">
        <v>1604.0605839611267</v>
      </c>
      <c r="AC80" s="739">
        <v>1109.3345057724941</v>
      </c>
      <c r="AD80" s="739">
        <v>2342.0642106445812</v>
      </c>
      <c r="AE80" s="739">
        <v>7032.1089281803543</v>
      </c>
      <c r="AF80" s="739"/>
      <c r="AG80" s="739">
        <v>7253.5255471714936</v>
      </c>
      <c r="AH80" s="739"/>
      <c r="AI80" s="739">
        <v>7704.6612246565883</v>
      </c>
      <c r="AJ80" s="739"/>
      <c r="AK80" s="739">
        <v>8654.477754930751</v>
      </c>
    </row>
    <row r="95" spans="40:46" ht="15">
      <c r="AN95" s="373" t="s">
        <v>416</v>
      </c>
      <c r="AO95" s="32"/>
      <c r="AP95" s="32"/>
      <c r="AQ95" s="32"/>
      <c r="AR95" s="32"/>
      <c r="AS95" s="32"/>
      <c r="AT95" s="32"/>
    </row>
    <row r="96" spans="40:46" ht="15">
      <c r="AN96" s="32"/>
      <c r="AO96" s="32"/>
      <c r="AP96" s="32"/>
      <c r="AQ96" s="32"/>
      <c r="AR96" s="32"/>
      <c r="AS96" s="32"/>
      <c r="AT96" s="32"/>
    </row>
    <row r="97" spans="40:46" ht="15">
      <c r="AN97" s="373"/>
      <c r="AO97" s="32"/>
      <c r="AP97" s="37">
        <v>2025</v>
      </c>
      <c r="AQ97" s="37">
        <v>2026</v>
      </c>
      <c r="AR97" s="37">
        <v>2027</v>
      </c>
      <c r="AS97" s="37">
        <v>2028</v>
      </c>
      <c r="AT97" s="37">
        <v>2029</v>
      </c>
    </row>
    <row r="98" spans="40:46" ht="15">
      <c r="AN98" s="412"/>
      <c r="AO98" s="388"/>
      <c r="AP98" s="388"/>
      <c r="AQ98" s="388"/>
      <c r="AR98" s="388"/>
      <c r="AS98" s="388"/>
      <c r="AT98" s="388"/>
    </row>
    <row r="99" spans="40:46" ht="15">
      <c r="AN99" s="341"/>
      <c r="AO99" s="411"/>
      <c r="AP99" s="411"/>
      <c r="AQ99" s="411"/>
      <c r="AR99" s="411"/>
      <c r="AS99" s="411"/>
      <c r="AT99" s="411"/>
    </row>
    <row r="100" spans="40:46" ht="15">
      <c r="AN100" s="418" t="s">
        <v>420</v>
      </c>
      <c r="AO100" s="411"/>
      <c r="AP100" s="411"/>
      <c r="AQ100" s="411"/>
      <c r="AR100" s="411"/>
      <c r="AS100" s="411"/>
      <c r="AT100" s="411"/>
    </row>
    <row r="101" spans="40:46" ht="15">
      <c r="AN101" s="539" t="s">
        <v>421</v>
      </c>
      <c r="AO101" s="23"/>
      <c r="AP101" s="540">
        <v>53088.326999999997</v>
      </c>
      <c r="AQ101" s="540">
        <v>36824.081266438778</v>
      </c>
      <c r="AR101" s="540">
        <v>37981.958423843447</v>
      </c>
      <c r="AS101" s="540">
        <v>39297.484300872427</v>
      </c>
      <c r="AT101" s="540">
        <v>39080.99938471707</v>
      </c>
    </row>
    <row r="102" spans="40:46" ht="15">
      <c r="AN102" s="541" t="s">
        <v>422</v>
      </c>
      <c r="AO102" s="23"/>
      <c r="AP102" s="440">
        <v>0.58750508937203449</v>
      </c>
      <c r="AQ102" s="440">
        <v>0.50850319275649669</v>
      </c>
      <c r="AR102" s="440">
        <v>0.49499245647032492</v>
      </c>
      <c r="AS102" s="440">
        <v>0.49999740818250232</v>
      </c>
      <c r="AT102" s="440">
        <v>0.51531521690574777</v>
      </c>
    </row>
    <row r="103" spans="40:46" ht="15">
      <c r="AN103" s="417" t="s">
        <v>423</v>
      </c>
      <c r="AO103" s="23"/>
      <c r="AP103" s="741">
        <v>0.04</v>
      </c>
      <c r="AQ103" s="741">
        <v>3.5000000000000003E-2</v>
      </c>
      <c r="AR103" s="741">
        <v>3.2500000000000001E-2</v>
      </c>
      <c r="AS103" s="741">
        <v>3.2500000000000001E-2</v>
      </c>
      <c r="AT103" s="741">
        <v>3.2500000000000001E-2</v>
      </c>
    </row>
    <row r="104" spans="40:46" ht="15">
      <c r="AN104" s="417" t="s">
        <v>21</v>
      </c>
      <c r="AO104" s="23"/>
      <c r="AP104" s="542">
        <v>1.29</v>
      </c>
      <c r="AQ104" s="543">
        <v>1.455928254463144</v>
      </c>
      <c r="AR104" s="543">
        <v>1.4501084273492681</v>
      </c>
      <c r="AS104" s="543">
        <v>1.4370674575015867</v>
      </c>
      <c r="AT104" s="543">
        <v>1.4518865770775553</v>
      </c>
    </row>
    <row r="105" spans="40:46" ht="15">
      <c r="AN105" s="417" t="s">
        <v>424</v>
      </c>
      <c r="AO105" s="23"/>
      <c r="AP105" s="543">
        <v>0.84358429356382048</v>
      </c>
      <c r="AQ105" s="543">
        <v>0.84358429356382048</v>
      </c>
      <c r="AR105" s="543">
        <v>0.84358429356382048</v>
      </c>
      <c r="AS105" s="543">
        <v>0.84358429356382048</v>
      </c>
      <c r="AT105" s="543">
        <v>0.84358429356382048</v>
      </c>
    </row>
    <row r="106" spans="40:46" ht="15">
      <c r="AN106" s="417" t="s">
        <v>417</v>
      </c>
      <c r="AO106" s="23"/>
      <c r="AP106" s="545">
        <v>3.6649982636130653E-2</v>
      </c>
      <c r="AQ106" s="545">
        <v>3.6676663840699411E-2</v>
      </c>
      <c r="AR106" s="545">
        <v>3.6702036689896758E-2</v>
      </c>
      <c r="AS106" s="545">
        <v>3.6728109256710113E-2</v>
      </c>
      <c r="AT106" s="545">
        <v>3.6770478309447741E-2</v>
      </c>
    </row>
    <row r="107" spans="40:46" ht="15">
      <c r="AN107" s="549" t="s">
        <v>425</v>
      </c>
      <c r="AO107" s="23"/>
      <c r="AP107" s="550">
        <v>8.7278477600608542E-2</v>
      </c>
      <c r="AQ107" s="550">
        <v>8.8398591165120999E-2</v>
      </c>
      <c r="AR107" s="550">
        <v>8.5721932704901332E-2</v>
      </c>
      <c r="AS107" s="550">
        <v>8.5280770588380905E-2</v>
      </c>
      <c r="AT107" s="550">
        <v>8.5886563890208573E-2</v>
      </c>
    </row>
    <row r="108" spans="40:46" ht="15">
      <c r="AN108" s="376"/>
      <c r="AO108" s="23"/>
      <c r="AP108" s="23"/>
      <c r="AQ108" s="23"/>
      <c r="AR108" s="23"/>
      <c r="AS108" s="23"/>
      <c r="AT108" s="23"/>
    </row>
    <row r="109" spans="40:46" ht="15">
      <c r="AN109" s="418" t="s">
        <v>426</v>
      </c>
      <c r="AO109" s="23"/>
      <c r="AP109" s="23"/>
      <c r="AQ109" s="23"/>
      <c r="AR109" s="23"/>
      <c r="AS109" s="23"/>
      <c r="AT109" s="23"/>
    </row>
    <row r="110" spans="40:46" ht="15">
      <c r="AN110" s="417" t="s">
        <v>428</v>
      </c>
      <c r="AO110" s="23"/>
      <c r="AP110" s="96">
        <v>58288.077283799998</v>
      </c>
      <c r="AQ110" s="24">
        <v>40430.82568345232</v>
      </c>
      <c r="AR110" s="24">
        <v>41702.111426473566</v>
      </c>
      <c r="AS110" s="24">
        <v>43146.486834820942</v>
      </c>
      <c r="AT110" s="24">
        <v>42908.798246072605</v>
      </c>
    </row>
    <row r="111" spans="40:46" ht="15">
      <c r="AN111" s="541" t="s">
        <v>429</v>
      </c>
      <c r="AO111" s="23"/>
      <c r="AP111" s="416">
        <v>0.64504843134241119</v>
      </c>
      <c r="AQ111" s="416">
        <v>0.55830867298661957</v>
      </c>
      <c r="AR111" s="416">
        <v>0.56056335596354845</v>
      </c>
      <c r="AS111" s="416">
        <v>0.56798365552546759</v>
      </c>
      <c r="AT111" s="416">
        <v>0.56267104800011292</v>
      </c>
    </row>
    <row r="112" spans="40:46" ht="15">
      <c r="AN112" s="417" t="s">
        <v>430</v>
      </c>
      <c r="AO112" s="23"/>
      <c r="AP112" s="413">
        <v>0</v>
      </c>
      <c r="AQ112" s="552">
        <v>0</v>
      </c>
      <c r="AR112" s="552">
        <v>0</v>
      </c>
      <c r="AS112" s="552">
        <v>0</v>
      </c>
      <c r="AT112" s="552">
        <v>0</v>
      </c>
    </row>
    <row r="113" spans="40:46" ht="15">
      <c r="AN113" s="549" t="s">
        <v>431</v>
      </c>
      <c r="AO113" s="23"/>
      <c r="AP113" s="550">
        <v>0</v>
      </c>
      <c r="AQ113" s="550">
        <v>0</v>
      </c>
      <c r="AR113" s="550">
        <v>0</v>
      </c>
      <c r="AS113" s="550">
        <v>0</v>
      </c>
      <c r="AT113" s="550">
        <v>0</v>
      </c>
    </row>
    <row r="114" spans="40:46" ht="15">
      <c r="AN114" s="376"/>
      <c r="AO114" s="23"/>
      <c r="AP114" s="23"/>
      <c r="AQ114" s="23"/>
      <c r="AR114" s="23"/>
      <c r="AS114" s="23"/>
      <c r="AT114" s="23"/>
    </row>
    <row r="115" spans="40:46" ht="15">
      <c r="AN115" s="376" t="s">
        <v>432</v>
      </c>
      <c r="AO115" s="23"/>
      <c r="AP115" s="23"/>
      <c r="AQ115" s="23"/>
      <c r="AR115" s="23"/>
      <c r="AS115" s="23"/>
      <c r="AT115" s="23"/>
    </row>
    <row r="116" spans="40:46" ht="15">
      <c r="AN116" s="539" t="s">
        <v>433</v>
      </c>
      <c r="AO116" s="502">
        <f>+BS!BR126+BS!BR127+BS!BR132+BS!BR133</f>
        <v>0</v>
      </c>
      <c r="AP116" s="554">
        <v>37274</v>
      </c>
      <c r="AQ116" s="554">
        <v>35592.536349711503</v>
      </c>
      <c r="AR116" s="554">
        <v>36411.258654700869</v>
      </c>
      <c r="AS116" s="554">
        <v>36666.826318073392</v>
      </c>
      <c r="AT116" s="554">
        <v>37178.119328751898</v>
      </c>
    </row>
    <row r="117" spans="40:46" ht="15">
      <c r="AN117" s="541" t="s">
        <v>434</v>
      </c>
      <c r="AO117" s="23"/>
      <c r="AP117" s="440">
        <v>0.41249491062796562</v>
      </c>
      <c r="AQ117" s="440">
        <v>0.49149680724350336</v>
      </c>
      <c r="AR117" s="440">
        <v>0.4894432595414967</v>
      </c>
      <c r="AS117" s="440">
        <v>0.48268490846974832</v>
      </c>
      <c r="AT117" s="440">
        <v>0.48752359004360563</v>
      </c>
    </row>
    <row r="118" spans="40:46" ht="15">
      <c r="AN118" s="417" t="s">
        <v>435</v>
      </c>
      <c r="AO118" s="23"/>
      <c r="AP118" s="441">
        <v>-2.0066534313462468E-2</v>
      </c>
      <c r="AQ118" s="441">
        <v>1.2251298380697023E-3</v>
      </c>
      <c r="AR118" s="441">
        <v>4.0439668273629242E-3</v>
      </c>
      <c r="AS118" s="441">
        <v>4.3517898067829061E-3</v>
      </c>
      <c r="AT118" s="441">
        <v>4.1123418057786715E-3</v>
      </c>
    </row>
    <row r="119" spans="40:46" ht="15">
      <c r="AN119" s="417" t="s">
        <v>436</v>
      </c>
      <c r="AO119" s="23"/>
      <c r="AP119" s="740">
        <v>1.9933465686537533E-2</v>
      </c>
      <c r="AQ119" s="441">
        <v>3.6225129838069706E-2</v>
      </c>
      <c r="AR119" s="441">
        <v>3.6543966827362925E-2</v>
      </c>
      <c r="AS119" s="441">
        <v>3.6851789806782907E-2</v>
      </c>
      <c r="AT119" s="441">
        <v>3.6612341805778673E-2</v>
      </c>
    </row>
    <row r="120" spans="40:46" ht="15">
      <c r="AN120" s="417" t="s">
        <v>437</v>
      </c>
      <c r="AO120" s="23"/>
      <c r="AP120" s="555">
        <v>0.24629044748650716</v>
      </c>
      <c r="AQ120" s="555">
        <v>0.249</v>
      </c>
      <c r="AR120" s="555">
        <v>0.25</v>
      </c>
      <c r="AS120" s="555">
        <v>0.246</v>
      </c>
      <c r="AT120" s="555">
        <v>0.24199999999999999</v>
      </c>
    </row>
    <row r="121" spans="40:46" ht="15">
      <c r="AN121" s="549" t="s">
        <v>438</v>
      </c>
      <c r="AO121" s="23"/>
      <c r="AP121" s="550">
        <v>1.5024043502643268E-2</v>
      </c>
      <c r="AQ121" s="550">
        <v>2.7205072508390347E-2</v>
      </c>
      <c r="AR121" s="550">
        <v>2.7407975120522194E-2</v>
      </c>
      <c r="AS121" s="550">
        <v>2.7786249514314312E-2</v>
      </c>
      <c r="AT121" s="550">
        <v>2.7752155088780234E-2</v>
      </c>
    </row>
    <row r="122" spans="40:46" ht="15">
      <c r="AN122" s="374"/>
      <c r="AO122" s="23"/>
      <c r="AP122" s="550"/>
      <c r="AQ122" s="550"/>
      <c r="AR122" s="550"/>
      <c r="AS122" s="550"/>
      <c r="AT122" s="550"/>
    </row>
    <row r="123" spans="40:46" ht="15">
      <c r="AN123" s="376" t="s">
        <v>439</v>
      </c>
      <c r="AO123" s="23"/>
      <c r="AP123" s="553">
        <v>90362.32699999999</v>
      </c>
      <c r="AQ123" s="553">
        <v>72416.617616150281</v>
      </c>
      <c r="AR123" s="553">
        <v>74393.217078544316</v>
      </c>
      <c r="AS123" s="553">
        <v>75964.310618945819</v>
      </c>
      <c r="AT123" s="553">
        <v>76259.118713468968</v>
      </c>
    </row>
    <row r="124" spans="40:46" ht="15">
      <c r="AN124" s="376"/>
      <c r="AO124" s="23"/>
      <c r="AP124" s="23"/>
      <c r="AQ124" s="23"/>
      <c r="AR124" s="23"/>
      <c r="AS124" s="23"/>
      <c r="AT124" s="23"/>
    </row>
    <row r="125" spans="40:46" ht="15">
      <c r="AN125" s="376" t="s">
        <v>440</v>
      </c>
      <c r="AO125" s="23"/>
      <c r="AP125" s="742">
        <v>5.0000000000000001E-3</v>
      </c>
      <c r="AQ125" s="742">
        <v>5.0000000000000001E-3</v>
      </c>
      <c r="AR125" s="742">
        <v>2.5000000000000001E-3</v>
      </c>
      <c r="AS125" s="742">
        <v>2.5000000000000001E-3</v>
      </c>
      <c r="AT125" s="742">
        <v>2.5000000000000001E-3</v>
      </c>
    </row>
    <row r="126" spans="40:46" ht="15">
      <c r="AN126" s="376"/>
      <c r="AO126" s="23"/>
      <c r="AP126" s="23"/>
      <c r="AQ126" s="23"/>
      <c r="AR126" s="23"/>
      <c r="AS126" s="23"/>
      <c r="AT126" s="23"/>
    </row>
    <row r="127" spans="40:46" ht="15">
      <c r="AN127" s="557" t="s">
        <v>441</v>
      </c>
      <c r="AO127" s="558"/>
      <c r="AP127" s="559">
        <v>6.2473891264894131E-2</v>
      </c>
      <c r="AQ127" s="559">
        <v>6.3322172121342127E-2</v>
      </c>
      <c r="AR127" s="559">
        <v>5.834635872340363E-2</v>
      </c>
      <c r="AS127" s="559">
        <v>5.8552167565531422E-2</v>
      </c>
      <c r="AT127" s="560">
        <v>6.0288483580701255E-2</v>
      </c>
    </row>
  </sheetData>
  <mergeCells count="5">
    <mergeCell ref="C62:G62"/>
    <mergeCell ref="I62:M62"/>
    <mergeCell ref="O62:S62"/>
    <mergeCell ref="U62:Y62"/>
    <mergeCell ref="AA62:AE62"/>
  </mergeCells>
  <conditionalFormatting sqref="B41:H41 J41">
    <cfRule type="colorScale" priority="14">
      <colorScale>
        <cfvo type="min"/>
        <cfvo type="percentile" val="50"/>
        <cfvo type="max"/>
        <color theme="4" tint="0.79998168889431442"/>
        <color theme="0" tint="-4.9989318521683403E-2"/>
        <color rgb="FF8DEB91"/>
      </colorScale>
    </cfRule>
  </conditionalFormatting>
  <conditionalFormatting sqref="B42:H42 J42">
    <cfRule type="colorScale" priority="13">
      <colorScale>
        <cfvo type="min"/>
        <cfvo type="percentile" val="50"/>
        <cfvo type="max"/>
        <color theme="4" tint="0.79998168889431442"/>
        <color theme="0" tint="-4.9989318521683403E-2"/>
        <color rgb="FF8DEB91"/>
      </colorScale>
    </cfRule>
  </conditionalFormatting>
  <conditionalFormatting sqref="B35:J35">
    <cfRule type="colorScale" priority="89">
      <colorScale>
        <cfvo type="min"/>
        <cfvo type="percentile" val="50"/>
        <cfvo type="max"/>
        <color theme="4" tint="0.79998168889431442"/>
        <color theme="0"/>
        <color rgb="FF8DEB91"/>
      </colorScale>
    </cfRule>
  </conditionalFormatting>
  <conditionalFormatting sqref="B36:J36">
    <cfRule type="colorScale" priority="91">
      <colorScale>
        <cfvo type="min"/>
        <cfvo type="percentile" val="50"/>
        <cfvo type="max"/>
        <color theme="4" tint="0.79998168889431442"/>
        <color theme="0"/>
        <color rgb="FF8DEB91"/>
      </colorScale>
    </cfRule>
  </conditionalFormatting>
  <conditionalFormatting sqref="B37:J37">
    <cfRule type="colorScale" priority="93">
      <colorScale>
        <cfvo type="min"/>
        <cfvo type="percentile" val="50"/>
        <cfvo type="max"/>
        <color theme="4" tint="0.79998168889431442"/>
        <color theme="0" tint="-4.9989318521683403E-2"/>
        <color rgb="FF8DEB91"/>
      </colorScale>
    </cfRule>
  </conditionalFormatting>
  <conditionalFormatting sqref="B38:J38">
    <cfRule type="colorScale" priority="95">
      <colorScale>
        <cfvo type="min"/>
        <cfvo type="percentile" val="50"/>
        <cfvo type="max"/>
        <color theme="4" tint="0.79998168889431442"/>
        <color theme="0" tint="-4.9989318521683403E-2"/>
        <color rgb="FF8DEB91"/>
      </colorScale>
    </cfRule>
  </conditionalFormatting>
  <conditionalFormatting sqref="B39:J39">
    <cfRule type="colorScale" priority="97">
      <colorScale>
        <cfvo type="min"/>
        <cfvo type="percentile" val="50"/>
        <cfvo type="max"/>
        <color theme="4" tint="0.79998168889431442"/>
        <color theme="0"/>
        <color rgb="FF8DEB91"/>
      </colorScale>
    </cfRule>
  </conditionalFormatting>
  <conditionalFormatting sqref="B40:J40">
    <cfRule type="colorScale" priority="99">
      <colorScale>
        <cfvo type="min"/>
        <cfvo type="percentile" val="50"/>
        <cfvo type="max"/>
        <color theme="4" tint="0.79998168889431442"/>
        <color theme="0"/>
        <color rgb="FF8DEB91"/>
      </colorScale>
    </cfRule>
  </conditionalFormatting>
  <conditionalFormatting sqref="B43:J43">
    <cfRule type="colorScale" priority="83">
      <colorScale>
        <cfvo type="min"/>
        <cfvo type="percentile" val="50"/>
        <cfvo type="max"/>
        <color theme="4" tint="0.79998168889431442"/>
        <color theme="0"/>
        <color rgb="FF8DEB91"/>
      </colorScale>
    </cfRule>
  </conditionalFormatting>
  <conditionalFormatting sqref="B44:J44">
    <cfRule type="colorScale" priority="84">
      <colorScale>
        <cfvo type="min"/>
        <cfvo type="percentile" val="50"/>
        <cfvo type="max"/>
        <color theme="4" tint="0.79998168889431442"/>
        <color theme="0" tint="-4.9989318521683403E-2"/>
        <color rgb="FF8DEB91"/>
      </colorScale>
    </cfRule>
  </conditionalFormatting>
  <conditionalFormatting sqref="B45:J45">
    <cfRule type="colorScale" priority="86">
      <colorScale>
        <cfvo type="min"/>
        <cfvo type="percentile" val="50"/>
        <cfvo type="max"/>
        <color theme="4" tint="0.79998168889431442"/>
        <color theme="0" tint="-4.9989318521683403E-2"/>
        <color rgb="FF8DEB91"/>
      </colorScale>
    </cfRule>
  </conditionalFormatting>
  <conditionalFormatting sqref="I41">
    <cfRule type="colorScale" priority="12">
      <colorScale>
        <cfvo type="min"/>
        <cfvo type="percentile" val="50"/>
        <cfvo type="max"/>
        <color theme="4" tint="0.79998168889431442"/>
        <color theme="0" tint="-4.9989318521683403E-2"/>
        <color rgb="FF8DEB91"/>
      </colorScale>
    </cfRule>
  </conditionalFormatting>
  <conditionalFormatting sqref="I42">
    <cfRule type="colorScale" priority="11">
      <colorScale>
        <cfvo type="min"/>
        <cfvo type="percentile" val="50"/>
        <cfvo type="max"/>
        <color theme="4" tint="0.79998168889431442"/>
        <color theme="0" tint="-4.9989318521683403E-2"/>
        <color rgb="FF8DEB91"/>
      </colorScale>
    </cfRule>
  </conditionalFormatting>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B79CB92-5331-4E6D-BCCA-3ED810C77402}"/>
</file>

<file path=customXml/itemProps2.xml><?xml version="1.0" encoding="utf-8"?>
<ds:datastoreItem xmlns:ds="http://schemas.openxmlformats.org/officeDocument/2006/customXml" ds:itemID="{E5D306E3-EDDF-47D6-B8E0-31BD4B94CE9F}"/>
</file>

<file path=customXml/itemProps3.xml><?xml version="1.0" encoding="utf-8"?>
<ds:datastoreItem xmlns:ds="http://schemas.openxmlformats.org/officeDocument/2006/customXml" ds:itemID="{64BB988D-8D01-4A93-B497-E21446BB3F17}"/>
</file>

<file path=docProps/app.xml><?xml version="1.0" encoding="utf-8"?>
<Properties xmlns="http://schemas.openxmlformats.org/officeDocument/2006/extended-properties" xmlns:vt="http://schemas.openxmlformats.org/officeDocument/2006/docPropsVTypes">
  <Application>Microsoft Excel Online</Application>
  <Manager/>
  <Company>Bloomberg LP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bloomberg-alunos</dc:creator>
  <cp:keywords/>
  <dc:description/>
  <cp:lastModifiedBy>José Ricardo Ramos Duro Godinho</cp:lastModifiedBy>
  <cp:revision/>
  <dcterms:created xsi:type="dcterms:W3CDTF">2025-02-25T16:23:47Z</dcterms:created>
  <dcterms:modified xsi:type="dcterms:W3CDTF">2025-10-23T13:54:56Z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MediaServiceImageTags">
    <vt:lpwstr/>
  </property>
</Properties>
</file>